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19년도\일일업무\생산일보\"/>
    </mc:Choice>
  </mc:AlternateContent>
  <xr:revisionPtr revIDLastSave="0" documentId="13_ncr:1_{133CA322-9803-487B-93EC-C08E5A28BB33}" xr6:coauthVersionLast="40" xr6:coauthVersionMax="40" xr10:uidLastSave="{00000000-0000-0000-0000-000000000000}"/>
  <bookViews>
    <workbookView xWindow="-120" yWindow="-120" windowWidth="29040" windowHeight="15840" activeTab="15" xr2:uid="{00000000-000D-0000-FFFF-FFFF00000000}"/>
  </bookViews>
  <sheets>
    <sheet name="총괄" sheetId="16" r:id="rId1"/>
    <sheet name="01" sheetId="1373" r:id="rId2"/>
    <sheet name="11" sheetId="1374" r:id="rId3"/>
    <sheet name="12" sheetId="1375" r:id="rId4"/>
    <sheet name="13" sheetId="1376" r:id="rId5"/>
    <sheet name="14" sheetId="1377" r:id="rId6"/>
    <sheet name="15" sheetId="1378" r:id="rId7"/>
    <sheet name="18" sheetId="1379" r:id="rId8"/>
    <sheet name="19" sheetId="1380" r:id="rId9"/>
    <sheet name="20" sheetId="1381" r:id="rId10"/>
    <sheet name="21" sheetId="1382" r:id="rId11"/>
    <sheet name="22" sheetId="1383" r:id="rId12"/>
    <sheet name="25" sheetId="1384" r:id="rId13"/>
    <sheet name="26" sheetId="1385" r:id="rId14"/>
    <sheet name="27" sheetId="1386" r:id="rId15"/>
    <sheet name="28" sheetId="1387" r:id="rId16"/>
  </sheets>
  <definedNames>
    <definedName name="_xlnm.Print_Area" localSheetId="1">'01'!$A$1:$AD$86</definedName>
    <definedName name="_xlnm.Print_Area" localSheetId="2">'11'!$A$1:$AD$88</definedName>
    <definedName name="_xlnm.Print_Area" localSheetId="3">'12'!$A$1:$AD$86</definedName>
    <definedName name="_xlnm.Print_Area" localSheetId="4">'13'!$A$1:$AD$86</definedName>
    <definedName name="_xlnm.Print_Area" localSheetId="5">'14'!$A$1:$AD$86</definedName>
    <definedName name="_xlnm.Print_Area" localSheetId="6">'15'!$A$1:$AD$86</definedName>
    <definedName name="_xlnm.Print_Area" localSheetId="7">'18'!$A$1:$AD$88</definedName>
    <definedName name="_xlnm.Print_Area" localSheetId="8">'19'!$A$1:$AD$87</definedName>
    <definedName name="_xlnm.Print_Area" localSheetId="9">'20'!$A$1:$AD$88</definedName>
    <definedName name="_xlnm.Print_Area" localSheetId="10">'21'!$A$1:$AD$87</definedName>
    <definedName name="_xlnm.Print_Area" localSheetId="11">'22'!$A$1:$AD$86</definedName>
    <definedName name="_xlnm.Print_Area" localSheetId="12">'25'!$A$1:$AD$87</definedName>
    <definedName name="_xlnm.Print_Area" localSheetId="13">'26'!$A$1:$AD$87</definedName>
    <definedName name="_xlnm.Print_Area" localSheetId="14">'27'!$A$1:$AD$88</definedName>
    <definedName name="_xlnm.Print_Area" localSheetId="15">'28'!$A$1:$AD$87</definedName>
    <definedName name="ㅁ1" localSheetId="1">'01'!$M$1048521:$M$1048576</definedName>
    <definedName name="ㅁ1" localSheetId="2">'11'!$M$1048523:$M$1048576</definedName>
    <definedName name="ㅁ1" localSheetId="3">'12'!$M$1048521:$M$1048576</definedName>
    <definedName name="ㅁ1" localSheetId="4">'13'!$M$1048521:$M$1048576</definedName>
    <definedName name="ㅁ1" localSheetId="5">'14'!$M$1048521:$M$1048576</definedName>
    <definedName name="ㅁ1" localSheetId="6">'15'!$M$1048521:$M$1048576</definedName>
    <definedName name="ㅁ1" localSheetId="7">'18'!$M$1048523:$M$1048576</definedName>
    <definedName name="ㅁ1" localSheetId="8">'19'!$M$1048522:$M$1048576</definedName>
    <definedName name="ㅁ1" localSheetId="9">'20'!$M$1048523:$M$1048576</definedName>
    <definedName name="ㅁ1" localSheetId="10">'21'!$M$1048522:$M$1048576</definedName>
    <definedName name="ㅁ1" localSheetId="11">'22'!$M$1048521:$M$1048576</definedName>
    <definedName name="ㅁ1" localSheetId="12">'25'!$M$1048522:$M$1048576</definedName>
    <definedName name="ㅁ1" localSheetId="13">'26'!$M$1048522:$M$1048576</definedName>
    <definedName name="ㅁ1" localSheetId="14">'27'!$M$1048523:$M$1048576</definedName>
    <definedName name="ㅁ1" localSheetId="15">'28'!$M$1048522:$M$1048576</definedName>
    <definedName name="ㅁ1">#REF!</definedName>
  </definedNames>
  <calcPr calcId="181029"/>
</workbook>
</file>

<file path=xl/calcChain.xml><?xml version="1.0" encoding="utf-8"?>
<calcChain xmlns="http://schemas.openxmlformats.org/spreadsheetml/2006/main">
  <c r="AC18" i="16" l="1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0" i="1387"/>
  <c r="L19" i="1387"/>
  <c r="L18" i="1387"/>
  <c r="L17" i="1387"/>
  <c r="AB17" i="1387" s="1"/>
  <c r="AF17" i="1387"/>
  <c r="Q17" i="1387"/>
  <c r="L16" i="1387"/>
  <c r="K16" i="1387"/>
  <c r="L15" i="1387"/>
  <c r="K15" i="1387"/>
  <c r="L14" i="1387"/>
  <c r="K13" i="1387"/>
  <c r="M17" i="1387" l="1"/>
  <c r="O17" i="1387"/>
  <c r="K17" i="1387"/>
  <c r="P17" i="1387"/>
  <c r="AC17" i="1387" s="1"/>
  <c r="L11" i="1387"/>
  <c r="L10" i="1387"/>
  <c r="L9" i="1387"/>
  <c r="K21" i="1387"/>
  <c r="K20" i="1387"/>
  <c r="K19" i="1387"/>
  <c r="K18" i="1387"/>
  <c r="K14" i="1387"/>
  <c r="K12" i="1387"/>
  <c r="K11" i="1387"/>
  <c r="K10" i="1387"/>
  <c r="K9" i="1387"/>
  <c r="A75" i="1387"/>
  <c r="A76" i="1387" s="1"/>
  <c r="A77" i="1387" s="1"/>
  <c r="A78" i="1387" s="1"/>
  <c r="A79" i="1387" s="1"/>
  <c r="A80" i="1387" s="1"/>
  <c r="A81" i="1387" s="1"/>
  <c r="A82" i="1387" s="1"/>
  <c r="AF61" i="1387"/>
  <c r="AF63" i="1387" s="1"/>
  <c r="AF60" i="1387"/>
  <c r="AA22" i="1387"/>
  <c r="Z22" i="1387"/>
  <c r="Y22" i="1387"/>
  <c r="X22" i="1387"/>
  <c r="W22" i="1387"/>
  <c r="V22" i="1387"/>
  <c r="U22" i="1387"/>
  <c r="T22" i="1387"/>
  <c r="S22" i="1387"/>
  <c r="R22" i="1387"/>
  <c r="N22" i="1387"/>
  <c r="J22" i="1387"/>
  <c r="I22" i="1387"/>
  <c r="AF21" i="1387"/>
  <c r="Q21" i="1387"/>
  <c r="P21" i="1387"/>
  <c r="AC21" i="1387" s="1"/>
  <c r="M21" i="1387"/>
  <c r="O21" i="1387"/>
  <c r="AF20" i="1387"/>
  <c r="Q20" i="1387"/>
  <c r="O20" i="1387"/>
  <c r="AB20" i="1387"/>
  <c r="AF19" i="1387"/>
  <c r="AB19" i="1387"/>
  <c r="Q19" i="1387"/>
  <c r="P19" i="1387" s="1"/>
  <c r="AC19" i="1387" s="1"/>
  <c r="M19" i="1387"/>
  <c r="O19" i="1387"/>
  <c r="AF18" i="1387"/>
  <c r="Q18" i="1387"/>
  <c r="O18" i="1387"/>
  <c r="AB18" i="1387"/>
  <c r="AF16" i="1387"/>
  <c r="AB16" i="1387"/>
  <c r="Q16" i="1387"/>
  <c r="P16" i="1387" s="1"/>
  <c r="AC16" i="1387" s="1"/>
  <c r="O16" i="1387"/>
  <c r="M16" i="1387"/>
  <c r="AF15" i="1387"/>
  <c r="Q15" i="1387"/>
  <c r="O15" i="1387"/>
  <c r="AB15" i="1387"/>
  <c r="AF14" i="1387"/>
  <c r="AB14" i="1387"/>
  <c r="Q14" i="1387"/>
  <c r="M14" i="1387"/>
  <c r="P14" i="1387"/>
  <c r="AC14" i="1387" s="1"/>
  <c r="AF13" i="1387"/>
  <c r="AB13" i="1387"/>
  <c r="Q13" i="1387"/>
  <c r="P13" i="1387" s="1"/>
  <c r="AC13" i="1387" s="1"/>
  <c r="O13" i="1387"/>
  <c r="M13" i="1387"/>
  <c r="AF12" i="1387"/>
  <c r="Q12" i="1387"/>
  <c r="O12" i="1387"/>
  <c r="AB12" i="1387"/>
  <c r="AF11" i="1387"/>
  <c r="Q11" i="1387"/>
  <c r="M11" i="1387"/>
  <c r="AF10" i="1387"/>
  <c r="Q10" i="1387"/>
  <c r="P10" i="1387" s="1"/>
  <c r="AC10" i="1387" s="1"/>
  <c r="AF9" i="1387"/>
  <c r="AB9" i="1387"/>
  <c r="Q9" i="1387"/>
  <c r="O9" i="1387"/>
  <c r="M9" i="1387"/>
  <c r="AF8" i="1387"/>
  <c r="AB8" i="1387"/>
  <c r="Q8" i="1387"/>
  <c r="P8" i="1387"/>
  <c r="AC8" i="1387" s="1"/>
  <c r="O8" i="1387"/>
  <c r="M8" i="1387"/>
  <c r="AF7" i="1387"/>
  <c r="AB7" i="1387"/>
  <c r="Q7" i="1387"/>
  <c r="P7" i="1387"/>
  <c r="AC7" i="1387" s="1"/>
  <c r="O7" i="1387"/>
  <c r="M7" i="1387"/>
  <c r="K7" i="1387"/>
  <c r="AF6" i="1387"/>
  <c r="AB6" i="1387"/>
  <c r="Q6" i="1387"/>
  <c r="P6" i="1387"/>
  <c r="O6" i="1387"/>
  <c r="M6" i="1387"/>
  <c r="K6" i="1387"/>
  <c r="AD13" i="1387" l="1"/>
  <c r="AD8" i="1387"/>
  <c r="AD17" i="1387"/>
  <c r="AD7" i="1387"/>
  <c r="P11" i="1387"/>
  <c r="AC11" i="1387" s="1"/>
  <c r="AD16" i="1387"/>
  <c r="AB11" i="1387"/>
  <c r="L22" i="1387"/>
  <c r="O22" i="1387" s="1"/>
  <c r="Q22" i="1387"/>
  <c r="P9" i="1387"/>
  <c r="AC9" i="1387" s="1"/>
  <c r="AD9" i="1387" s="1"/>
  <c r="AD19" i="1387"/>
  <c r="AC6" i="1387"/>
  <c r="M10" i="1387"/>
  <c r="AB10" i="1387"/>
  <c r="O11" i="1387"/>
  <c r="P12" i="1387"/>
  <c r="AC12" i="1387" s="1"/>
  <c r="AD12" i="1387" s="1"/>
  <c r="O14" i="1387"/>
  <c r="AD14" i="1387" s="1"/>
  <c r="P15" i="1387"/>
  <c r="AC15" i="1387" s="1"/>
  <c r="AD15" i="1387" s="1"/>
  <c r="P18" i="1387"/>
  <c r="AC18" i="1387" s="1"/>
  <c r="AD18" i="1387" s="1"/>
  <c r="P20" i="1387"/>
  <c r="AC20" i="1387" s="1"/>
  <c r="AD20" i="1387" s="1"/>
  <c r="O10" i="1387"/>
  <c r="AB21" i="1387"/>
  <c r="AD21" i="1387" s="1"/>
  <c r="K22" i="1387"/>
  <c r="M12" i="1387"/>
  <c r="M15" i="1387"/>
  <c r="M18" i="1387"/>
  <c r="M20" i="1387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22" i="1386"/>
  <c r="K22" i="1386" s="1"/>
  <c r="L21" i="1386"/>
  <c r="K21" i="1386"/>
  <c r="AF20" i="1386"/>
  <c r="AC20" i="1386"/>
  <c r="AD20" i="1386" s="1"/>
  <c r="AB20" i="1386"/>
  <c r="Q20" i="1386"/>
  <c r="P20" i="1386"/>
  <c r="O20" i="1386"/>
  <c r="M20" i="1386"/>
  <c r="K20" i="1386"/>
  <c r="L19" i="1386"/>
  <c r="K19" i="1386"/>
  <c r="L18" i="1386"/>
  <c r="K18" i="1386"/>
  <c r="AF18" i="1386"/>
  <c r="Q18" i="1386"/>
  <c r="AB18" i="1386"/>
  <c r="L17" i="1386"/>
  <c r="L15" i="1386"/>
  <c r="L14" i="1386"/>
  <c r="L12" i="1386"/>
  <c r="L11" i="1386"/>
  <c r="K11" i="1386" s="1"/>
  <c r="L10" i="1386"/>
  <c r="K10" i="1386"/>
  <c r="L9" i="1386"/>
  <c r="K17" i="1386"/>
  <c r="K16" i="1386"/>
  <c r="K15" i="1386"/>
  <c r="K14" i="1386"/>
  <c r="K13" i="1386"/>
  <c r="K12" i="1386"/>
  <c r="K9" i="1386"/>
  <c r="A76" i="1386"/>
  <c r="A77" i="1386" s="1"/>
  <c r="A78" i="1386" s="1"/>
  <c r="A79" i="1386" s="1"/>
  <c r="A80" i="1386" s="1"/>
  <c r="A81" i="1386" s="1"/>
  <c r="A82" i="1386" s="1"/>
  <c r="A83" i="1386" s="1"/>
  <c r="AF62" i="1386"/>
  <c r="AF61" i="1386"/>
  <c r="AF64" i="1386" s="1"/>
  <c r="AA23" i="1386"/>
  <c r="Z23" i="1386"/>
  <c r="Y23" i="1386"/>
  <c r="X23" i="1386"/>
  <c r="W23" i="1386"/>
  <c r="V23" i="1386"/>
  <c r="U23" i="1386"/>
  <c r="T23" i="1386"/>
  <c r="S23" i="1386"/>
  <c r="R23" i="1386"/>
  <c r="N23" i="1386"/>
  <c r="J23" i="1386"/>
  <c r="I23" i="1386"/>
  <c r="AF22" i="1386"/>
  <c r="AB22" i="1386"/>
  <c r="Q22" i="1386"/>
  <c r="P22" i="1386" s="1"/>
  <c r="AC22" i="1386" s="1"/>
  <c r="O22" i="1386"/>
  <c r="M22" i="1386"/>
  <c r="AF21" i="1386"/>
  <c r="AB21" i="1386"/>
  <c r="Q21" i="1386"/>
  <c r="P21" i="1386" s="1"/>
  <c r="AC21" i="1386" s="1"/>
  <c r="O21" i="1386"/>
  <c r="M21" i="1386"/>
  <c r="AF19" i="1386"/>
  <c r="AB19" i="1386"/>
  <c r="Q19" i="1386"/>
  <c r="P19" i="1386" s="1"/>
  <c r="AC19" i="1386" s="1"/>
  <c r="O19" i="1386"/>
  <c r="M19" i="1386"/>
  <c r="AF17" i="1386"/>
  <c r="AB17" i="1386"/>
  <c r="Q17" i="1386"/>
  <c r="P17" i="1386" s="1"/>
  <c r="AC17" i="1386" s="1"/>
  <c r="O17" i="1386"/>
  <c r="M17" i="1386"/>
  <c r="AF16" i="1386"/>
  <c r="AB16" i="1386"/>
  <c r="Q16" i="1386"/>
  <c r="P16" i="1386" s="1"/>
  <c r="AC16" i="1386" s="1"/>
  <c r="O16" i="1386"/>
  <c r="M16" i="1386"/>
  <c r="AF15" i="1386"/>
  <c r="AB15" i="1386"/>
  <c r="Q15" i="1386"/>
  <c r="P15" i="1386" s="1"/>
  <c r="AC15" i="1386" s="1"/>
  <c r="O15" i="1386"/>
  <c r="M15" i="1386"/>
  <c r="AF14" i="1386"/>
  <c r="Q14" i="1386"/>
  <c r="P14" i="1386" s="1"/>
  <c r="AC14" i="1386" s="1"/>
  <c r="O14" i="1386"/>
  <c r="AF13" i="1386"/>
  <c r="AB13" i="1386"/>
  <c r="Q13" i="1386"/>
  <c r="P13" i="1386"/>
  <c r="AC13" i="1386" s="1"/>
  <c r="O13" i="1386"/>
  <c r="M13" i="1386"/>
  <c r="AF12" i="1386"/>
  <c r="AB12" i="1386"/>
  <c r="Q12" i="1386"/>
  <c r="P12" i="1386" s="1"/>
  <c r="AC12" i="1386" s="1"/>
  <c r="O12" i="1386"/>
  <c r="M12" i="1386"/>
  <c r="AF11" i="1386"/>
  <c r="Q11" i="1386"/>
  <c r="AF10" i="1386"/>
  <c r="AB10" i="1386"/>
  <c r="Q10" i="1386"/>
  <c r="P10" i="1386" s="1"/>
  <c r="AC10" i="1386" s="1"/>
  <c r="O10" i="1386"/>
  <c r="M10" i="1386"/>
  <c r="AF9" i="1386"/>
  <c r="AB9" i="1386"/>
  <c r="Q9" i="1386"/>
  <c r="O9" i="1386"/>
  <c r="M9" i="1386"/>
  <c r="AF8" i="1386"/>
  <c r="AB8" i="1386"/>
  <c r="Q8" i="1386"/>
  <c r="P8" i="1386"/>
  <c r="AC8" i="1386" s="1"/>
  <c r="O8" i="1386"/>
  <c r="M8" i="1386"/>
  <c r="AF7" i="1386"/>
  <c r="AB7" i="1386"/>
  <c r="Q7" i="1386"/>
  <c r="P7" i="1386"/>
  <c r="AC7" i="1386" s="1"/>
  <c r="O7" i="1386"/>
  <c r="M7" i="1386"/>
  <c r="K7" i="1386"/>
  <c r="AF6" i="1386"/>
  <c r="AB6" i="1386"/>
  <c r="Q6" i="1386"/>
  <c r="P6" i="1386"/>
  <c r="AC6" i="1386" s="1"/>
  <c r="O6" i="1386"/>
  <c r="M6" i="1386"/>
  <c r="K6" i="1386"/>
  <c r="AD11" i="1387" l="1"/>
  <c r="M22" i="1387"/>
  <c r="AB22" i="1387"/>
  <c r="AD10" i="1387"/>
  <c r="AC22" i="1387"/>
  <c r="AD6" i="1387"/>
  <c r="P22" i="1387"/>
  <c r="AD21" i="1386"/>
  <c r="O18" i="1386"/>
  <c r="P18" i="1386"/>
  <c r="AC18" i="1386" s="1"/>
  <c r="AD18" i="1386" s="1"/>
  <c r="AD7" i="1386"/>
  <c r="M18" i="1386"/>
  <c r="AD17" i="1386"/>
  <c r="P11" i="1386"/>
  <c r="AC11" i="1386" s="1"/>
  <c r="AD22" i="1386"/>
  <c r="AD8" i="1386"/>
  <c r="Q23" i="1386"/>
  <c r="M11" i="1386"/>
  <c r="AB11" i="1386"/>
  <c r="L23" i="1386"/>
  <c r="O23" i="1386" s="1"/>
  <c r="O11" i="1386"/>
  <c r="AD19" i="1386"/>
  <c r="AD13" i="1386"/>
  <c r="AD15" i="1386"/>
  <c r="AD16" i="1386"/>
  <c r="AD10" i="1386"/>
  <c r="AD12" i="1386"/>
  <c r="AD6" i="1386"/>
  <c r="K23" i="1386"/>
  <c r="P9" i="1386"/>
  <c r="AC9" i="1386" s="1"/>
  <c r="AD9" i="1386" s="1"/>
  <c r="M14" i="1386"/>
  <c r="AB14" i="138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AD22" i="1387" l="1"/>
  <c r="AD11" i="1386"/>
  <c r="AB23" i="1386"/>
  <c r="M23" i="1386"/>
  <c r="AC23" i="1386"/>
  <c r="P23" i="1386"/>
  <c r="AD14" i="1386"/>
  <c r="L20" i="1385"/>
  <c r="L18" i="1385"/>
  <c r="K18" i="1385"/>
  <c r="L16" i="1385"/>
  <c r="K16" i="1385" s="1"/>
  <c r="AF16" i="1385"/>
  <c r="Q16" i="1385"/>
  <c r="P16" i="1385" s="1"/>
  <c r="AC16" i="1385" s="1"/>
  <c r="L14" i="1385"/>
  <c r="L13" i="1385"/>
  <c r="K13" i="1385" s="1"/>
  <c r="L12" i="1385"/>
  <c r="K12" i="1385" s="1"/>
  <c r="L10" i="1385"/>
  <c r="L9" i="1385"/>
  <c r="AE17" i="1387" l="1"/>
  <c r="AE7" i="1387"/>
  <c r="AE13" i="1387"/>
  <c r="AE6" i="1387"/>
  <c r="AE15" i="1387"/>
  <c r="AE19" i="1387"/>
  <c r="AE8" i="1387"/>
  <c r="AE20" i="1387"/>
  <c r="AE14" i="1387"/>
  <c r="AE9" i="1387"/>
  <c r="AE16" i="1387"/>
  <c r="AE18" i="1387"/>
  <c r="AE11" i="1387"/>
  <c r="AE21" i="1387"/>
  <c r="AE12" i="1387"/>
  <c r="AE10" i="1387"/>
  <c r="AD23" i="1386"/>
  <c r="AE21" i="1386" s="1"/>
  <c r="AB16" i="1385"/>
  <c r="AD16" i="1385" s="1"/>
  <c r="M16" i="1385"/>
  <c r="O16" i="1385"/>
  <c r="AE15" i="1386" l="1"/>
  <c r="AE19" i="1386"/>
  <c r="AE14" i="1386"/>
  <c r="AE6" i="1386"/>
  <c r="AE10" i="1386"/>
  <c r="AE11" i="1386"/>
  <c r="AE22" i="1386"/>
  <c r="AE17" i="1386"/>
  <c r="AE9" i="1386"/>
  <c r="AE8" i="1386"/>
  <c r="AE12" i="1386"/>
  <c r="AE13" i="1386"/>
  <c r="AE16" i="1386"/>
  <c r="AE7" i="1386"/>
  <c r="AE18" i="1386"/>
  <c r="AE20" i="1386"/>
  <c r="K20" i="1385"/>
  <c r="K17" i="1385"/>
  <c r="K15" i="1385"/>
  <c r="K14" i="1385"/>
  <c r="K11" i="1385"/>
  <c r="K10" i="1385"/>
  <c r="K9" i="1385"/>
  <c r="A75" i="1385"/>
  <c r="A76" i="1385" s="1"/>
  <c r="A77" i="1385" s="1"/>
  <c r="A78" i="1385" s="1"/>
  <c r="A79" i="1385" s="1"/>
  <c r="A80" i="1385" s="1"/>
  <c r="A81" i="1385" s="1"/>
  <c r="A82" i="1385" s="1"/>
  <c r="AF61" i="1385"/>
  <c r="AF60" i="1385"/>
  <c r="AF63" i="1385" s="1"/>
  <c r="AA22" i="1385"/>
  <c r="Z22" i="1385"/>
  <c r="Y22" i="1385"/>
  <c r="X22" i="1385"/>
  <c r="W22" i="1385"/>
  <c r="V22" i="1385"/>
  <c r="U22" i="1385"/>
  <c r="T22" i="1385"/>
  <c r="S22" i="1385"/>
  <c r="R22" i="1385"/>
  <c r="N22" i="1385"/>
  <c r="J22" i="1385"/>
  <c r="I22" i="1385"/>
  <c r="AF21" i="1385"/>
  <c r="AB21" i="1385"/>
  <c r="Q21" i="1385"/>
  <c r="P21" i="1385"/>
  <c r="AC21" i="1385" s="1"/>
  <c r="AD21" i="1385" s="1"/>
  <c r="O21" i="1385"/>
  <c r="M21" i="1385"/>
  <c r="K21" i="1385"/>
  <c r="AF20" i="1385"/>
  <c r="Q20" i="1385"/>
  <c r="O20" i="1385"/>
  <c r="P20" i="1385"/>
  <c r="AC20" i="1385" s="1"/>
  <c r="AF19" i="1385"/>
  <c r="AB19" i="1385"/>
  <c r="Q19" i="1385"/>
  <c r="P19" i="1385"/>
  <c r="AC19" i="1385" s="1"/>
  <c r="O19" i="1385"/>
  <c r="M19" i="1385"/>
  <c r="AF18" i="1385"/>
  <c r="AB18" i="1385"/>
  <c r="Q18" i="1385"/>
  <c r="P18" i="1385" s="1"/>
  <c r="AC18" i="1385" s="1"/>
  <c r="O18" i="1385"/>
  <c r="M18" i="1385"/>
  <c r="AF17" i="1385"/>
  <c r="AB17" i="1385"/>
  <c r="Q17" i="1385"/>
  <c r="P17" i="1385" s="1"/>
  <c r="AC17" i="1385" s="1"/>
  <c r="O17" i="1385"/>
  <c r="M17" i="1385"/>
  <c r="AF15" i="1385"/>
  <c r="Q15" i="1385"/>
  <c r="P15" i="1385" s="1"/>
  <c r="AC15" i="1385" s="1"/>
  <c r="O15" i="1385"/>
  <c r="AF14" i="1385"/>
  <c r="AB14" i="1385"/>
  <c r="Q14" i="1385"/>
  <c r="P14" i="1385" s="1"/>
  <c r="AC14" i="1385" s="1"/>
  <c r="M14" i="1385"/>
  <c r="AF13" i="1385"/>
  <c r="AB13" i="1385"/>
  <c r="Q13" i="1385"/>
  <c r="P13" i="1385" s="1"/>
  <c r="AC13" i="1385" s="1"/>
  <c r="O13" i="1385"/>
  <c r="M13" i="1385"/>
  <c r="AF12" i="1385"/>
  <c r="Q12" i="1385"/>
  <c r="O12" i="1385"/>
  <c r="AF11" i="1385"/>
  <c r="AB11" i="1385"/>
  <c r="Q11" i="1385"/>
  <c r="P11" i="1385"/>
  <c r="AC11" i="1385" s="1"/>
  <c r="AD11" i="1385" s="1"/>
  <c r="O11" i="1385"/>
  <c r="M11" i="1385"/>
  <c r="AF10" i="1385"/>
  <c r="Q10" i="1385"/>
  <c r="P10" i="1385" s="1"/>
  <c r="AC10" i="1385" s="1"/>
  <c r="O10" i="1385"/>
  <c r="AF9" i="1385"/>
  <c r="AB9" i="1385"/>
  <c r="Q9" i="1385"/>
  <c r="P9" i="1385" s="1"/>
  <c r="AC9" i="1385" s="1"/>
  <c r="M9" i="1385"/>
  <c r="L22" i="1385"/>
  <c r="O22" i="1385" s="1"/>
  <c r="AF8" i="1385"/>
  <c r="AB8" i="1385"/>
  <c r="Q8" i="1385"/>
  <c r="P8" i="1385"/>
  <c r="AC8" i="1385" s="1"/>
  <c r="AD8" i="1385" s="1"/>
  <c r="O8" i="1385"/>
  <c r="M8" i="1385"/>
  <c r="AF7" i="1385"/>
  <c r="AB7" i="1385"/>
  <c r="Q7" i="1385"/>
  <c r="P7" i="1385"/>
  <c r="AC7" i="1385" s="1"/>
  <c r="O7" i="1385"/>
  <c r="M7" i="1385"/>
  <c r="K7" i="1385"/>
  <c r="AF6" i="1385"/>
  <c r="AB6" i="1385"/>
  <c r="Q6" i="1385"/>
  <c r="P6" i="1385"/>
  <c r="O6" i="1385"/>
  <c r="M6" i="1385"/>
  <c r="K6" i="1385"/>
  <c r="AD17" i="1385" l="1"/>
  <c r="AD7" i="1385"/>
  <c r="Q22" i="1385"/>
  <c r="AD13" i="1385"/>
  <c r="AD18" i="1385"/>
  <c r="AD19" i="1385"/>
  <c r="AC6" i="1385"/>
  <c r="M10" i="1385"/>
  <c r="AB10" i="1385"/>
  <c r="P12" i="1385"/>
  <c r="AC12" i="1385" s="1"/>
  <c r="M15" i="1385"/>
  <c r="AB15" i="1385"/>
  <c r="AD15" i="1385" s="1"/>
  <c r="M20" i="1385"/>
  <c r="AB20" i="1385"/>
  <c r="AD20" i="1385" s="1"/>
  <c r="O9" i="1385"/>
  <c r="AD9" i="1385" s="1"/>
  <c r="K22" i="1385"/>
  <c r="M12" i="1385"/>
  <c r="AB12" i="1385"/>
  <c r="O14" i="1385"/>
  <c r="AD14" i="1385" s="1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0" i="1384"/>
  <c r="K20" i="1384" s="1"/>
  <c r="L17" i="1384"/>
  <c r="P17" i="1384" s="1"/>
  <c r="AC17" i="1384" s="1"/>
  <c r="L16" i="1384"/>
  <c r="O16" i="1384" s="1"/>
  <c r="L15" i="1384"/>
  <c r="AF13" i="1384"/>
  <c r="AB13" i="1384"/>
  <c r="Q13" i="1384"/>
  <c r="P13" i="1384" s="1"/>
  <c r="AC13" i="1384" s="1"/>
  <c r="AD13" i="1384" s="1"/>
  <c r="O13" i="1384"/>
  <c r="M13" i="1384"/>
  <c r="K13" i="1384"/>
  <c r="K14" i="1384"/>
  <c r="L12" i="1384"/>
  <c r="L11" i="1384"/>
  <c r="L10" i="1384"/>
  <c r="K10" i="1384" s="1"/>
  <c r="L9" i="1384"/>
  <c r="K9" i="1384" s="1"/>
  <c r="K17" i="1384"/>
  <c r="K16" i="1384"/>
  <c r="K15" i="1384"/>
  <c r="K12" i="1384"/>
  <c r="K11" i="1384"/>
  <c r="A75" i="1384"/>
  <c r="A76" i="1384" s="1"/>
  <c r="A77" i="1384" s="1"/>
  <c r="A78" i="1384" s="1"/>
  <c r="A79" i="1384" s="1"/>
  <c r="A80" i="1384" s="1"/>
  <c r="A81" i="1384" s="1"/>
  <c r="A82" i="1384" s="1"/>
  <c r="AF61" i="1384"/>
  <c r="AF63" i="1384" s="1"/>
  <c r="AF60" i="1384"/>
  <c r="AA22" i="1384"/>
  <c r="Z22" i="1384"/>
  <c r="Y22" i="1384"/>
  <c r="X22" i="1384"/>
  <c r="W22" i="1384"/>
  <c r="V22" i="1384"/>
  <c r="U22" i="1384"/>
  <c r="T22" i="1384"/>
  <c r="S22" i="1384"/>
  <c r="R22" i="1384"/>
  <c r="N22" i="1384"/>
  <c r="J22" i="1384"/>
  <c r="I22" i="1384"/>
  <c r="AF21" i="1384"/>
  <c r="AB21" i="1384"/>
  <c r="Q21" i="1384"/>
  <c r="P21" i="1384"/>
  <c r="AC21" i="1384" s="1"/>
  <c r="O21" i="1384"/>
  <c r="M21" i="1384"/>
  <c r="K21" i="1384"/>
  <c r="AF20" i="1384"/>
  <c r="AB20" i="1384"/>
  <c r="Q20" i="1384"/>
  <c r="M20" i="1384"/>
  <c r="O20" i="1384"/>
  <c r="AF19" i="1384"/>
  <c r="Q19" i="1384"/>
  <c r="P19" i="1384"/>
  <c r="AC19" i="1384" s="1"/>
  <c r="AF18" i="1384"/>
  <c r="AB18" i="1384"/>
  <c r="Q18" i="1384"/>
  <c r="P18" i="1384"/>
  <c r="AC18" i="1384" s="1"/>
  <c r="O18" i="1384"/>
  <c r="M18" i="1384"/>
  <c r="AF17" i="1384"/>
  <c r="Q17" i="1384"/>
  <c r="AF16" i="1384"/>
  <c r="AB16" i="1384"/>
  <c r="Q16" i="1384"/>
  <c r="P16" i="1384" s="1"/>
  <c r="AC16" i="1384" s="1"/>
  <c r="M16" i="1384"/>
  <c r="AF15" i="1384"/>
  <c r="Q15" i="1384"/>
  <c r="O15" i="1384"/>
  <c r="AB15" i="1384"/>
  <c r="AF14" i="1384"/>
  <c r="AB14" i="1384"/>
  <c r="Q14" i="1384"/>
  <c r="P14" i="1384" s="1"/>
  <c r="AC14" i="1384" s="1"/>
  <c r="M14" i="1384"/>
  <c r="O14" i="1384"/>
  <c r="AF12" i="1384"/>
  <c r="Q12" i="1384"/>
  <c r="AF11" i="1384"/>
  <c r="AB11" i="1384"/>
  <c r="Q11" i="1384"/>
  <c r="P11" i="1384"/>
  <c r="AC11" i="1384" s="1"/>
  <c r="O11" i="1384"/>
  <c r="M11" i="1384"/>
  <c r="AF10" i="1384"/>
  <c r="Q10" i="1384"/>
  <c r="AB10" i="1384"/>
  <c r="AF9" i="1384"/>
  <c r="Q9" i="1384"/>
  <c r="P9" i="1384" s="1"/>
  <c r="AC9" i="1384" s="1"/>
  <c r="M9" i="1384"/>
  <c r="AF8" i="1384"/>
  <c r="AC8" i="1384"/>
  <c r="AB8" i="1384"/>
  <c r="Q8" i="1384"/>
  <c r="P8" i="1384"/>
  <c r="O8" i="1384"/>
  <c r="M8" i="1384"/>
  <c r="AF7" i="1384"/>
  <c r="AB7" i="1384"/>
  <c r="Q7" i="1384"/>
  <c r="P7" i="1384"/>
  <c r="AC7" i="1384" s="1"/>
  <c r="AD7" i="1384" s="1"/>
  <c r="O7" i="1384"/>
  <c r="M7" i="1384"/>
  <c r="K7" i="1384"/>
  <c r="AF6" i="1384"/>
  <c r="AB6" i="1384"/>
  <c r="Q6" i="1384"/>
  <c r="P6" i="1384"/>
  <c r="AC6" i="1384" s="1"/>
  <c r="O6" i="1384"/>
  <c r="M6" i="1384"/>
  <c r="K6" i="1384"/>
  <c r="M22" i="1385" l="1"/>
  <c r="AB22" i="1385"/>
  <c r="P22" i="1385"/>
  <c r="AD10" i="1385"/>
  <c r="AD12" i="1385"/>
  <c r="AC22" i="1385"/>
  <c r="AD6" i="1385"/>
  <c r="P20" i="1384"/>
  <c r="AC20" i="1384" s="1"/>
  <c r="P12" i="1384"/>
  <c r="AC12" i="1384" s="1"/>
  <c r="AD21" i="1384"/>
  <c r="Q22" i="1384"/>
  <c r="O10" i="1384"/>
  <c r="L22" i="1384"/>
  <c r="O22" i="1384" s="1"/>
  <c r="AB9" i="1384"/>
  <c r="AD8" i="1384"/>
  <c r="AD16" i="1384"/>
  <c r="AD11" i="1384"/>
  <c r="AD18" i="1384"/>
  <c r="AD14" i="1384"/>
  <c r="AD20" i="1384"/>
  <c r="O9" i="1384"/>
  <c r="K22" i="1384"/>
  <c r="P10" i="1384"/>
  <c r="AC10" i="1384" s="1"/>
  <c r="M12" i="1384"/>
  <c r="AB12" i="1384"/>
  <c r="P15" i="1384"/>
  <c r="AC15" i="1384" s="1"/>
  <c r="AD15" i="1384" s="1"/>
  <c r="M17" i="1384"/>
  <c r="AB17" i="1384"/>
  <c r="M19" i="1384"/>
  <c r="AB19" i="1384"/>
  <c r="O12" i="1384"/>
  <c r="O17" i="1384"/>
  <c r="O19" i="1384"/>
  <c r="AD6" i="1384"/>
  <c r="M10" i="1384"/>
  <c r="M15" i="1384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L19" i="1383"/>
  <c r="AB19" i="1383" s="1"/>
  <c r="L18" i="1383"/>
  <c r="K18" i="1383" s="1"/>
  <c r="L16" i="1383"/>
  <c r="K16" i="1383"/>
  <c r="L15" i="1383"/>
  <c r="K15" i="1383"/>
  <c r="L14" i="1383"/>
  <c r="K14" i="1383" s="1"/>
  <c r="AF14" i="1383"/>
  <c r="AB14" i="1383"/>
  <c r="Q14" i="1383"/>
  <c r="P14" i="1383"/>
  <c r="AC14" i="1383" s="1"/>
  <c r="O14" i="1383"/>
  <c r="M14" i="1383"/>
  <c r="L13" i="1383"/>
  <c r="K13" i="1383" s="1"/>
  <c r="L12" i="1383"/>
  <c r="K12" i="1383" s="1"/>
  <c r="L11" i="1383"/>
  <c r="K11" i="1383" s="1"/>
  <c r="L10" i="1383"/>
  <c r="O10" i="1383" s="1"/>
  <c r="L9" i="1383"/>
  <c r="K9" i="1383" s="1"/>
  <c r="K19" i="1383"/>
  <c r="A74" i="1383"/>
  <c r="A75" i="1383" s="1"/>
  <c r="A76" i="1383" s="1"/>
  <c r="A77" i="1383" s="1"/>
  <c r="A78" i="1383" s="1"/>
  <c r="A79" i="1383" s="1"/>
  <c r="A80" i="1383" s="1"/>
  <c r="A81" i="1383" s="1"/>
  <c r="AF60" i="1383"/>
  <c r="AF59" i="1383"/>
  <c r="AA21" i="1383"/>
  <c r="Z21" i="1383"/>
  <c r="Y21" i="1383"/>
  <c r="X21" i="1383"/>
  <c r="W21" i="1383"/>
  <c r="V21" i="1383"/>
  <c r="U21" i="1383"/>
  <c r="T21" i="1383"/>
  <c r="S21" i="1383"/>
  <c r="R21" i="1383"/>
  <c r="N21" i="1383"/>
  <c r="J21" i="1383"/>
  <c r="I21" i="1383"/>
  <c r="AF20" i="1383"/>
  <c r="AB20" i="1383"/>
  <c r="Q20" i="1383"/>
  <c r="P20" i="1383"/>
  <c r="AC20" i="1383" s="1"/>
  <c r="O20" i="1383"/>
  <c r="M20" i="1383"/>
  <c r="K20" i="1383"/>
  <c r="AF19" i="1383"/>
  <c r="Q19" i="1383"/>
  <c r="P19" i="1383"/>
  <c r="AC19" i="1383" s="1"/>
  <c r="O19" i="1383"/>
  <c r="AF18" i="1383"/>
  <c r="Q18" i="1383"/>
  <c r="AF17" i="1383"/>
  <c r="AB17" i="1383"/>
  <c r="Q17" i="1383"/>
  <c r="P17" i="1383"/>
  <c r="AC17" i="1383" s="1"/>
  <c r="O17" i="1383"/>
  <c r="M17" i="1383"/>
  <c r="AF16" i="1383"/>
  <c r="AB16" i="1383"/>
  <c r="Q16" i="1383"/>
  <c r="O16" i="1383"/>
  <c r="M16" i="1383"/>
  <c r="AF15" i="1383"/>
  <c r="Q15" i="1383"/>
  <c r="P15" i="1383" s="1"/>
  <c r="AC15" i="1383" s="1"/>
  <c r="O15" i="1383"/>
  <c r="AB15" i="1383"/>
  <c r="AF13" i="1383"/>
  <c r="Q13" i="1383"/>
  <c r="P13" i="1383"/>
  <c r="AC13" i="1383" s="1"/>
  <c r="AF12" i="1383"/>
  <c r="Q12" i="1383"/>
  <c r="P12" i="1383" s="1"/>
  <c r="AC12" i="1383" s="1"/>
  <c r="AF11" i="1383"/>
  <c r="Q11" i="1383"/>
  <c r="P11" i="1383" s="1"/>
  <c r="AC11" i="1383" s="1"/>
  <c r="O11" i="1383"/>
  <c r="AF10" i="1383"/>
  <c r="AB10" i="1383"/>
  <c r="Q10" i="1383"/>
  <c r="P10" i="1383"/>
  <c r="AC10" i="1383" s="1"/>
  <c r="AF9" i="1383"/>
  <c r="Q9" i="1383"/>
  <c r="P9" i="1383"/>
  <c r="AC9" i="1383" s="1"/>
  <c r="AF8" i="1383"/>
  <c r="AB8" i="1383"/>
  <c r="Q8" i="1383"/>
  <c r="P8" i="1383"/>
  <c r="AC8" i="1383" s="1"/>
  <c r="AD8" i="1383" s="1"/>
  <c r="O8" i="1383"/>
  <c r="M8" i="1383"/>
  <c r="K8" i="1383"/>
  <c r="AF7" i="1383"/>
  <c r="AB7" i="1383"/>
  <c r="Q7" i="1383"/>
  <c r="P7" i="1383"/>
  <c r="AC7" i="1383" s="1"/>
  <c r="O7" i="1383"/>
  <c r="M7" i="1383"/>
  <c r="K7" i="1383"/>
  <c r="AF6" i="1383"/>
  <c r="AB6" i="1383"/>
  <c r="Q6" i="1383"/>
  <c r="P6" i="1383"/>
  <c r="AC6" i="1383" s="1"/>
  <c r="O6" i="1383"/>
  <c r="M6" i="1383"/>
  <c r="K6" i="1383"/>
  <c r="AD22" i="1385" l="1"/>
  <c r="AE16" i="1385" s="1"/>
  <c r="AD17" i="1384"/>
  <c r="AD9" i="1384"/>
  <c r="AD10" i="1384"/>
  <c r="AB22" i="1384"/>
  <c r="M22" i="1384"/>
  <c r="AD12" i="1384"/>
  <c r="AD19" i="1384"/>
  <c r="P22" i="1384"/>
  <c r="AC22" i="1384"/>
  <c r="M19" i="1383"/>
  <c r="P18" i="1383"/>
  <c r="AC18" i="1383" s="1"/>
  <c r="P16" i="1383"/>
  <c r="AC16" i="1383" s="1"/>
  <c r="AD16" i="1383" s="1"/>
  <c r="AD14" i="1383"/>
  <c r="AB13" i="1383"/>
  <c r="M13" i="1383"/>
  <c r="M10" i="1383"/>
  <c r="O13" i="1383"/>
  <c r="AD17" i="1383"/>
  <c r="AD20" i="1383"/>
  <c r="K10" i="1383"/>
  <c r="AD7" i="1383"/>
  <c r="AD13" i="1383"/>
  <c r="AD19" i="1383"/>
  <c r="AF62" i="1383"/>
  <c r="AD10" i="1383"/>
  <c r="Q21" i="1383"/>
  <c r="AC21" i="1383"/>
  <c r="AD6" i="1383"/>
  <c r="AD15" i="1383"/>
  <c r="AB9" i="1383"/>
  <c r="M12" i="1383"/>
  <c r="AB12" i="1383"/>
  <c r="AB18" i="1383"/>
  <c r="O18" i="1383"/>
  <c r="L21" i="1383"/>
  <c r="O21" i="1383" s="1"/>
  <c r="P21" i="1383"/>
  <c r="M9" i="1383"/>
  <c r="M18" i="1383"/>
  <c r="O9" i="1383"/>
  <c r="M11" i="1383"/>
  <c r="AB11" i="1383"/>
  <c r="AD11" i="1383" s="1"/>
  <c r="O12" i="1383"/>
  <c r="AD12" i="1383" s="1"/>
  <c r="K21" i="1383"/>
  <c r="M15" i="1383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20" i="1382"/>
  <c r="L19" i="1382"/>
  <c r="P19" i="1382" s="1"/>
  <c r="AC19" i="1382" s="1"/>
  <c r="L16" i="1382"/>
  <c r="AB16" i="1382" s="1"/>
  <c r="L13" i="1382"/>
  <c r="K13" i="1382" s="1"/>
  <c r="L12" i="1382"/>
  <c r="K12" i="1382" s="1"/>
  <c r="AF12" i="1382"/>
  <c r="Q12" i="1382"/>
  <c r="O12" i="1382"/>
  <c r="AB12" i="1382"/>
  <c r="L11" i="1382"/>
  <c r="K11" i="1382" s="1"/>
  <c r="L10" i="1382"/>
  <c r="K10" i="1382" s="1"/>
  <c r="L9" i="1382"/>
  <c r="K9" i="1382" s="1"/>
  <c r="K20" i="1382"/>
  <c r="K19" i="1382"/>
  <c r="K17" i="1382"/>
  <c r="K16" i="1382"/>
  <c r="K15" i="1382"/>
  <c r="K8" i="1382"/>
  <c r="A75" i="1382"/>
  <c r="A76" i="1382" s="1"/>
  <c r="A77" i="1382" s="1"/>
  <c r="A78" i="1382" s="1"/>
  <c r="A79" i="1382" s="1"/>
  <c r="A80" i="1382" s="1"/>
  <c r="A81" i="1382" s="1"/>
  <c r="A82" i="1382" s="1"/>
  <c r="AF61" i="1382"/>
  <c r="AF60" i="1382"/>
  <c r="AA22" i="1382"/>
  <c r="Z22" i="1382"/>
  <c r="Y22" i="1382"/>
  <c r="X22" i="1382"/>
  <c r="W22" i="1382"/>
  <c r="V22" i="1382"/>
  <c r="U22" i="1382"/>
  <c r="T22" i="1382"/>
  <c r="S22" i="1382"/>
  <c r="R22" i="1382"/>
  <c r="N22" i="1382"/>
  <c r="J22" i="1382"/>
  <c r="I22" i="1382"/>
  <c r="AF21" i="1382"/>
  <c r="AB21" i="1382"/>
  <c r="Q21" i="1382"/>
  <c r="P21" i="1382"/>
  <c r="AC21" i="1382" s="1"/>
  <c r="O21" i="1382"/>
  <c r="M21" i="1382"/>
  <c r="K21" i="1382"/>
  <c r="AF20" i="1382"/>
  <c r="Q20" i="1382"/>
  <c r="O20" i="1382"/>
  <c r="P20" i="1382"/>
  <c r="AC20" i="1382" s="1"/>
  <c r="AF19" i="1382"/>
  <c r="AB19" i="1382"/>
  <c r="Q19" i="1382"/>
  <c r="O19" i="1382"/>
  <c r="M19" i="1382"/>
  <c r="AF18" i="1382"/>
  <c r="AB18" i="1382"/>
  <c r="Q18" i="1382"/>
  <c r="P18" i="1382"/>
  <c r="AC18" i="1382" s="1"/>
  <c r="O18" i="1382"/>
  <c r="M18" i="1382"/>
  <c r="AF17" i="1382"/>
  <c r="AB17" i="1382"/>
  <c r="Q17" i="1382"/>
  <c r="P17" i="1382"/>
  <c r="AC17" i="1382" s="1"/>
  <c r="O17" i="1382"/>
  <c r="M17" i="1382"/>
  <c r="AF16" i="1382"/>
  <c r="Q16" i="1382"/>
  <c r="AF15" i="1382"/>
  <c r="AB15" i="1382"/>
  <c r="Q15" i="1382"/>
  <c r="P15" i="1382"/>
  <c r="AC15" i="1382" s="1"/>
  <c r="M15" i="1382"/>
  <c r="O15" i="1382"/>
  <c r="AF14" i="1382"/>
  <c r="AB14" i="1382"/>
  <c r="Q14" i="1382"/>
  <c r="P14" i="1382"/>
  <c r="AC14" i="1382" s="1"/>
  <c r="O14" i="1382"/>
  <c r="M14" i="1382"/>
  <c r="AF13" i="1382"/>
  <c r="Q13" i="1382"/>
  <c r="P13" i="1382" s="1"/>
  <c r="AC13" i="1382" s="1"/>
  <c r="M13" i="1382"/>
  <c r="AF11" i="1382"/>
  <c r="Q11" i="1382"/>
  <c r="O11" i="1382"/>
  <c r="AF10" i="1382"/>
  <c r="AB10" i="1382"/>
  <c r="Q10" i="1382"/>
  <c r="P10" i="1382" s="1"/>
  <c r="AC10" i="1382" s="1"/>
  <c r="O10" i="1382"/>
  <c r="AF9" i="1382"/>
  <c r="Q9" i="1382"/>
  <c r="O9" i="1382"/>
  <c r="AF8" i="1382"/>
  <c r="Q8" i="1382"/>
  <c r="O8" i="1382"/>
  <c r="AF7" i="1382"/>
  <c r="AB7" i="1382"/>
  <c r="Q7" i="1382"/>
  <c r="P7" i="1382"/>
  <c r="AC7" i="1382" s="1"/>
  <c r="O7" i="1382"/>
  <c r="M7" i="1382"/>
  <c r="K7" i="1382"/>
  <c r="AF6" i="1382"/>
  <c r="AB6" i="1382"/>
  <c r="Q6" i="1382"/>
  <c r="P6" i="1382"/>
  <c r="O6" i="1382"/>
  <c r="M6" i="1382"/>
  <c r="K6" i="1382"/>
  <c r="AE20" i="1385" l="1"/>
  <c r="AE18" i="1385"/>
  <c r="AE15" i="1385"/>
  <c r="AE13" i="1385"/>
  <c r="AE10" i="1385"/>
  <c r="AE17" i="1385"/>
  <c r="AE11" i="1385"/>
  <c r="AE6" i="1385"/>
  <c r="AE8" i="1385"/>
  <c r="AE19" i="1385"/>
  <c r="AE14" i="1385"/>
  <c r="AE9" i="1385"/>
  <c r="AE7" i="1385"/>
  <c r="AE21" i="1385"/>
  <c r="AE12" i="1385"/>
  <c r="AD22" i="1384"/>
  <c r="AB21" i="1383"/>
  <c r="M21" i="1383"/>
  <c r="AD18" i="1383"/>
  <c r="AD21" i="1383" s="1"/>
  <c r="AE14" i="1383" s="1"/>
  <c r="AD9" i="1383"/>
  <c r="AD7" i="1382"/>
  <c r="O13" i="1382"/>
  <c r="AB13" i="1382"/>
  <c r="P12" i="1382"/>
  <c r="AC12" i="1382" s="1"/>
  <c r="AD12" i="1382" s="1"/>
  <c r="AD21" i="1382"/>
  <c r="AD17" i="1382"/>
  <c r="M12" i="1382"/>
  <c r="Q22" i="1382"/>
  <c r="AD19" i="1382"/>
  <c r="AB9" i="1382"/>
  <c r="AD13" i="1382"/>
  <c r="AF63" i="1382"/>
  <c r="AD14" i="1382"/>
  <c r="M9" i="1382"/>
  <c r="M10" i="1382"/>
  <c r="P9" i="1382"/>
  <c r="AC9" i="1382" s="1"/>
  <c r="AD15" i="1382"/>
  <c r="AD18" i="1382"/>
  <c r="AD10" i="1382"/>
  <c r="O16" i="1382"/>
  <c r="P8" i="1382"/>
  <c r="AC8" i="1382" s="1"/>
  <c r="P11" i="1382"/>
  <c r="AC11" i="1382" s="1"/>
  <c r="P16" i="1382"/>
  <c r="AC16" i="1382" s="1"/>
  <c r="M20" i="1382"/>
  <c r="AB20" i="1382"/>
  <c r="AD20" i="1382" s="1"/>
  <c r="AC6" i="1382"/>
  <c r="M8" i="1382"/>
  <c r="AB8" i="1382"/>
  <c r="M11" i="1382"/>
  <c r="AB11" i="1382"/>
  <c r="M16" i="1382"/>
  <c r="L22" i="1382"/>
  <c r="O22" i="1382" s="1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21" i="1381"/>
  <c r="L20" i="1381"/>
  <c r="L18" i="1381"/>
  <c r="K18" i="1381"/>
  <c r="L17" i="1381"/>
  <c r="L16" i="1381"/>
  <c r="L14" i="1381"/>
  <c r="K14" i="1381" s="1"/>
  <c r="AF14" i="1381"/>
  <c r="AB14" i="1381"/>
  <c r="Q14" i="1381"/>
  <c r="P14" i="1381"/>
  <c r="AC14" i="1381" s="1"/>
  <c r="O14" i="1381"/>
  <c r="M14" i="1381"/>
  <c r="K13" i="1381"/>
  <c r="L12" i="1381"/>
  <c r="L11" i="1381"/>
  <c r="K11" i="1381"/>
  <c r="AF11" i="1381"/>
  <c r="Q11" i="1381"/>
  <c r="P11" i="1381"/>
  <c r="AC11" i="1381" s="1"/>
  <c r="L10" i="1381"/>
  <c r="L9" i="1381"/>
  <c r="K9" i="1381"/>
  <c r="L8" i="1381"/>
  <c r="AE9" i="1384" l="1"/>
  <c r="AE13" i="1384"/>
  <c r="AE16" i="1384"/>
  <c r="AE11" i="1384"/>
  <c r="AE6" i="1384"/>
  <c r="AE12" i="1384"/>
  <c r="AE21" i="1384"/>
  <c r="AE14" i="1384"/>
  <c r="AE10" i="1384"/>
  <c r="AE20" i="1384"/>
  <c r="AE19" i="1384"/>
  <c r="AE8" i="1384"/>
  <c r="AE7" i="1384"/>
  <c r="AE17" i="1384"/>
  <c r="AE18" i="1384"/>
  <c r="AE15" i="1384"/>
  <c r="AE19" i="1383"/>
  <c r="AE10" i="1383"/>
  <c r="AE7" i="1383"/>
  <c r="AE15" i="1383"/>
  <c r="AE17" i="1383"/>
  <c r="AE8" i="1383"/>
  <c r="AE12" i="1383"/>
  <c r="AE9" i="1383"/>
  <c r="AE20" i="1383"/>
  <c r="AE13" i="1383"/>
  <c r="AE11" i="1383"/>
  <c r="AE6" i="1383"/>
  <c r="AE18" i="1383"/>
  <c r="AE16" i="1383"/>
  <c r="AD8" i="1382"/>
  <c r="AD9" i="1382"/>
  <c r="AD11" i="1382"/>
  <c r="AD16" i="1382"/>
  <c r="M22" i="1382"/>
  <c r="AC22" i="1382"/>
  <c r="AD6" i="1382"/>
  <c r="AB22" i="1382"/>
  <c r="K22" i="1382"/>
  <c r="P22" i="1382"/>
  <c r="AD14" i="1381"/>
  <c r="M11" i="1381"/>
  <c r="AB11" i="1381"/>
  <c r="AD11" i="1381" s="1"/>
  <c r="O11" i="1381"/>
  <c r="AD22" i="1382" l="1"/>
  <c r="AE7" i="1382" s="1"/>
  <c r="K21" i="1381"/>
  <c r="K20" i="1381"/>
  <c r="K12" i="1381"/>
  <c r="K10" i="1381"/>
  <c r="K8" i="1381"/>
  <c r="A76" i="1381"/>
  <c r="A77" i="1381" s="1"/>
  <c r="A78" i="1381" s="1"/>
  <c r="A79" i="1381" s="1"/>
  <c r="A80" i="1381" s="1"/>
  <c r="A81" i="1381" s="1"/>
  <c r="A82" i="1381" s="1"/>
  <c r="A83" i="1381" s="1"/>
  <c r="AF62" i="1381"/>
  <c r="AF64" i="1381" s="1"/>
  <c r="AF61" i="1381"/>
  <c r="AA23" i="1381"/>
  <c r="Z23" i="1381"/>
  <c r="Y23" i="1381"/>
  <c r="X23" i="1381"/>
  <c r="W23" i="1381"/>
  <c r="V23" i="1381"/>
  <c r="U23" i="1381"/>
  <c r="T23" i="1381"/>
  <c r="S23" i="1381"/>
  <c r="R23" i="1381"/>
  <c r="N23" i="1381"/>
  <c r="J23" i="1381"/>
  <c r="I23" i="1381"/>
  <c r="AF22" i="1381"/>
  <c r="AB22" i="1381"/>
  <c r="Q22" i="1381"/>
  <c r="P22" i="1381"/>
  <c r="AC22" i="1381" s="1"/>
  <c r="O22" i="1381"/>
  <c r="M22" i="1381"/>
  <c r="K22" i="1381"/>
  <c r="AF21" i="1381"/>
  <c r="Q21" i="1381"/>
  <c r="P21" i="1381"/>
  <c r="AC21" i="1381" s="1"/>
  <c r="O21" i="1381"/>
  <c r="AF20" i="1381"/>
  <c r="Q20" i="1381"/>
  <c r="P20" i="1381"/>
  <c r="AC20" i="1381" s="1"/>
  <c r="O20" i="1381"/>
  <c r="AB20" i="1381"/>
  <c r="AF19" i="1381"/>
  <c r="AC19" i="1381"/>
  <c r="AB19" i="1381"/>
  <c r="Q19" i="1381"/>
  <c r="P19" i="1381"/>
  <c r="O19" i="1381"/>
  <c r="M19" i="1381"/>
  <c r="AF18" i="1381"/>
  <c r="AB18" i="1381"/>
  <c r="Q18" i="1381"/>
  <c r="P18" i="1381" s="1"/>
  <c r="AC18" i="1381" s="1"/>
  <c r="O18" i="1381"/>
  <c r="M18" i="1381"/>
  <c r="AF17" i="1381"/>
  <c r="AB17" i="1381"/>
  <c r="Q17" i="1381"/>
  <c r="P17" i="1381" s="1"/>
  <c r="AC17" i="1381" s="1"/>
  <c r="O17" i="1381"/>
  <c r="M17" i="1381"/>
  <c r="K17" i="1381"/>
  <c r="AF16" i="1381"/>
  <c r="AB16" i="1381"/>
  <c r="Q16" i="1381"/>
  <c r="P16" i="1381"/>
  <c r="AC16" i="1381" s="1"/>
  <c r="O16" i="1381"/>
  <c r="M16" i="1381"/>
  <c r="K16" i="1381"/>
  <c r="AF15" i="1381"/>
  <c r="AB15" i="1381"/>
  <c r="Q15" i="1381"/>
  <c r="P15" i="1381"/>
  <c r="AC15" i="1381" s="1"/>
  <c r="O15" i="1381"/>
  <c r="M15" i="1381"/>
  <c r="AF13" i="1381"/>
  <c r="AB13" i="1381"/>
  <c r="Q13" i="1381"/>
  <c r="P13" i="1381" s="1"/>
  <c r="AC13" i="1381" s="1"/>
  <c r="O13" i="1381"/>
  <c r="M13" i="1381"/>
  <c r="AF12" i="1381"/>
  <c r="Q12" i="1381"/>
  <c r="P12" i="1381" s="1"/>
  <c r="AC12" i="1381" s="1"/>
  <c r="O12" i="1381"/>
  <c r="AB12" i="1381"/>
  <c r="AF10" i="1381"/>
  <c r="AB10" i="1381"/>
  <c r="Q10" i="1381"/>
  <c r="P10" i="1381" s="1"/>
  <c r="AC10" i="1381" s="1"/>
  <c r="O10" i="1381"/>
  <c r="M10" i="1381"/>
  <c r="AF9" i="1381"/>
  <c r="Q9" i="1381"/>
  <c r="M9" i="1381"/>
  <c r="AF8" i="1381"/>
  <c r="Q8" i="1381"/>
  <c r="P8" i="1381" s="1"/>
  <c r="O8" i="1381"/>
  <c r="AF7" i="1381"/>
  <c r="AB7" i="1381"/>
  <c r="Q7" i="1381"/>
  <c r="P7" i="1381"/>
  <c r="AC7" i="1381" s="1"/>
  <c r="O7" i="1381"/>
  <c r="M7" i="1381"/>
  <c r="K7" i="1381"/>
  <c r="AF6" i="1381"/>
  <c r="AB6" i="1381"/>
  <c r="Q6" i="1381"/>
  <c r="P6" i="1381"/>
  <c r="AC6" i="1381" s="1"/>
  <c r="O6" i="1381"/>
  <c r="M6" i="1381"/>
  <c r="K6" i="1381"/>
  <c r="AE18" i="1382" l="1"/>
  <c r="AE19" i="1382"/>
  <c r="AE8" i="1382"/>
  <c r="AE6" i="1382"/>
  <c r="AE20" i="1382"/>
  <c r="AE11" i="1382"/>
  <c r="AE15" i="1382"/>
  <c r="AE12" i="1382"/>
  <c r="AE9" i="1382"/>
  <c r="AE10" i="1382"/>
  <c r="AE14" i="1382"/>
  <c r="AE16" i="1382"/>
  <c r="AE13" i="1382"/>
  <c r="AE17" i="1382"/>
  <c r="AE21" i="1382"/>
  <c r="AD19" i="1381"/>
  <c r="AD17" i="1381"/>
  <c r="Q23" i="1381"/>
  <c r="AD10" i="1381"/>
  <c r="AD13" i="1381"/>
  <c r="AD16" i="1381"/>
  <c r="AD22" i="1381"/>
  <c r="AD7" i="1381"/>
  <c r="AD15" i="1381"/>
  <c r="AD18" i="1381"/>
  <c r="AD12" i="1381"/>
  <c r="AD20" i="1381"/>
  <c r="K23" i="1381"/>
  <c r="L23" i="1381"/>
  <c r="O23" i="1381" s="1"/>
  <c r="AB9" i="1381"/>
  <c r="M8" i="1381"/>
  <c r="AB8" i="1381"/>
  <c r="O9" i="1381"/>
  <c r="M21" i="1381"/>
  <c r="AB21" i="1381"/>
  <c r="AD21" i="1381" s="1"/>
  <c r="AD6" i="1381"/>
  <c r="AC8" i="1381"/>
  <c r="P9" i="1381"/>
  <c r="AC9" i="1381" s="1"/>
  <c r="M12" i="1381"/>
  <c r="M20" i="1381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0" i="1380"/>
  <c r="L19" i="1380"/>
  <c r="K13" i="1380"/>
  <c r="L12" i="1380"/>
  <c r="K12" i="1380"/>
  <c r="L11" i="1380"/>
  <c r="K11" i="1380"/>
  <c r="L10" i="1380"/>
  <c r="AB10" i="1380" s="1"/>
  <c r="L9" i="1380"/>
  <c r="AB9" i="1380" s="1"/>
  <c r="AF9" i="1380"/>
  <c r="Q9" i="1380"/>
  <c r="K8" i="1380"/>
  <c r="K21" i="1380"/>
  <c r="K20" i="1380"/>
  <c r="K19" i="1380"/>
  <c r="K10" i="1380"/>
  <c r="A75" i="1380"/>
  <c r="A76" i="1380" s="1"/>
  <c r="A77" i="1380" s="1"/>
  <c r="A78" i="1380" s="1"/>
  <c r="A79" i="1380" s="1"/>
  <c r="A80" i="1380" s="1"/>
  <c r="A81" i="1380" s="1"/>
  <c r="A82" i="1380" s="1"/>
  <c r="AF61" i="1380"/>
  <c r="AF60" i="1380"/>
  <c r="AF63" i="1380" s="1"/>
  <c r="AA22" i="1380"/>
  <c r="Z22" i="1380"/>
  <c r="Y22" i="1380"/>
  <c r="X22" i="1380"/>
  <c r="W22" i="1380"/>
  <c r="V22" i="1380"/>
  <c r="U22" i="1380"/>
  <c r="T22" i="1380"/>
  <c r="S22" i="1380"/>
  <c r="R22" i="1380"/>
  <c r="N22" i="1380"/>
  <c r="J22" i="1380"/>
  <c r="I22" i="1380"/>
  <c r="AF21" i="1380"/>
  <c r="Q21" i="1380"/>
  <c r="O21" i="1380"/>
  <c r="AF20" i="1380"/>
  <c r="Q20" i="1380"/>
  <c r="AB20" i="1380"/>
  <c r="AF19" i="1380"/>
  <c r="Q19" i="1380"/>
  <c r="O19" i="1380"/>
  <c r="AB19" i="1380"/>
  <c r="AF18" i="1380"/>
  <c r="AB18" i="1380"/>
  <c r="Q18" i="1380"/>
  <c r="P18" i="1380"/>
  <c r="AC18" i="1380" s="1"/>
  <c r="O18" i="1380"/>
  <c r="M18" i="1380"/>
  <c r="AF17" i="1380"/>
  <c r="AB17" i="1380"/>
  <c r="Q17" i="1380"/>
  <c r="P17" i="1380"/>
  <c r="AC17" i="1380" s="1"/>
  <c r="O17" i="1380"/>
  <c r="M17" i="1380"/>
  <c r="AF16" i="1380"/>
  <c r="AB16" i="1380"/>
  <c r="Q16" i="1380"/>
  <c r="P16" i="1380"/>
  <c r="AC16" i="1380" s="1"/>
  <c r="O16" i="1380"/>
  <c r="M16" i="1380"/>
  <c r="K16" i="1380"/>
  <c r="AF15" i="1380"/>
  <c r="AB15" i="1380"/>
  <c r="Q15" i="1380"/>
  <c r="P15" i="1380"/>
  <c r="AC15" i="1380" s="1"/>
  <c r="O15" i="1380"/>
  <c r="M15" i="1380"/>
  <c r="K15" i="1380"/>
  <c r="AF14" i="1380"/>
  <c r="AB14" i="1380"/>
  <c r="Q14" i="1380"/>
  <c r="P14" i="1380"/>
  <c r="AC14" i="1380" s="1"/>
  <c r="O14" i="1380"/>
  <c r="M14" i="1380"/>
  <c r="AF13" i="1380"/>
  <c r="AB13" i="1380"/>
  <c r="Q13" i="1380"/>
  <c r="P13" i="1380" s="1"/>
  <c r="AC13" i="1380" s="1"/>
  <c r="O13" i="1380"/>
  <c r="M13" i="1380"/>
  <c r="AF12" i="1380"/>
  <c r="AB12" i="1380"/>
  <c r="Q12" i="1380"/>
  <c r="P12" i="1380"/>
  <c r="AC12" i="1380" s="1"/>
  <c r="O12" i="1380"/>
  <c r="M12" i="1380"/>
  <c r="AF11" i="1380"/>
  <c r="Q11" i="1380"/>
  <c r="P11" i="1380" s="1"/>
  <c r="AC11" i="1380" s="1"/>
  <c r="O11" i="1380"/>
  <c r="AF10" i="1380"/>
  <c r="Q10" i="1380"/>
  <c r="P10" i="1380" s="1"/>
  <c r="AC10" i="1380" s="1"/>
  <c r="O10" i="1380"/>
  <c r="AF8" i="1380"/>
  <c r="Q8" i="1380"/>
  <c r="O8" i="1380"/>
  <c r="AF7" i="1380"/>
  <c r="AB7" i="1380"/>
  <c r="Q7" i="1380"/>
  <c r="P7" i="1380"/>
  <c r="AC7" i="1380" s="1"/>
  <c r="O7" i="1380"/>
  <c r="M7" i="1380"/>
  <c r="K7" i="1380"/>
  <c r="AF6" i="1380"/>
  <c r="AB6" i="1380"/>
  <c r="Q6" i="1380"/>
  <c r="P6" i="1380"/>
  <c r="O6" i="1380"/>
  <c r="M6" i="1380"/>
  <c r="K6" i="1380"/>
  <c r="AB23" i="1381" l="1"/>
  <c r="P23" i="1381"/>
  <c r="AD9" i="1381"/>
  <c r="M23" i="1381"/>
  <c r="AC23" i="1381"/>
  <c r="AD8" i="1381"/>
  <c r="M9" i="1380"/>
  <c r="P19" i="1380"/>
  <c r="AC19" i="1380" s="1"/>
  <c r="P20" i="1380"/>
  <c r="AC20" i="1380" s="1"/>
  <c r="M10" i="1380"/>
  <c r="P9" i="1380"/>
  <c r="AC9" i="1380" s="1"/>
  <c r="O9" i="1380"/>
  <c r="K9" i="1380"/>
  <c r="K22" i="1380" s="1"/>
  <c r="AD7" i="1380"/>
  <c r="AD10" i="1380"/>
  <c r="AD13" i="1380"/>
  <c r="Q22" i="1380"/>
  <c r="AD16" i="1380"/>
  <c r="AD12" i="1380"/>
  <c r="AD17" i="1380"/>
  <c r="AD18" i="1380"/>
  <c r="AD15" i="1380"/>
  <c r="AD14" i="1380"/>
  <c r="AD19" i="1380"/>
  <c r="P8" i="1380"/>
  <c r="AC8" i="1380" s="1"/>
  <c r="M11" i="1380"/>
  <c r="AB11" i="1380"/>
  <c r="AD11" i="1380" s="1"/>
  <c r="M19" i="1380"/>
  <c r="O20" i="1380"/>
  <c r="AD20" i="1380" s="1"/>
  <c r="P21" i="1380"/>
  <c r="AC21" i="1380" s="1"/>
  <c r="AC6" i="1380"/>
  <c r="M8" i="1380"/>
  <c r="AB8" i="1380"/>
  <c r="M21" i="1380"/>
  <c r="AB21" i="1380"/>
  <c r="L22" i="1380"/>
  <c r="O22" i="1380" s="1"/>
  <c r="M20" i="1380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22" i="1379"/>
  <c r="L21" i="1379"/>
  <c r="O21" i="1379" s="1"/>
  <c r="AF20" i="1379"/>
  <c r="AB20" i="1379"/>
  <c r="Q20" i="1379"/>
  <c r="P20" i="1379"/>
  <c r="AC20" i="1379" s="1"/>
  <c r="AD20" i="1379" s="1"/>
  <c r="O20" i="1379"/>
  <c r="M20" i="1379"/>
  <c r="K20" i="1379"/>
  <c r="K21" i="1379"/>
  <c r="AF19" i="1379"/>
  <c r="AB19" i="1379"/>
  <c r="Q19" i="1379"/>
  <c r="P19" i="1379" s="1"/>
  <c r="AC19" i="1379" s="1"/>
  <c r="AD19" i="1379" s="1"/>
  <c r="O19" i="1379"/>
  <c r="M19" i="1379"/>
  <c r="K19" i="1379"/>
  <c r="L18" i="1379"/>
  <c r="M18" i="1379" s="1"/>
  <c r="L10" i="1379"/>
  <c r="L9" i="1379"/>
  <c r="K9" i="1379" s="1"/>
  <c r="L8" i="1379"/>
  <c r="K8" i="1379" s="1"/>
  <c r="K22" i="1379"/>
  <c r="K18" i="1379"/>
  <c r="K10" i="1379"/>
  <c r="A76" i="1379"/>
  <c r="A77" i="1379" s="1"/>
  <c r="A78" i="1379" s="1"/>
  <c r="A79" i="1379" s="1"/>
  <c r="A80" i="1379" s="1"/>
  <c r="A81" i="1379" s="1"/>
  <c r="A82" i="1379" s="1"/>
  <c r="A83" i="1379" s="1"/>
  <c r="AF64" i="1379"/>
  <c r="AF62" i="1379"/>
  <c r="AF61" i="1379"/>
  <c r="AA23" i="1379"/>
  <c r="Z23" i="1379"/>
  <c r="Y23" i="1379"/>
  <c r="X23" i="1379"/>
  <c r="W23" i="1379"/>
  <c r="V23" i="1379"/>
  <c r="U23" i="1379"/>
  <c r="T23" i="1379"/>
  <c r="S23" i="1379"/>
  <c r="R23" i="1379"/>
  <c r="N23" i="1379"/>
  <c r="J23" i="1379"/>
  <c r="I23" i="1379"/>
  <c r="AF22" i="1379"/>
  <c r="Q22" i="1379"/>
  <c r="AB22" i="1379"/>
  <c r="AF21" i="1379"/>
  <c r="AB21" i="1379"/>
  <c r="Q21" i="1379"/>
  <c r="P21" i="1379" s="1"/>
  <c r="AC21" i="1379" s="1"/>
  <c r="M21" i="1379"/>
  <c r="AF18" i="1379"/>
  <c r="AB18" i="1379"/>
  <c r="Q18" i="1379"/>
  <c r="P18" i="1379"/>
  <c r="AC18" i="1379" s="1"/>
  <c r="AF17" i="1379"/>
  <c r="AB17" i="1379"/>
  <c r="Q17" i="1379"/>
  <c r="P17" i="1379"/>
  <c r="AC17" i="1379" s="1"/>
  <c r="O17" i="1379"/>
  <c r="M17" i="1379"/>
  <c r="AF16" i="1379"/>
  <c r="AB16" i="1379"/>
  <c r="Q16" i="1379"/>
  <c r="P16" i="1379"/>
  <c r="AC16" i="1379" s="1"/>
  <c r="O16" i="1379"/>
  <c r="M16" i="1379"/>
  <c r="AF15" i="1379"/>
  <c r="AB15" i="1379"/>
  <c r="Q15" i="1379"/>
  <c r="P15" i="1379"/>
  <c r="AC15" i="1379" s="1"/>
  <c r="AD15" i="1379" s="1"/>
  <c r="O15" i="1379"/>
  <c r="M15" i="1379"/>
  <c r="K15" i="1379"/>
  <c r="AF14" i="1379"/>
  <c r="AB14" i="1379"/>
  <c r="Q14" i="1379"/>
  <c r="P14" i="1379"/>
  <c r="AC14" i="1379" s="1"/>
  <c r="O14" i="1379"/>
  <c r="M14" i="1379"/>
  <c r="K14" i="1379"/>
  <c r="AF13" i="1379"/>
  <c r="AC13" i="1379"/>
  <c r="AB13" i="1379"/>
  <c r="Q13" i="1379"/>
  <c r="P13" i="1379"/>
  <c r="O13" i="1379"/>
  <c r="M13" i="1379"/>
  <c r="AF12" i="1379"/>
  <c r="AB12" i="1379"/>
  <c r="Q12" i="1379"/>
  <c r="P12" i="1379"/>
  <c r="AC12" i="1379" s="1"/>
  <c r="O12" i="1379"/>
  <c r="M12" i="1379"/>
  <c r="AF11" i="1379"/>
  <c r="AB11" i="1379"/>
  <c r="Q11" i="1379"/>
  <c r="P11" i="1379"/>
  <c r="AC11" i="1379" s="1"/>
  <c r="O11" i="1379"/>
  <c r="M11" i="1379"/>
  <c r="AF10" i="1379"/>
  <c r="AB10" i="1379"/>
  <c r="Q10" i="1379"/>
  <c r="M10" i="1379"/>
  <c r="AF9" i="1379"/>
  <c r="AB9" i="1379"/>
  <c r="Q9" i="1379"/>
  <c r="P9" i="1379" s="1"/>
  <c r="AC9" i="1379" s="1"/>
  <c r="O9" i="1379"/>
  <c r="M9" i="1379"/>
  <c r="AF8" i="1379"/>
  <c r="AB8" i="1379"/>
  <c r="Q8" i="1379"/>
  <c r="O8" i="1379"/>
  <c r="M8" i="1379"/>
  <c r="L23" i="1379"/>
  <c r="O23" i="1379" s="1"/>
  <c r="AF7" i="1379"/>
  <c r="AB7" i="1379"/>
  <c r="Q7" i="1379"/>
  <c r="P7" i="1379"/>
  <c r="AC7" i="1379" s="1"/>
  <c r="AD7" i="1379" s="1"/>
  <c r="O7" i="1379"/>
  <c r="M7" i="1379"/>
  <c r="K7" i="1379"/>
  <c r="AF6" i="1379"/>
  <c r="AB6" i="1379"/>
  <c r="Q6" i="1379"/>
  <c r="P6" i="1379"/>
  <c r="AC6" i="1379" s="1"/>
  <c r="O6" i="1379"/>
  <c r="M6" i="1379"/>
  <c r="K6" i="1379"/>
  <c r="AD23" i="1381" l="1"/>
  <c r="AE14" i="1381" s="1"/>
  <c r="AD9" i="1380"/>
  <c r="M22" i="1380"/>
  <c r="AD21" i="1380"/>
  <c r="AB22" i="1380"/>
  <c r="AC22" i="1380"/>
  <c r="AD6" i="1380"/>
  <c r="P22" i="1380"/>
  <c r="AD8" i="1380"/>
  <c r="P22" i="1379"/>
  <c r="AC22" i="1379" s="1"/>
  <c r="O22" i="1379"/>
  <c r="AD21" i="1379"/>
  <c r="P10" i="1379"/>
  <c r="AC10" i="1379" s="1"/>
  <c r="Q23" i="1379"/>
  <c r="AD9" i="1379"/>
  <c r="AB23" i="1379"/>
  <c r="AD13" i="1379"/>
  <c r="AD11" i="1379"/>
  <c r="AD14" i="1379"/>
  <c r="AD17" i="1379"/>
  <c r="AD12" i="1379"/>
  <c r="AD16" i="1379"/>
  <c r="AD6" i="1379"/>
  <c r="AD22" i="1379"/>
  <c r="P8" i="1379"/>
  <c r="AC8" i="1379" s="1"/>
  <c r="AD8" i="1379" s="1"/>
  <c r="O10" i="1379"/>
  <c r="O18" i="1379"/>
  <c r="AD18" i="1379" s="1"/>
  <c r="K23" i="1379"/>
  <c r="M22" i="1379"/>
  <c r="M23" i="1379" s="1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20" i="1378"/>
  <c r="AB20" i="1378" s="1"/>
  <c r="K20" i="1378"/>
  <c r="L19" i="1378"/>
  <c r="K19" i="1378"/>
  <c r="L18" i="1378"/>
  <c r="P18" i="1378" s="1"/>
  <c r="AC18" i="1378" s="1"/>
  <c r="K18" i="1378"/>
  <c r="L10" i="1378"/>
  <c r="K10" i="1378" s="1"/>
  <c r="L8" i="1378"/>
  <c r="K8" i="1378"/>
  <c r="A74" i="1378"/>
  <c r="A75" i="1378" s="1"/>
  <c r="A76" i="1378" s="1"/>
  <c r="A77" i="1378" s="1"/>
  <c r="A78" i="1378" s="1"/>
  <c r="A79" i="1378" s="1"/>
  <c r="A80" i="1378" s="1"/>
  <c r="A81" i="1378" s="1"/>
  <c r="AF60" i="1378"/>
  <c r="AF62" i="1378" s="1"/>
  <c r="AF59" i="1378"/>
  <c r="AA21" i="1378"/>
  <c r="Z21" i="1378"/>
  <c r="Y21" i="1378"/>
  <c r="X21" i="1378"/>
  <c r="W21" i="1378"/>
  <c r="V21" i="1378"/>
  <c r="U21" i="1378"/>
  <c r="T21" i="1378"/>
  <c r="S21" i="1378"/>
  <c r="R21" i="1378"/>
  <c r="N21" i="1378"/>
  <c r="J21" i="1378"/>
  <c r="I21" i="1378"/>
  <c r="AF20" i="1378"/>
  <c r="Q20" i="1378"/>
  <c r="P20" i="1378" s="1"/>
  <c r="AC20" i="1378" s="1"/>
  <c r="O20" i="1378"/>
  <c r="AF19" i="1378"/>
  <c r="Q19" i="1378"/>
  <c r="AB19" i="1378"/>
  <c r="AF18" i="1378"/>
  <c r="AB18" i="1378"/>
  <c r="Q18" i="1378"/>
  <c r="M18" i="1378"/>
  <c r="O18" i="1378"/>
  <c r="AF17" i="1378"/>
  <c r="AC17" i="1378"/>
  <c r="AD17" i="1378" s="1"/>
  <c r="AB17" i="1378"/>
  <c r="Q17" i="1378"/>
  <c r="P17" i="1378"/>
  <c r="O17" i="1378"/>
  <c r="M17" i="1378"/>
  <c r="AF16" i="1378"/>
  <c r="AB16" i="1378"/>
  <c r="Q16" i="1378"/>
  <c r="P16" i="1378"/>
  <c r="AC16" i="1378" s="1"/>
  <c r="AD16" i="1378" s="1"/>
  <c r="O16" i="1378"/>
  <c r="M16" i="1378"/>
  <c r="AF15" i="1378"/>
  <c r="AC15" i="1378"/>
  <c r="AD15" i="1378" s="1"/>
  <c r="AB15" i="1378"/>
  <c r="Q15" i="1378"/>
  <c r="P15" i="1378"/>
  <c r="O15" i="1378"/>
  <c r="M15" i="1378"/>
  <c r="K15" i="1378"/>
  <c r="AF14" i="1378"/>
  <c r="AC14" i="1378"/>
  <c r="AD14" i="1378" s="1"/>
  <c r="AB14" i="1378"/>
  <c r="Q14" i="1378"/>
  <c r="P14" i="1378"/>
  <c r="O14" i="1378"/>
  <c r="M14" i="1378"/>
  <c r="K14" i="1378"/>
  <c r="AF13" i="1378"/>
  <c r="AC13" i="1378"/>
  <c r="AD13" i="1378" s="1"/>
  <c r="AB13" i="1378"/>
  <c r="Q13" i="1378"/>
  <c r="P13" i="1378"/>
  <c r="O13" i="1378"/>
  <c r="M13" i="1378"/>
  <c r="AF12" i="1378"/>
  <c r="AB12" i="1378"/>
  <c r="Q12" i="1378"/>
  <c r="P12" i="1378"/>
  <c r="AC12" i="1378" s="1"/>
  <c r="AD12" i="1378" s="1"/>
  <c r="O12" i="1378"/>
  <c r="M12" i="1378"/>
  <c r="AF11" i="1378"/>
  <c r="AC11" i="1378"/>
  <c r="AD11" i="1378" s="1"/>
  <c r="AB11" i="1378"/>
  <c r="Q11" i="1378"/>
  <c r="P11" i="1378"/>
  <c r="O11" i="1378"/>
  <c r="M11" i="1378"/>
  <c r="AF10" i="1378"/>
  <c r="AB10" i="1378"/>
  <c r="Q10" i="1378"/>
  <c r="P10" i="1378" s="1"/>
  <c r="AC10" i="1378" s="1"/>
  <c r="M10" i="1378"/>
  <c r="O10" i="1378"/>
  <c r="AF9" i="1378"/>
  <c r="AC9" i="1378"/>
  <c r="AD9" i="1378" s="1"/>
  <c r="AB9" i="1378"/>
  <c r="Q9" i="1378"/>
  <c r="P9" i="1378"/>
  <c r="O9" i="1378"/>
  <c r="M9" i="1378"/>
  <c r="K9" i="1378"/>
  <c r="AF8" i="1378"/>
  <c r="AB8" i="1378"/>
  <c r="Q8" i="1378"/>
  <c r="P8" i="1378" s="1"/>
  <c r="AC8" i="1378" s="1"/>
  <c r="O8" i="1378"/>
  <c r="M8" i="1378"/>
  <c r="AF7" i="1378"/>
  <c r="AB7" i="1378"/>
  <c r="Q7" i="1378"/>
  <c r="P7" i="1378"/>
  <c r="AC7" i="1378" s="1"/>
  <c r="AD7" i="1378" s="1"/>
  <c r="O7" i="1378"/>
  <c r="M7" i="1378"/>
  <c r="K7" i="1378"/>
  <c r="AF6" i="1378"/>
  <c r="AB6" i="1378"/>
  <c r="Q6" i="1378"/>
  <c r="P6" i="1378"/>
  <c r="O6" i="1378"/>
  <c r="M6" i="1378"/>
  <c r="K6" i="1378"/>
  <c r="AE21" i="1381" l="1"/>
  <c r="AE11" i="1381"/>
  <c r="AE16" i="1381"/>
  <c r="AE12" i="1381"/>
  <c r="AE22" i="1381"/>
  <c r="AE20" i="1381"/>
  <c r="AE8" i="1381"/>
  <c r="AE13" i="1381"/>
  <c r="AE17" i="1381"/>
  <c r="AE6" i="1381"/>
  <c r="AE7" i="1381"/>
  <c r="AE19" i="1381"/>
  <c r="AE15" i="1381"/>
  <c r="AE18" i="1381"/>
  <c r="AE10" i="1381"/>
  <c r="AE9" i="1381"/>
  <c r="AD22" i="1380"/>
  <c r="AD10" i="1379"/>
  <c r="AC23" i="1379"/>
  <c r="P23" i="1379"/>
  <c r="AD23" i="1379"/>
  <c r="AD20" i="1378"/>
  <c r="M20" i="1378"/>
  <c r="M21" i="1378" s="1"/>
  <c r="Q21" i="1378"/>
  <c r="AD8" i="1378"/>
  <c r="AB21" i="1378"/>
  <c r="AD10" i="1378"/>
  <c r="AD18" i="1378"/>
  <c r="O19" i="1378"/>
  <c r="AC6" i="1378"/>
  <c r="K21" i="1378"/>
  <c r="P19" i="1378"/>
  <c r="AC19" i="1378" s="1"/>
  <c r="L21" i="1378"/>
  <c r="O21" i="1378" s="1"/>
  <c r="M19" i="1378"/>
  <c r="L20" i="1377"/>
  <c r="K20" i="1377"/>
  <c r="L19" i="1377"/>
  <c r="O19" i="1377" s="1"/>
  <c r="K19" i="1377"/>
  <c r="L18" i="1377"/>
  <c r="K18" i="1377"/>
  <c r="L10" i="1377"/>
  <c r="K10" i="1377"/>
  <c r="A74" i="1377"/>
  <c r="A75" i="1377" s="1"/>
  <c r="A76" i="1377" s="1"/>
  <c r="A77" i="1377" s="1"/>
  <c r="A78" i="1377" s="1"/>
  <c r="A79" i="1377" s="1"/>
  <c r="A80" i="1377" s="1"/>
  <c r="A81" i="1377" s="1"/>
  <c r="AF60" i="1377"/>
  <c r="AF59" i="1377"/>
  <c r="AF62" i="1377" s="1"/>
  <c r="AA21" i="1377"/>
  <c r="Z21" i="1377"/>
  <c r="Y21" i="1377"/>
  <c r="X21" i="1377"/>
  <c r="W21" i="1377"/>
  <c r="V21" i="1377"/>
  <c r="U21" i="1377"/>
  <c r="T21" i="1377"/>
  <c r="S21" i="1377"/>
  <c r="R21" i="1377"/>
  <c r="N21" i="1377"/>
  <c r="J21" i="1377"/>
  <c r="I21" i="1377"/>
  <c r="AF20" i="1377"/>
  <c r="Q20" i="1377"/>
  <c r="P20" i="1377"/>
  <c r="AC20" i="1377" s="1"/>
  <c r="O20" i="1377"/>
  <c r="AF19" i="1377"/>
  <c r="Q19" i="1377"/>
  <c r="P19" i="1377"/>
  <c r="AC19" i="1377" s="1"/>
  <c r="AB19" i="1377"/>
  <c r="AF18" i="1377"/>
  <c r="AB18" i="1377"/>
  <c r="Q18" i="1377"/>
  <c r="P18" i="1377" s="1"/>
  <c r="AC18" i="1377" s="1"/>
  <c r="O18" i="1377"/>
  <c r="M18" i="1377"/>
  <c r="AF17" i="1377"/>
  <c r="Q17" i="1377"/>
  <c r="P17" i="1377"/>
  <c r="AC17" i="1377" s="1"/>
  <c r="O17" i="1377"/>
  <c r="AF16" i="1377"/>
  <c r="Q16" i="1377"/>
  <c r="P16" i="1377"/>
  <c r="AC16" i="1377" s="1"/>
  <c r="O16" i="1377"/>
  <c r="AB16" i="1377"/>
  <c r="AF15" i="1377"/>
  <c r="AC15" i="1377"/>
  <c r="AD15" i="1377" s="1"/>
  <c r="AB15" i="1377"/>
  <c r="Q15" i="1377"/>
  <c r="P15" i="1377"/>
  <c r="O15" i="1377"/>
  <c r="M15" i="1377"/>
  <c r="K15" i="1377"/>
  <c r="AF14" i="1377"/>
  <c r="AB14" i="1377"/>
  <c r="Q14" i="1377"/>
  <c r="P14" i="1377"/>
  <c r="AC14" i="1377" s="1"/>
  <c r="AD14" i="1377" s="1"/>
  <c r="O14" i="1377"/>
  <c r="M14" i="1377"/>
  <c r="K14" i="1377"/>
  <c r="AF13" i="1377"/>
  <c r="AB13" i="1377"/>
  <c r="Q13" i="1377"/>
  <c r="P13" i="1377"/>
  <c r="AC13" i="1377" s="1"/>
  <c r="AD13" i="1377" s="1"/>
  <c r="O13" i="1377"/>
  <c r="M13" i="1377"/>
  <c r="AF12" i="1377"/>
  <c r="AB12" i="1377"/>
  <c r="Q12" i="1377"/>
  <c r="P12" i="1377" s="1"/>
  <c r="AC12" i="1377" s="1"/>
  <c r="O12" i="1377"/>
  <c r="M12" i="1377"/>
  <c r="AF11" i="1377"/>
  <c r="Q11" i="1377"/>
  <c r="P11" i="1377"/>
  <c r="AC11" i="1377" s="1"/>
  <c r="O11" i="1377"/>
  <c r="AB11" i="1377"/>
  <c r="AF10" i="1377"/>
  <c r="AB10" i="1377"/>
  <c r="Q10" i="1377"/>
  <c r="P10" i="1377"/>
  <c r="AC10" i="1377" s="1"/>
  <c r="O10" i="1377"/>
  <c r="M10" i="1377"/>
  <c r="AF9" i="1377"/>
  <c r="AB9" i="1377"/>
  <c r="Q9" i="1377"/>
  <c r="P9" i="1377"/>
  <c r="AC9" i="1377" s="1"/>
  <c r="AD9" i="1377" s="1"/>
  <c r="O9" i="1377"/>
  <c r="M9" i="1377"/>
  <c r="K9" i="1377"/>
  <c r="AF8" i="1377"/>
  <c r="AB8" i="1377"/>
  <c r="Q8" i="1377"/>
  <c r="P8" i="1377"/>
  <c r="AC8" i="1377" s="1"/>
  <c r="AD8" i="1377" s="1"/>
  <c r="O8" i="1377"/>
  <c r="M8" i="1377"/>
  <c r="AF7" i="1377"/>
  <c r="AC7" i="1377"/>
  <c r="AD7" i="1377" s="1"/>
  <c r="AB7" i="1377"/>
  <c r="Q7" i="1377"/>
  <c r="P7" i="1377"/>
  <c r="O7" i="1377"/>
  <c r="M7" i="1377"/>
  <c r="K7" i="1377"/>
  <c r="AF6" i="1377"/>
  <c r="AB6" i="1377"/>
  <c r="Q6" i="1377"/>
  <c r="P6" i="1377"/>
  <c r="AC6" i="1377" s="1"/>
  <c r="O6" i="1377"/>
  <c r="M6" i="1377"/>
  <c r="K6" i="1377"/>
  <c r="AE17" i="1380" l="1"/>
  <c r="AE9" i="1380"/>
  <c r="AE7" i="1380"/>
  <c r="AE21" i="1380"/>
  <c r="AE10" i="1380"/>
  <c r="AE14" i="1380"/>
  <c r="AE11" i="1380"/>
  <c r="AE12" i="1380"/>
  <c r="AE16" i="1380"/>
  <c r="AE19" i="1380"/>
  <c r="AE13" i="1380"/>
  <c r="AE15" i="1380"/>
  <c r="AE8" i="1380"/>
  <c r="AE6" i="1380"/>
  <c r="AE18" i="1380"/>
  <c r="AE20" i="1380"/>
  <c r="AE19" i="1379"/>
  <c r="AE20" i="1379"/>
  <c r="AE18" i="1379"/>
  <c r="AE16" i="1379"/>
  <c r="AE10" i="1379"/>
  <c r="AE7" i="1379"/>
  <c r="AE17" i="1379"/>
  <c r="AE11" i="1379"/>
  <c r="AE9" i="1379"/>
  <c r="AE21" i="1379"/>
  <c r="AE15" i="1379"/>
  <c r="AE13" i="1379"/>
  <c r="AE8" i="1379"/>
  <c r="AE14" i="1379"/>
  <c r="AE22" i="1379"/>
  <c r="AE12" i="1379"/>
  <c r="AE6" i="1379"/>
  <c r="P21" i="1378"/>
  <c r="AD19" i="1378"/>
  <c r="AC21" i="1378"/>
  <c r="AD6" i="1378"/>
  <c r="K21" i="1377"/>
  <c r="AD18" i="1377"/>
  <c r="AD12" i="1377"/>
  <c r="Q21" i="1377"/>
  <c r="AD10" i="1377"/>
  <c r="AD11" i="1377"/>
  <c r="AD16" i="1377"/>
  <c r="AD19" i="1377"/>
  <c r="AC21" i="1377"/>
  <c r="AD6" i="1377"/>
  <c r="M17" i="1377"/>
  <c r="AB17" i="1377"/>
  <c r="AD17" i="1377" s="1"/>
  <c r="M20" i="1377"/>
  <c r="AB20" i="1377"/>
  <c r="AD20" i="1377" s="1"/>
  <c r="L21" i="1377"/>
  <c r="O21" i="1377" s="1"/>
  <c r="P21" i="1377"/>
  <c r="M11" i="1377"/>
  <c r="M16" i="1377"/>
  <c r="M19" i="1377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20" i="1376"/>
  <c r="L19" i="1376"/>
  <c r="L17" i="1376"/>
  <c r="L16" i="1376"/>
  <c r="K16" i="1376" s="1"/>
  <c r="L13" i="1376"/>
  <c r="K13" i="1376"/>
  <c r="L11" i="1376"/>
  <c r="AD21" i="1378" l="1"/>
  <c r="M21" i="1377"/>
  <c r="AB21" i="1377"/>
  <c r="AD21" i="1377"/>
  <c r="K20" i="1376"/>
  <c r="K18" i="1376"/>
  <c r="K12" i="1376"/>
  <c r="K11" i="1376"/>
  <c r="A74" i="1376"/>
  <c r="A75" i="1376" s="1"/>
  <c r="A76" i="1376" s="1"/>
  <c r="A77" i="1376" s="1"/>
  <c r="A78" i="1376" s="1"/>
  <c r="A79" i="1376" s="1"/>
  <c r="A80" i="1376" s="1"/>
  <c r="A81" i="1376" s="1"/>
  <c r="AF62" i="1376"/>
  <c r="AF60" i="1376"/>
  <c r="AF59" i="1376"/>
  <c r="AA21" i="1376"/>
  <c r="Z21" i="1376"/>
  <c r="Y21" i="1376"/>
  <c r="X21" i="1376"/>
  <c r="W21" i="1376"/>
  <c r="V21" i="1376"/>
  <c r="U21" i="1376"/>
  <c r="T21" i="1376"/>
  <c r="S21" i="1376"/>
  <c r="R21" i="1376"/>
  <c r="N21" i="1376"/>
  <c r="J21" i="1376"/>
  <c r="I21" i="1376"/>
  <c r="AF20" i="1376"/>
  <c r="Q20" i="1376"/>
  <c r="M20" i="1376"/>
  <c r="O20" i="1376"/>
  <c r="AF19" i="1376"/>
  <c r="AB19" i="1376"/>
  <c r="Q19" i="1376"/>
  <c r="P19" i="1376"/>
  <c r="AC19" i="1376" s="1"/>
  <c r="O19" i="1376"/>
  <c r="M19" i="1376"/>
  <c r="K19" i="1376"/>
  <c r="AF18" i="1376"/>
  <c r="Q18" i="1376"/>
  <c r="P18" i="1376" s="1"/>
  <c r="AC18" i="1376" s="1"/>
  <c r="AF17" i="1376"/>
  <c r="AB17" i="1376"/>
  <c r="Q17" i="1376"/>
  <c r="P17" i="1376" s="1"/>
  <c r="AC17" i="1376" s="1"/>
  <c r="O17" i="1376"/>
  <c r="M17" i="1376"/>
  <c r="K17" i="1376"/>
  <c r="AF16" i="1376"/>
  <c r="Q16" i="1376"/>
  <c r="P16" i="1376" s="1"/>
  <c r="AC16" i="1376" s="1"/>
  <c r="M16" i="1376"/>
  <c r="AF15" i="1376"/>
  <c r="AB15" i="1376"/>
  <c r="Q15" i="1376"/>
  <c r="P15" i="1376"/>
  <c r="AC15" i="1376" s="1"/>
  <c r="O15" i="1376"/>
  <c r="M15" i="1376"/>
  <c r="K15" i="1376"/>
  <c r="AF14" i="1376"/>
  <c r="AB14" i="1376"/>
  <c r="Q14" i="1376"/>
  <c r="P14" i="1376"/>
  <c r="AC14" i="1376" s="1"/>
  <c r="O14" i="1376"/>
  <c r="M14" i="1376"/>
  <c r="K14" i="1376"/>
  <c r="AF13" i="1376"/>
  <c r="Q13" i="1376"/>
  <c r="M13" i="1376"/>
  <c r="P13" i="1376"/>
  <c r="AC13" i="1376" s="1"/>
  <c r="AF12" i="1376"/>
  <c r="Q12" i="1376"/>
  <c r="O12" i="1376"/>
  <c r="AF11" i="1376"/>
  <c r="AB11" i="1376"/>
  <c r="Q11" i="1376"/>
  <c r="P11" i="1376" s="1"/>
  <c r="AC11" i="1376" s="1"/>
  <c r="O11" i="1376"/>
  <c r="M11" i="1376"/>
  <c r="L21" i="1376"/>
  <c r="O21" i="1376" s="1"/>
  <c r="AF10" i="1376"/>
  <c r="AC10" i="1376"/>
  <c r="AD10" i="1376" s="1"/>
  <c r="AB10" i="1376"/>
  <c r="Q10" i="1376"/>
  <c r="P10" i="1376"/>
  <c r="O10" i="1376"/>
  <c r="M10" i="1376"/>
  <c r="AF9" i="1376"/>
  <c r="AB9" i="1376"/>
  <c r="Q9" i="1376"/>
  <c r="P9" i="1376"/>
  <c r="AC9" i="1376" s="1"/>
  <c r="AD9" i="1376" s="1"/>
  <c r="O9" i="1376"/>
  <c r="M9" i="1376"/>
  <c r="K9" i="1376"/>
  <c r="AF8" i="1376"/>
  <c r="AB8" i="1376"/>
  <c r="Q8" i="1376"/>
  <c r="P8" i="1376"/>
  <c r="AC8" i="1376" s="1"/>
  <c r="AD8" i="1376" s="1"/>
  <c r="O8" i="1376"/>
  <c r="M8" i="1376"/>
  <c r="AF7" i="1376"/>
  <c r="AC7" i="1376"/>
  <c r="AD7" i="1376" s="1"/>
  <c r="AB7" i="1376"/>
  <c r="Q7" i="1376"/>
  <c r="P7" i="1376"/>
  <c r="O7" i="1376"/>
  <c r="M7" i="1376"/>
  <c r="K7" i="1376"/>
  <c r="AF6" i="1376"/>
  <c r="AC6" i="1376"/>
  <c r="AB6" i="1376"/>
  <c r="Q6" i="1376"/>
  <c r="P6" i="1376"/>
  <c r="O6" i="1376"/>
  <c r="M6" i="1376"/>
  <c r="K6" i="1376"/>
  <c r="AE18" i="1378" l="1"/>
  <c r="AE16" i="1378"/>
  <c r="AE10" i="1378"/>
  <c r="AE6" i="1378"/>
  <c r="AE19" i="1378"/>
  <c r="AE15" i="1378"/>
  <c r="AE8" i="1378"/>
  <c r="AE13" i="1378"/>
  <c r="AE20" i="1378"/>
  <c r="AE12" i="1378"/>
  <c r="AE7" i="1378"/>
  <c r="AE17" i="1378"/>
  <c r="AE14" i="1378"/>
  <c r="AE11" i="1378"/>
  <c r="AE9" i="1378"/>
  <c r="AE18" i="1377"/>
  <c r="AE15" i="1377"/>
  <c r="AE13" i="1377"/>
  <c r="AE10" i="1377"/>
  <c r="AE7" i="1377"/>
  <c r="AE20" i="1377"/>
  <c r="AE14" i="1377"/>
  <c r="AE12" i="1377"/>
  <c r="AE8" i="1377"/>
  <c r="AE19" i="1377"/>
  <c r="AE16" i="1377"/>
  <c r="AE11" i="1377"/>
  <c r="AE9" i="1377"/>
  <c r="AE17" i="1377"/>
  <c r="AE6" i="1377"/>
  <c r="AD17" i="1376"/>
  <c r="Q21" i="1376"/>
  <c r="AD11" i="1376"/>
  <c r="AD15" i="1376"/>
  <c r="AD14" i="1376"/>
  <c r="AD19" i="1376"/>
  <c r="K21" i="1376"/>
  <c r="AD6" i="1376"/>
  <c r="P12" i="1376"/>
  <c r="AC12" i="1376" s="1"/>
  <c r="AB16" i="1376"/>
  <c r="P20" i="1376"/>
  <c r="AC20" i="1376" s="1"/>
  <c r="AB13" i="1376"/>
  <c r="AD13" i="1376" s="1"/>
  <c r="O16" i="1376"/>
  <c r="M18" i="1376"/>
  <c r="AB18" i="1376"/>
  <c r="M12" i="1376"/>
  <c r="M21" i="1376" s="1"/>
  <c r="AB12" i="1376"/>
  <c r="O13" i="1376"/>
  <c r="O18" i="1376"/>
  <c r="AB20" i="1376"/>
  <c r="L20" i="1375"/>
  <c r="K20" i="1375"/>
  <c r="K19" i="1375"/>
  <c r="L18" i="1375"/>
  <c r="K18" i="1375"/>
  <c r="K17" i="1375"/>
  <c r="L16" i="1375"/>
  <c r="L13" i="1375"/>
  <c r="AB13" i="1375" s="1"/>
  <c r="L12" i="1375"/>
  <c r="L11" i="1375"/>
  <c r="K11" i="1375" s="1"/>
  <c r="A74" i="1375"/>
  <c r="A75" i="1375" s="1"/>
  <c r="A76" i="1375" s="1"/>
  <c r="A77" i="1375" s="1"/>
  <c r="A78" i="1375" s="1"/>
  <c r="A79" i="1375" s="1"/>
  <c r="A80" i="1375" s="1"/>
  <c r="A81" i="1375" s="1"/>
  <c r="AF60" i="1375"/>
  <c r="AF59" i="1375"/>
  <c r="AA21" i="1375"/>
  <c r="Z21" i="1375"/>
  <c r="Y21" i="1375"/>
  <c r="X21" i="1375"/>
  <c r="W21" i="1375"/>
  <c r="V21" i="1375"/>
  <c r="U21" i="1375"/>
  <c r="T21" i="1375"/>
  <c r="S21" i="1375"/>
  <c r="R21" i="1375"/>
  <c r="N21" i="1375"/>
  <c r="J21" i="1375"/>
  <c r="I21" i="1375"/>
  <c r="AF20" i="1375"/>
  <c r="AB20" i="1375"/>
  <c r="Q20" i="1375"/>
  <c r="P20" i="1375"/>
  <c r="AC20" i="1375" s="1"/>
  <c r="O20" i="1375"/>
  <c r="M20" i="1375"/>
  <c r="AF19" i="1375"/>
  <c r="AB19" i="1375"/>
  <c r="Q19" i="1375"/>
  <c r="P19" i="1375"/>
  <c r="AC19" i="1375" s="1"/>
  <c r="O19" i="1375"/>
  <c r="M19" i="1375"/>
  <c r="AF18" i="1375"/>
  <c r="Q18" i="1375"/>
  <c r="O18" i="1375"/>
  <c r="AF17" i="1375"/>
  <c r="Q17" i="1375"/>
  <c r="P17" i="1375" s="1"/>
  <c r="AC17" i="1375" s="1"/>
  <c r="O17" i="1375"/>
  <c r="AB17" i="1375"/>
  <c r="AF16" i="1375"/>
  <c r="Q16" i="1375"/>
  <c r="K16" i="1375"/>
  <c r="AF15" i="1375"/>
  <c r="AB15" i="1375"/>
  <c r="Q15" i="1375"/>
  <c r="P15" i="1375"/>
  <c r="AC15" i="1375" s="1"/>
  <c r="O15" i="1375"/>
  <c r="M15" i="1375"/>
  <c r="K15" i="1375"/>
  <c r="AF14" i="1375"/>
  <c r="AB14" i="1375"/>
  <c r="Q14" i="1375"/>
  <c r="P14" i="1375"/>
  <c r="AC14" i="1375" s="1"/>
  <c r="O14" i="1375"/>
  <c r="M14" i="1375"/>
  <c r="K14" i="1375"/>
  <c r="AF13" i="1375"/>
  <c r="Q13" i="1375"/>
  <c r="K13" i="1375"/>
  <c r="AF12" i="1375"/>
  <c r="Q12" i="1375"/>
  <c r="K12" i="1375"/>
  <c r="AF11" i="1375"/>
  <c r="Q11" i="1375"/>
  <c r="P11" i="1375" s="1"/>
  <c r="AC11" i="1375" s="1"/>
  <c r="M11" i="1375"/>
  <c r="AF10" i="1375"/>
  <c r="AB10" i="1375"/>
  <c r="Q10" i="1375"/>
  <c r="P10" i="1375"/>
  <c r="AC10" i="1375" s="1"/>
  <c r="O10" i="1375"/>
  <c r="M10" i="1375"/>
  <c r="AF9" i="1375"/>
  <c r="AB9" i="1375"/>
  <c r="Q9" i="1375"/>
  <c r="P9" i="1375"/>
  <c r="AC9" i="1375" s="1"/>
  <c r="AD9" i="1375" s="1"/>
  <c r="O9" i="1375"/>
  <c r="M9" i="1375"/>
  <c r="K9" i="1375"/>
  <c r="AF8" i="1375"/>
  <c r="AB8" i="1375"/>
  <c r="Q8" i="1375"/>
  <c r="P8" i="1375"/>
  <c r="AC8" i="1375" s="1"/>
  <c r="O8" i="1375"/>
  <c r="M8" i="1375"/>
  <c r="AF7" i="1375"/>
  <c r="AC7" i="1375"/>
  <c r="AB7" i="1375"/>
  <c r="Q7" i="1375"/>
  <c r="P7" i="1375"/>
  <c r="O7" i="1375"/>
  <c r="M7" i="1375"/>
  <c r="K7" i="1375"/>
  <c r="AF6" i="1375"/>
  <c r="AC6" i="1375"/>
  <c r="AB6" i="1375"/>
  <c r="Q6" i="1375"/>
  <c r="P6" i="1375"/>
  <c r="O6" i="1375"/>
  <c r="M6" i="1375"/>
  <c r="K6" i="1375"/>
  <c r="AD16" i="1376" l="1"/>
  <c r="AC21" i="1376"/>
  <c r="AB21" i="1376"/>
  <c r="AD18" i="1376"/>
  <c r="AD12" i="1376"/>
  <c r="P21" i="1376"/>
  <c r="AD20" i="1376"/>
  <c r="AD14" i="1375"/>
  <c r="AD19" i="1375"/>
  <c r="AF62" i="1375"/>
  <c r="AD8" i="1375"/>
  <c r="O13" i="1375"/>
  <c r="AD10" i="1375"/>
  <c r="AD15" i="1375"/>
  <c r="AD20" i="1375"/>
  <c r="AD7" i="1375"/>
  <c r="P13" i="1375"/>
  <c r="AC13" i="1375" s="1"/>
  <c r="AD13" i="1375" s="1"/>
  <c r="P16" i="1375"/>
  <c r="AC16" i="1375" s="1"/>
  <c r="O16" i="1375"/>
  <c r="P12" i="1375"/>
  <c r="AC12" i="1375" s="1"/>
  <c r="M12" i="1375"/>
  <c r="AB12" i="1375"/>
  <c r="O12" i="1375"/>
  <c r="Q21" i="1375"/>
  <c r="AD17" i="1375"/>
  <c r="M18" i="1375"/>
  <c r="AB18" i="1375"/>
  <c r="L21" i="1375"/>
  <c r="O21" i="1375" s="1"/>
  <c r="AB11" i="1375"/>
  <c r="M16" i="1375"/>
  <c r="AB16" i="1375"/>
  <c r="AD6" i="1375"/>
  <c r="O11" i="1375"/>
  <c r="M13" i="1375"/>
  <c r="M17" i="1375"/>
  <c r="K21" i="1375"/>
  <c r="P18" i="1375"/>
  <c r="AC18" i="1375" s="1"/>
  <c r="AD18" i="1375" s="1"/>
  <c r="L18" i="16"/>
  <c r="L17" i="16"/>
  <c r="L16" i="16"/>
  <c r="L15" i="16"/>
  <c r="L13" i="16"/>
  <c r="L12" i="16"/>
  <c r="L11" i="16"/>
  <c r="L10" i="16"/>
  <c r="L9" i="16"/>
  <c r="L8" i="16"/>
  <c r="L7" i="16"/>
  <c r="L6" i="16"/>
  <c r="L5" i="16"/>
  <c r="L4" i="16"/>
  <c r="L3" i="16"/>
  <c r="AD21" i="1376" l="1"/>
  <c r="AE16" i="1376" s="1"/>
  <c r="AC21" i="1375"/>
  <c r="AD16" i="1375"/>
  <c r="AD12" i="1375"/>
  <c r="M21" i="1375"/>
  <c r="AB21" i="1375"/>
  <c r="AD11" i="1375"/>
  <c r="P21" i="1375"/>
  <c r="L20" i="1374"/>
  <c r="K20" i="1374" s="1"/>
  <c r="AF19" i="1374"/>
  <c r="AB19" i="1374"/>
  <c r="Q19" i="1374"/>
  <c r="P19" i="1374"/>
  <c r="AC19" i="1374" s="1"/>
  <c r="AD19" i="1374" s="1"/>
  <c r="M19" i="1374"/>
  <c r="L19" i="1374"/>
  <c r="O19" i="1374" s="1"/>
  <c r="K19" i="1374"/>
  <c r="O20" i="1374"/>
  <c r="K17" i="1374"/>
  <c r="AF17" i="1374"/>
  <c r="Q17" i="1374"/>
  <c r="O17" i="1374"/>
  <c r="AB17" i="1374"/>
  <c r="L18" i="1374"/>
  <c r="K18" i="1374" s="1"/>
  <c r="L16" i="1374"/>
  <c r="K16" i="1374" s="1"/>
  <c r="L13" i="1374"/>
  <c r="K13" i="1374" s="1"/>
  <c r="K12" i="1374"/>
  <c r="L11" i="1374"/>
  <c r="K11" i="1374" s="1"/>
  <c r="A76" i="1374"/>
  <c r="A77" i="1374" s="1"/>
  <c r="A78" i="1374" s="1"/>
  <c r="A79" i="1374" s="1"/>
  <c r="A80" i="1374" s="1"/>
  <c r="A81" i="1374" s="1"/>
  <c r="A82" i="1374" s="1"/>
  <c r="A83" i="1374" s="1"/>
  <c r="AF64" i="1374"/>
  <c r="AF62" i="1374"/>
  <c r="AF61" i="1374"/>
  <c r="AA23" i="1374"/>
  <c r="Z23" i="1374"/>
  <c r="Y23" i="1374"/>
  <c r="X23" i="1374"/>
  <c r="W23" i="1374"/>
  <c r="V23" i="1374"/>
  <c r="U23" i="1374"/>
  <c r="T23" i="1374"/>
  <c r="S23" i="1374"/>
  <c r="R23" i="1374"/>
  <c r="N23" i="1374"/>
  <c r="J23" i="1374"/>
  <c r="I23" i="1374"/>
  <c r="AF22" i="1374"/>
  <c r="AB22" i="1374"/>
  <c r="Q22" i="1374"/>
  <c r="P22" i="1374"/>
  <c r="AC22" i="1374" s="1"/>
  <c r="AD22" i="1374" s="1"/>
  <c r="O22" i="1374"/>
  <c r="M22" i="1374"/>
  <c r="K22" i="1374"/>
  <c r="AF21" i="1374"/>
  <c r="AB21" i="1374"/>
  <c r="Q21" i="1374"/>
  <c r="P21" i="1374"/>
  <c r="AC21" i="1374" s="1"/>
  <c r="AD21" i="1374" s="1"/>
  <c r="O21" i="1374"/>
  <c r="M21" i="1374"/>
  <c r="K21" i="1374"/>
  <c r="AF20" i="1374"/>
  <c r="AB20" i="1374"/>
  <c r="Q20" i="1374"/>
  <c r="AF18" i="1374"/>
  <c r="Q18" i="1374"/>
  <c r="O18" i="1374"/>
  <c r="AF16" i="1374"/>
  <c r="Q16" i="1374"/>
  <c r="O16" i="1374"/>
  <c r="AF15" i="1374"/>
  <c r="AB15" i="1374"/>
  <c r="Q15" i="1374"/>
  <c r="P15" i="1374"/>
  <c r="AC15" i="1374" s="1"/>
  <c r="O15" i="1374"/>
  <c r="M15" i="1374"/>
  <c r="K15" i="1374"/>
  <c r="AF14" i="1374"/>
  <c r="AB14" i="1374"/>
  <c r="Q14" i="1374"/>
  <c r="P14" i="1374"/>
  <c r="AC14" i="1374" s="1"/>
  <c r="AD14" i="1374" s="1"/>
  <c r="O14" i="1374"/>
  <c r="M14" i="1374"/>
  <c r="K14" i="1374"/>
  <c r="AF13" i="1374"/>
  <c r="Q13" i="1374"/>
  <c r="O13" i="1374"/>
  <c r="AF12" i="1374"/>
  <c r="AB12" i="1374"/>
  <c r="Q12" i="1374"/>
  <c r="P12" i="1374" s="1"/>
  <c r="AC12" i="1374" s="1"/>
  <c r="O12" i="1374"/>
  <c r="M12" i="1374"/>
  <c r="AF11" i="1374"/>
  <c r="AB11" i="1374"/>
  <c r="Q11" i="1374"/>
  <c r="M11" i="1374"/>
  <c r="AF10" i="1374"/>
  <c r="AB10" i="1374"/>
  <c r="Q10" i="1374"/>
  <c r="P10" i="1374"/>
  <c r="AC10" i="1374" s="1"/>
  <c r="O10" i="1374"/>
  <c r="M10" i="1374"/>
  <c r="AF9" i="1374"/>
  <c r="AB9" i="1374"/>
  <c r="Q9" i="1374"/>
  <c r="P9" i="1374"/>
  <c r="AC9" i="1374" s="1"/>
  <c r="O9" i="1374"/>
  <c r="M9" i="1374"/>
  <c r="K9" i="1374"/>
  <c r="AF8" i="1374"/>
  <c r="AB8" i="1374"/>
  <c r="Q8" i="1374"/>
  <c r="P8" i="1374"/>
  <c r="AC8" i="1374" s="1"/>
  <c r="O8" i="1374"/>
  <c r="M8" i="1374"/>
  <c r="AF7" i="1374"/>
  <c r="AB7" i="1374"/>
  <c r="Q7" i="1374"/>
  <c r="P7" i="1374"/>
  <c r="AC7" i="1374" s="1"/>
  <c r="AD7" i="1374" s="1"/>
  <c r="O7" i="1374"/>
  <c r="M7" i="1374"/>
  <c r="K7" i="1374"/>
  <c r="AF6" i="1374"/>
  <c r="AB6" i="1374"/>
  <c r="Q6" i="1374"/>
  <c r="P6" i="1374"/>
  <c r="AC6" i="1374" s="1"/>
  <c r="O6" i="1374"/>
  <c r="M6" i="1374"/>
  <c r="K6" i="1374"/>
  <c r="AE18" i="1376" l="1"/>
  <c r="AE9" i="1376"/>
  <c r="AE6" i="1376"/>
  <c r="AE20" i="1376"/>
  <c r="AE8" i="1376"/>
  <c r="AE12" i="1376"/>
  <c r="AE11" i="1376"/>
  <c r="AE7" i="1376"/>
  <c r="AE19" i="1376"/>
  <c r="AE13" i="1376"/>
  <c r="AE17" i="1376"/>
  <c r="AE14" i="1376"/>
  <c r="AE10" i="1376"/>
  <c r="AE15" i="1376"/>
  <c r="AD21" i="1375"/>
  <c r="AE10" i="1375" s="1"/>
  <c r="M20" i="1374"/>
  <c r="P20" i="1374"/>
  <c r="AC20" i="1374" s="1"/>
  <c r="AD20" i="1374" s="1"/>
  <c r="AD12" i="1374"/>
  <c r="AD15" i="1374"/>
  <c r="AD8" i="1374"/>
  <c r="AD9" i="1374"/>
  <c r="P17" i="1374"/>
  <c r="AC17" i="1374" s="1"/>
  <c r="AD17" i="1374" s="1"/>
  <c r="M17" i="1374"/>
  <c r="M18" i="1374"/>
  <c r="AB18" i="1374"/>
  <c r="P18" i="1374"/>
  <c r="AC18" i="1374" s="1"/>
  <c r="AD18" i="1374" s="1"/>
  <c r="L14" i="16" s="1"/>
  <c r="AG14" i="16" s="1"/>
  <c r="P16" i="1374"/>
  <c r="AC16" i="1374" s="1"/>
  <c r="M16" i="1374"/>
  <c r="AB16" i="1374"/>
  <c r="M13" i="1374"/>
  <c r="AB13" i="1374"/>
  <c r="P13" i="1374"/>
  <c r="AC13" i="1374" s="1"/>
  <c r="K23" i="1374"/>
  <c r="O11" i="1374"/>
  <c r="P11" i="1374"/>
  <c r="AC11" i="1374" s="1"/>
  <c r="L23" i="1374"/>
  <c r="O23" i="1374" s="1"/>
  <c r="AD10" i="1374"/>
  <c r="Q23" i="1374"/>
  <c r="AD6" i="1374"/>
  <c r="AG18" i="16"/>
  <c r="AG17" i="16"/>
  <c r="AG16" i="16"/>
  <c r="AG15" i="16"/>
  <c r="AG13" i="16"/>
  <c r="AG12" i="16"/>
  <c r="AG11" i="16"/>
  <c r="AG10" i="16"/>
  <c r="AG9" i="16"/>
  <c r="AG8" i="16"/>
  <c r="AG7" i="16"/>
  <c r="AG6" i="16"/>
  <c r="AG5" i="16"/>
  <c r="AG4" i="16"/>
  <c r="AG3" i="16"/>
  <c r="K20" i="1373"/>
  <c r="K19" i="1373"/>
  <c r="K18" i="1373"/>
  <c r="K17" i="1373"/>
  <c r="K16" i="1373"/>
  <c r="K13" i="1373"/>
  <c r="K11" i="1373"/>
  <c r="K10" i="1373"/>
  <c r="K8" i="1373"/>
  <c r="AE18" i="1375" l="1"/>
  <c r="AE17" i="1375"/>
  <c r="AE11" i="1375"/>
  <c r="AE19" i="1375"/>
  <c r="AE13" i="1375"/>
  <c r="AE14" i="1375"/>
  <c r="AE12" i="1375"/>
  <c r="AE15" i="1375"/>
  <c r="AE16" i="1375"/>
  <c r="AE6" i="1375"/>
  <c r="AE7" i="1375"/>
  <c r="AE20" i="1375"/>
  <c r="AE8" i="1375"/>
  <c r="AE9" i="1375"/>
  <c r="AB23" i="1374"/>
  <c r="M23" i="1374"/>
  <c r="AD13" i="1374"/>
  <c r="AD11" i="1374"/>
  <c r="AD16" i="1374"/>
  <c r="AC23" i="1374"/>
  <c r="P23" i="1374"/>
  <c r="O17" i="1373"/>
  <c r="O10" i="1373"/>
  <c r="A74" i="1373"/>
  <c r="A75" i="1373" s="1"/>
  <c r="A76" i="1373" s="1"/>
  <c r="A77" i="1373" s="1"/>
  <c r="A78" i="1373" s="1"/>
  <c r="A79" i="1373" s="1"/>
  <c r="A80" i="1373" s="1"/>
  <c r="A81" i="1373" s="1"/>
  <c r="AF60" i="1373"/>
  <c r="AF59" i="1373"/>
  <c r="AF62" i="1373" s="1"/>
  <c r="AA21" i="1373"/>
  <c r="Z21" i="1373"/>
  <c r="Y21" i="1373"/>
  <c r="X21" i="1373"/>
  <c r="W21" i="1373"/>
  <c r="V21" i="1373"/>
  <c r="U21" i="1373"/>
  <c r="T21" i="1373"/>
  <c r="S21" i="1373"/>
  <c r="R21" i="1373"/>
  <c r="N21" i="1373"/>
  <c r="J21" i="1373"/>
  <c r="I21" i="1373"/>
  <c r="AF20" i="1373"/>
  <c r="Q20" i="1373"/>
  <c r="O20" i="1373"/>
  <c r="AB20" i="1373"/>
  <c r="AF19" i="1373"/>
  <c r="Q19" i="1373"/>
  <c r="M19" i="1373"/>
  <c r="AF18" i="1373"/>
  <c r="Q18" i="1373"/>
  <c r="P18" i="1373"/>
  <c r="AC18" i="1373" s="1"/>
  <c r="AF17" i="1373"/>
  <c r="AB17" i="1373"/>
  <c r="Q17" i="1373"/>
  <c r="AF16" i="1373"/>
  <c r="AB16" i="1373"/>
  <c r="Q16" i="1373"/>
  <c r="M16" i="1373"/>
  <c r="AF15" i="1373"/>
  <c r="AB15" i="1373"/>
  <c r="Q15" i="1373"/>
  <c r="P15" i="1373"/>
  <c r="AC15" i="1373" s="1"/>
  <c r="O15" i="1373"/>
  <c r="M15" i="1373"/>
  <c r="K15" i="1373"/>
  <c r="AF14" i="1373"/>
  <c r="AB14" i="1373"/>
  <c r="Q14" i="1373"/>
  <c r="P14" i="1373"/>
  <c r="AC14" i="1373" s="1"/>
  <c r="O14" i="1373"/>
  <c r="M14" i="1373"/>
  <c r="K14" i="1373"/>
  <c r="AF13" i="1373"/>
  <c r="Q13" i="1373"/>
  <c r="AF12" i="1373"/>
  <c r="AB12" i="1373"/>
  <c r="Q12" i="1373"/>
  <c r="P12" i="1373"/>
  <c r="AC12" i="1373" s="1"/>
  <c r="O12" i="1373"/>
  <c r="M12" i="1373"/>
  <c r="AF11" i="1373"/>
  <c r="AB11" i="1373"/>
  <c r="Q11" i="1373"/>
  <c r="M11" i="1373"/>
  <c r="AF10" i="1373"/>
  <c r="AB10" i="1373"/>
  <c r="Q10" i="1373"/>
  <c r="AF9" i="1373"/>
  <c r="AB9" i="1373"/>
  <c r="Q9" i="1373"/>
  <c r="P9" i="1373"/>
  <c r="AC9" i="1373" s="1"/>
  <c r="O9" i="1373"/>
  <c r="M9" i="1373"/>
  <c r="K9" i="1373"/>
  <c r="AF8" i="1373"/>
  <c r="AB8" i="1373"/>
  <c r="Q8" i="1373"/>
  <c r="M8" i="1373"/>
  <c r="AF7" i="1373"/>
  <c r="AB7" i="1373"/>
  <c r="Q7" i="1373"/>
  <c r="P7" i="1373"/>
  <c r="AC7" i="1373" s="1"/>
  <c r="O7" i="1373"/>
  <c r="M7" i="1373"/>
  <c r="K7" i="1373"/>
  <c r="AF6" i="1373"/>
  <c r="AB6" i="1373"/>
  <c r="Q6" i="1373"/>
  <c r="P6" i="1373"/>
  <c r="AC6" i="1373" s="1"/>
  <c r="O6" i="1373"/>
  <c r="M6" i="1373"/>
  <c r="K6" i="1373"/>
  <c r="AD23" i="1374" l="1"/>
  <c r="AE19" i="1374" s="1"/>
  <c r="P20" i="1373"/>
  <c r="AC20" i="1373" s="1"/>
  <c r="AD20" i="1373" s="1"/>
  <c r="AD7" i="1373"/>
  <c r="AD9" i="1373"/>
  <c r="AD15" i="1373"/>
  <c r="AD14" i="1373"/>
  <c r="P16" i="1373"/>
  <c r="AC16" i="1373" s="1"/>
  <c r="P19" i="1373"/>
  <c r="AC19" i="1373" s="1"/>
  <c r="AB19" i="1373"/>
  <c r="P17" i="1373"/>
  <c r="AC17" i="1373" s="1"/>
  <c r="AD17" i="1373" s="1"/>
  <c r="M17" i="1373"/>
  <c r="P13" i="1373"/>
  <c r="AC13" i="1373" s="1"/>
  <c r="K21" i="1373"/>
  <c r="P11" i="1373"/>
  <c r="AC11" i="1373" s="1"/>
  <c r="O11" i="1373"/>
  <c r="AD11" i="1373" s="1"/>
  <c r="M10" i="1373"/>
  <c r="Q21" i="1373"/>
  <c r="P8" i="1373"/>
  <c r="AC8" i="1373" s="1"/>
  <c r="O8" i="1373"/>
  <c r="L21" i="1373"/>
  <c r="O21" i="1373" s="1"/>
  <c r="AD12" i="1373"/>
  <c r="AD6" i="1373"/>
  <c r="P10" i="1373"/>
  <c r="AC10" i="1373" s="1"/>
  <c r="AD10" i="1373" s="1"/>
  <c r="M13" i="1373"/>
  <c r="AB13" i="1373"/>
  <c r="O16" i="1373"/>
  <c r="M18" i="1373"/>
  <c r="AB18" i="1373"/>
  <c r="O19" i="1373"/>
  <c r="O13" i="1373"/>
  <c r="O18" i="1373"/>
  <c r="M20" i="1373"/>
  <c r="AE7" i="1374" l="1"/>
  <c r="AE10" i="1374"/>
  <c r="AE8" i="1374"/>
  <c r="AE22" i="1374"/>
  <c r="AE20" i="1374"/>
  <c r="AE16" i="1374"/>
  <c r="AE14" i="1374"/>
  <c r="AE6" i="1374"/>
  <c r="AE12" i="1374"/>
  <c r="AE11" i="1374"/>
  <c r="AE9" i="1374"/>
  <c r="AE17" i="1374"/>
  <c r="AE18" i="1374"/>
  <c r="AE15" i="1374"/>
  <c r="AE13" i="1374"/>
  <c r="AE21" i="1374"/>
  <c r="AD13" i="1373"/>
  <c r="AD16" i="1373"/>
  <c r="AD19" i="1373"/>
  <c r="AD8" i="1373"/>
  <c r="AD18" i="1373"/>
  <c r="M21" i="1373"/>
  <c r="P21" i="1373"/>
  <c r="AB21" i="1373"/>
  <c r="AC21" i="1373"/>
  <c r="AD21" i="1373" l="1"/>
  <c r="AE11" i="1373" l="1"/>
  <c r="AE14" i="1373"/>
  <c r="AE19" i="1373"/>
  <c r="AE6" i="1373"/>
  <c r="AE12" i="1373"/>
  <c r="AE18" i="1373"/>
  <c r="AE20" i="1373"/>
  <c r="AE7" i="1373"/>
  <c r="AE10" i="1373"/>
  <c r="AE9" i="1373"/>
  <c r="AE17" i="1373"/>
  <c r="AE16" i="1373"/>
  <c r="AE8" i="1373"/>
  <c r="AE13" i="1373"/>
  <c r="AE15" i="1373"/>
</calcChain>
</file>

<file path=xl/sharedStrings.xml><?xml version="1.0" encoding="utf-8"?>
<sst xmlns="http://schemas.openxmlformats.org/spreadsheetml/2006/main" count="2913" uniqueCount="400">
  <si>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</si>
  <si>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</si>
  <si>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</si>
  <si>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</si>
  <si>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</si>
  <si>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</si>
  <si>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</si>
  <si>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</si>
  <si>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</si>
  <si>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</si>
  <si>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</si>
  <si>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</si>
  <si>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</si>
  <si>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</si>
  <si>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</si>
  <si>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</si>
  <si>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</si>
  <si>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</si>
  <si>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</si>
  <si>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</si>
  <si>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</si>
  <si>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</si>
  <si>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</si>
  <si>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</si>
  <si>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</si>
  <si>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</si>
  <si>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</si>
  <si>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</si>
  <si>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</si>
  <si>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</si>
  <si>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</si>
  <si>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</si>
  <si>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</si>
  <si>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</si>
  <si>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</si>
  <si>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</si>
  <si>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</si>
  <si>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</si>
  <si>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</si>
  <si>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</si>
  <si>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</si>
  <si>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</si>
  <si>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</si>
  <si>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</si>
  <si>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</si>
  <si>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</si>
  <si>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</si>
  <si>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</si>
  <si>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</si>
  <si>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</si>
  <si>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</si>
  <si>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</si>
  <si>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</si>
  <si>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</si>
  <si>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</si>
  <si>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</si>
  <si>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</si>
  <si>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</si>
  <si>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</si>
  <si>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</si>
  <si>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</si>
  <si>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</si>
  <si>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</si>
  <si>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</si>
  <si>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</si>
  <si>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</si>
  <si>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</si>
  <si>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</si>
  <si>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</si>
  <si>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</si>
  <si>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</si>
  <si>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</si>
  <si>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</si>
  <si>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</si>
  <si>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</si>
  <si>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</si>
  <si>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</si>
  <si>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</si>
  <si>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</si>
  <si>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</si>
  <si>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</si>
  <si>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</si>
  <si>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</si>
  <si>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</si>
  <si>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</si>
  <si>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</si>
  <si>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</si>
  <si>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</si>
  <si>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</si>
  <si>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</si>
  <si>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</si>
  <si>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</si>
  <si>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</si>
  <si>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</si>
  <si>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</si>
  <si>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</si>
  <si>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</si>
  <si>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</si>
  <si>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</si>
  <si>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</si>
  <si>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</si>
  <si>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</si>
  <si>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</si>
  <si>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</si>
  <si>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</si>
  <si>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</si>
  <si>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</si>
  <si>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</si>
  <si>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</si>
  <si>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</si>
  <si>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</si>
  <si>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</si>
  <si>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</si>
  <si>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</si>
  <si>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</si>
  <si>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</si>
  <si>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</si>
  <si>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</si>
  <si>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5</t>
    <phoneticPr fontId="2" type="noConversion"/>
  </si>
  <si>
    <t>HICON</t>
    <phoneticPr fontId="2" type="noConversion"/>
  </si>
  <si>
    <t>COVER</t>
    <phoneticPr fontId="2" type="noConversion"/>
  </si>
  <si>
    <t>AMB0114H-JAA-R1</t>
    <phoneticPr fontId="2" type="noConversion"/>
  </si>
  <si>
    <t>BODY</t>
    <phoneticPr fontId="2" type="noConversion"/>
  </si>
  <si>
    <t>미성형</t>
    <phoneticPr fontId="2" type="noConversion"/>
  </si>
  <si>
    <t>SGF2041</t>
    <phoneticPr fontId="2" type="noConversion"/>
  </si>
  <si>
    <t>SGF2030 N/P</t>
    <phoneticPr fontId="2" type="noConversion"/>
  </si>
  <si>
    <t>72P</t>
    <phoneticPr fontId="2" type="noConversion"/>
  </si>
  <si>
    <t>7301</t>
    <phoneticPr fontId="2" type="noConversion"/>
  </si>
  <si>
    <t>BP22-127A1</t>
    <phoneticPr fontId="2" type="noConversion"/>
  </si>
  <si>
    <t>HSCB65-M01A1(4C)</t>
    <phoneticPr fontId="2" type="noConversion"/>
  </si>
  <si>
    <t>전일 ISSUE 사항(01일)</t>
    <phoneticPr fontId="2" type="noConversion"/>
  </si>
  <si>
    <t>발주분양산</t>
    <phoneticPr fontId="2" type="noConversion"/>
  </si>
  <si>
    <t>SAMPLE 진행 사항(01일)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</si>
  <si>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</si>
  <si>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</si>
  <si>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t>LATCH</t>
    <phoneticPr fontId="2" type="noConversion"/>
  </si>
  <si>
    <t>14</t>
    <phoneticPr fontId="2" type="noConversion"/>
  </si>
  <si>
    <t>22P</t>
    <phoneticPr fontId="2" type="noConversion"/>
  </si>
  <si>
    <t>2*1</t>
    <phoneticPr fontId="2" type="noConversion"/>
  </si>
  <si>
    <t>BASE/FLANGE</t>
    <phoneticPr fontId="2" type="noConversion"/>
  </si>
  <si>
    <t>NHS2-HTB11/12</t>
    <phoneticPr fontId="2" type="noConversion"/>
  </si>
  <si>
    <t>BR88-127A1-1</t>
    <phoneticPr fontId="2" type="noConversion"/>
  </si>
  <si>
    <t>OKINS</t>
    <phoneticPr fontId="2" type="noConversion"/>
  </si>
  <si>
    <t>당일 진행 사항(11일)</t>
    <phoneticPr fontId="2" type="noConversion"/>
  </si>
  <si>
    <t>HR03A-04A1</t>
    <phoneticPr fontId="2" type="noConversion"/>
  </si>
  <si>
    <t>HR03A-05A1</t>
    <phoneticPr fontId="2" type="noConversion"/>
  </si>
  <si>
    <t>요청</t>
    <phoneticPr fontId="2" type="noConversion"/>
  </si>
  <si>
    <t>15</t>
    <phoneticPr fontId="2" type="noConversion"/>
  </si>
  <si>
    <t>AMB0167A-KAA-R1</t>
    <phoneticPr fontId="2" type="noConversion"/>
  </si>
  <si>
    <t>메카텍</t>
    <phoneticPr fontId="2" type="noConversion"/>
  </si>
  <si>
    <t>BASE HINGE</t>
    <phoneticPr fontId="2" type="noConversion"/>
  </si>
  <si>
    <t>END PLATE</t>
    <phoneticPr fontId="2" type="noConversion"/>
  </si>
  <si>
    <t>BF1-EP530A</t>
    <phoneticPr fontId="2" type="noConversion"/>
  </si>
  <si>
    <t>28P</t>
    <phoneticPr fontId="2" type="noConversion"/>
  </si>
  <si>
    <t>LEVER HINGE</t>
    <phoneticPr fontId="2" type="noConversion"/>
  </si>
  <si>
    <t>시스템</t>
    <phoneticPr fontId="2" type="noConversion"/>
  </si>
  <si>
    <t>LENS HOLDER</t>
    <phoneticPr fontId="2" type="noConversion"/>
  </si>
  <si>
    <t>ABS</t>
    <phoneticPr fontId="2" type="noConversion"/>
  </si>
  <si>
    <t>88P</t>
    <phoneticPr fontId="2" type="noConversion"/>
  </si>
  <si>
    <t>상측박힘 3회진행</t>
    <phoneticPr fontId="2" type="noConversion"/>
  </si>
  <si>
    <r>
      <t>2019년 02월 01일 일일생산현황</t>
    </r>
    <r>
      <rPr>
        <b/>
        <sz val="14"/>
        <color indexed="8"/>
        <rFont val="굴림체"/>
        <family val="3"/>
        <charset val="129"/>
      </rPr>
      <t>(11일 09시 현재)</t>
    </r>
    <phoneticPr fontId="2" type="noConversion"/>
  </si>
  <si>
    <t>02월 호기별 가동현황</t>
    <phoneticPr fontId="2" type="noConversion"/>
  </si>
  <si>
    <t>SGF2033</t>
    <phoneticPr fontId="2" type="noConversion"/>
  </si>
  <si>
    <r>
      <t>2019년 02월 11일 일일생산현황</t>
    </r>
    <r>
      <rPr>
        <b/>
        <sz val="14"/>
        <color indexed="8"/>
        <rFont val="굴림체"/>
        <family val="3"/>
        <charset val="129"/>
      </rPr>
      <t>(12일 09시 현재)</t>
    </r>
    <phoneticPr fontId="2" type="noConversion"/>
  </si>
  <si>
    <t>ACTUATOR</t>
    <phoneticPr fontId="2" type="noConversion"/>
  </si>
  <si>
    <t>AMB1921B-KAA-R1</t>
    <phoneticPr fontId="2" type="noConversion"/>
  </si>
  <si>
    <t>SGF2050 N/P</t>
    <phoneticPr fontId="2" type="noConversion"/>
  </si>
  <si>
    <t>STOPPER</t>
    <phoneticPr fontId="2" type="noConversion"/>
  </si>
  <si>
    <t>AMB0229A-KAA-R1</t>
    <phoneticPr fontId="2" type="noConversion"/>
  </si>
  <si>
    <t>SF2255</t>
    <phoneticPr fontId="2" type="noConversion"/>
  </si>
  <si>
    <t>TOP/BOTTOM</t>
    <phoneticPr fontId="2" type="noConversion"/>
  </si>
  <si>
    <t>HRCS-00C11/12A</t>
    <phoneticPr fontId="2" type="noConversion"/>
  </si>
  <si>
    <t>AM0148B-K-R1</t>
    <phoneticPr fontId="2" type="noConversion"/>
  </si>
  <si>
    <t>FLOATING</t>
    <phoneticPr fontId="2" type="noConversion"/>
  </si>
  <si>
    <t>HRCS-03C13</t>
    <phoneticPr fontId="2" type="noConversion"/>
  </si>
  <si>
    <t>ADAPTER</t>
    <phoneticPr fontId="2" type="noConversion"/>
  </si>
  <si>
    <t>AMB07P7A-KAA-R1</t>
    <phoneticPr fontId="2" type="noConversion"/>
  </si>
  <si>
    <t>SF2255 I/V</t>
    <phoneticPr fontId="2" type="noConversion"/>
  </si>
  <si>
    <t>AMB0349A-KAA-R1</t>
    <phoneticPr fontId="2" type="noConversion"/>
  </si>
  <si>
    <t>JD4901</t>
    <phoneticPr fontId="2" type="noConversion"/>
  </si>
  <si>
    <t>SST</t>
    <phoneticPr fontId="2" type="noConversion"/>
  </si>
  <si>
    <t>KR6156BB841CA</t>
    <phoneticPr fontId="2" type="noConversion"/>
  </si>
  <si>
    <t>전일 ISSUE 사항(11일)</t>
    <phoneticPr fontId="2" type="noConversion"/>
  </si>
  <si>
    <t>6</t>
    <phoneticPr fontId="2" type="noConversion"/>
  </si>
  <si>
    <t>8</t>
    <phoneticPr fontId="2" type="noConversion"/>
  </si>
  <si>
    <t>AM0148B-K-R2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</si>
  <si>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</si>
  <si>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</si>
  <si>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</si>
  <si>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HR03B-352A1</t>
    <phoneticPr fontId="2" type="noConversion"/>
  </si>
  <si>
    <t>원재료</t>
    <phoneticPr fontId="2" type="noConversion"/>
  </si>
  <si>
    <t>당일 진행 사항(12일)</t>
    <phoneticPr fontId="2" type="noConversion"/>
  </si>
  <si>
    <t>HR03A-06A1</t>
    <phoneticPr fontId="2" type="noConversion"/>
  </si>
  <si>
    <t>PLATE</t>
    <phoneticPr fontId="2" type="noConversion"/>
  </si>
  <si>
    <t>HRCS-03C15/14</t>
    <phoneticPr fontId="2" type="noConversion"/>
  </si>
  <si>
    <t>BASE/LID</t>
    <phoneticPr fontId="2" type="noConversion"/>
  </si>
  <si>
    <t>HRCS-00C11/12B</t>
    <phoneticPr fontId="2" type="noConversion"/>
  </si>
  <si>
    <t>HR03B-352A2</t>
    <phoneticPr fontId="2" type="noConversion"/>
  </si>
  <si>
    <t>BOTTOM</t>
    <phoneticPr fontId="2" type="noConversion"/>
  </si>
  <si>
    <t>7</t>
    <phoneticPr fontId="2" type="noConversion"/>
  </si>
  <si>
    <t>HR03B-352A3</t>
    <phoneticPr fontId="2" type="noConversion"/>
  </si>
  <si>
    <t>SAMPLE 진행 사항(11일)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</si>
  <si>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</si>
  <si>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</si>
  <si>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2019년 02월 12일 일일생산현황</t>
    </r>
    <r>
      <rPr>
        <b/>
        <sz val="14"/>
        <color indexed="8"/>
        <rFont val="굴림체"/>
        <family val="3"/>
        <charset val="129"/>
      </rPr>
      <t>(13일 09시 현재)</t>
    </r>
    <phoneticPr fontId="2" type="noConversion"/>
  </si>
  <si>
    <t>FLANGER/PUSHER</t>
    <phoneticPr fontId="2" type="noConversion"/>
  </si>
  <si>
    <t>전일 ISSUE 사항(12일)</t>
    <phoneticPr fontId="2" type="noConversion"/>
  </si>
  <si>
    <t>당일 진행 사항(13일)</t>
    <phoneticPr fontId="2" type="noConversion"/>
  </si>
  <si>
    <t>AM0148A-K-R2</t>
    <phoneticPr fontId="2" type="noConversion"/>
  </si>
  <si>
    <t>HSF05-M01B1</t>
    <phoneticPr fontId="2" type="noConversion"/>
  </si>
  <si>
    <t>HRCS-03C17/18</t>
    <phoneticPr fontId="2" type="noConversion"/>
  </si>
  <si>
    <t>LID/BASE</t>
    <phoneticPr fontId="2" type="noConversion"/>
  </si>
  <si>
    <t>SAMPLE 진행 사항(12일)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</si>
  <si>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</si>
  <si>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</si>
  <si>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2019년 02월 13일 일일생산현황</t>
    </r>
    <r>
      <rPr>
        <b/>
        <sz val="14"/>
        <color indexed="8"/>
        <rFont val="굴림체"/>
        <family val="3"/>
        <charset val="129"/>
      </rPr>
      <t>(14일 09시 현재)</t>
    </r>
    <phoneticPr fontId="2" type="noConversion"/>
  </si>
  <si>
    <t>PLUNGER/PUSHER</t>
    <phoneticPr fontId="2" type="noConversion"/>
  </si>
  <si>
    <t>전일 ISSUE 사항(13일)</t>
    <phoneticPr fontId="2" type="noConversion"/>
  </si>
  <si>
    <t>당일 진행 사항(14일)</t>
    <phoneticPr fontId="2" type="noConversion"/>
  </si>
  <si>
    <t>SAMPLE 진행 사항(13일)</t>
    <phoneticPr fontId="2" type="noConversion"/>
  </si>
  <si>
    <t>SLIDER</t>
    <phoneticPr fontId="2" type="noConversion"/>
  </si>
  <si>
    <t>KR6182-A308YA</t>
    <phoneticPr fontId="2" type="noConversion"/>
  </si>
  <si>
    <t>SGF2050</t>
    <phoneticPr fontId="2" type="noConversion"/>
  </si>
  <si>
    <t>수정</t>
    <phoneticPr fontId="2" type="noConversion"/>
  </si>
  <si>
    <t>AMB07U1A-KAA-R1</t>
    <phoneticPr fontId="2" type="noConversion"/>
  </si>
  <si>
    <t>신작</t>
    <phoneticPr fontId="2" type="noConversion"/>
  </si>
  <si>
    <t>AMB1930A-KAA-R1</t>
    <phoneticPr fontId="2" type="noConversion"/>
  </si>
  <si>
    <t>SGF2030/2050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</si>
  <si>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</si>
  <si>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</si>
  <si>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2019년 02월 14일 일일생산현황</t>
    </r>
    <r>
      <rPr>
        <b/>
        <sz val="14"/>
        <color indexed="8"/>
        <rFont val="굴림체"/>
        <family val="3"/>
        <charset val="129"/>
      </rPr>
      <t>(15일 09시 현재)</t>
    </r>
    <phoneticPr fontId="2" type="noConversion"/>
  </si>
  <si>
    <t>SGF2030</t>
    <phoneticPr fontId="2" type="noConversion"/>
  </si>
  <si>
    <t>전일 ISSUE 사항(14일)</t>
    <phoneticPr fontId="2" type="noConversion"/>
  </si>
  <si>
    <t>수리후양산-&gt;금형이상2회진행</t>
    <phoneticPr fontId="2" type="noConversion"/>
  </si>
  <si>
    <t>세척후양산-&gt;하측박힘정지</t>
    <phoneticPr fontId="2" type="noConversion"/>
  </si>
  <si>
    <t>당일 진행 사항(15일)</t>
    <phoneticPr fontId="2" type="noConversion"/>
  </si>
  <si>
    <t>수리후양산</t>
    <phoneticPr fontId="2" type="noConversion"/>
  </si>
  <si>
    <t>3</t>
    <phoneticPr fontId="2" type="noConversion"/>
  </si>
  <si>
    <t>HSF05-M04B1</t>
    <phoneticPr fontId="2" type="noConversion"/>
  </si>
  <si>
    <t>HSF05-M02B1</t>
    <phoneticPr fontId="2" type="noConversion"/>
  </si>
  <si>
    <t>SAMPLE 진행 사항(14일)</t>
    <phoneticPr fontId="2" type="noConversion"/>
  </si>
  <si>
    <t>AMB0172A-KAA-R1</t>
    <phoneticPr fontId="2" type="noConversion"/>
  </si>
  <si>
    <t>금형이상</t>
    <phoneticPr fontId="2" type="noConversion"/>
  </si>
  <si>
    <t>TOP/BOTTOM/BASE</t>
    <phoneticPr fontId="2" type="noConversion"/>
  </si>
  <si>
    <t>HRCS-00C11/12/14C</t>
    <phoneticPr fontId="2" type="noConversion"/>
  </si>
  <si>
    <t>7301/SGF2050</t>
    <phoneticPr fontId="2" type="noConversion"/>
  </si>
  <si>
    <t>AMB0240A-KAA-R1</t>
    <phoneticPr fontId="2" type="noConversion"/>
  </si>
  <si>
    <t>3회진행</t>
    <phoneticPr fontId="2" type="noConversion"/>
  </si>
  <si>
    <t>AMM0885B-KAA-R1</t>
    <phoneticPr fontId="2" type="noConversion"/>
  </si>
  <si>
    <t>AMM0885A-KAA-R1</t>
    <phoneticPr fontId="2" type="noConversion"/>
  </si>
  <si>
    <t>G1300H</t>
    <phoneticPr fontId="2" type="noConversion"/>
  </si>
  <si>
    <t>오조립2회진행</t>
    <phoneticPr fontId="2" type="noConversion"/>
  </si>
  <si>
    <t>288F84M-B121XX</t>
    <phoneticPr fontId="2" type="noConversion"/>
  </si>
  <si>
    <t>288F84M-B122XX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</si>
  <si>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</si>
  <si>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</si>
  <si>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2019년 02월 15일 일일생산현황</t>
    </r>
    <r>
      <rPr>
        <b/>
        <sz val="14"/>
        <color indexed="8"/>
        <rFont val="굴림체"/>
        <family val="3"/>
        <charset val="129"/>
      </rPr>
      <t>(16일 09시 현재)</t>
    </r>
    <phoneticPr fontId="2" type="noConversion"/>
  </si>
  <si>
    <t>전일 ISSUE 사항(15일)</t>
    <phoneticPr fontId="2" type="noConversion"/>
  </si>
  <si>
    <t>하측뜯김정지</t>
    <phoneticPr fontId="2" type="noConversion"/>
  </si>
  <si>
    <t>발주분양산-&gt;하측박힘수리</t>
    <phoneticPr fontId="2" type="noConversion"/>
  </si>
  <si>
    <t>당일 진행 사항(18일)</t>
    <phoneticPr fontId="2" type="noConversion"/>
  </si>
  <si>
    <t>SAMPLE 진행 사항(15일)</t>
    <phoneticPr fontId="2" type="noConversion"/>
  </si>
  <si>
    <t>AMB1929A-KAA-R1</t>
    <phoneticPr fontId="2" type="noConversion"/>
  </si>
  <si>
    <t>AMB0236A-KAA-R1</t>
    <phoneticPr fontId="2" type="noConversion"/>
  </si>
  <si>
    <t>AMB0463A-KAA-R1</t>
    <phoneticPr fontId="2" type="noConversion"/>
  </si>
  <si>
    <t>AMS08155-KBB-R1</t>
    <phoneticPr fontId="2" type="noConversion"/>
  </si>
  <si>
    <t>LEAD GUIDE</t>
    <phoneticPr fontId="2" type="noConversion"/>
  </si>
  <si>
    <t>M2 BASE</t>
    <phoneticPr fontId="2" type="noConversion"/>
  </si>
  <si>
    <t>옵션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</si>
  <si>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</si>
  <si>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</si>
  <si>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2019년 02월 18일 일일생산현황</t>
    </r>
    <r>
      <rPr>
        <b/>
        <sz val="14"/>
        <color indexed="8"/>
        <rFont val="굴림체"/>
        <family val="3"/>
        <charset val="129"/>
      </rPr>
      <t>(19일 09시 현재)</t>
    </r>
    <phoneticPr fontId="2" type="noConversion"/>
  </si>
  <si>
    <t>K-JR01933-B01ANB</t>
    <phoneticPr fontId="2" type="noConversion"/>
  </si>
  <si>
    <t>SGP2038R</t>
    <phoneticPr fontId="2" type="noConversion"/>
  </si>
  <si>
    <t>KR6182-B624CB</t>
    <phoneticPr fontId="2" type="noConversion"/>
  </si>
  <si>
    <t>전일 ISSUE 사항(18일)</t>
    <phoneticPr fontId="2" type="noConversion"/>
  </si>
  <si>
    <t>4</t>
    <phoneticPr fontId="2" type="noConversion"/>
  </si>
  <si>
    <t>당일 진행 사항(19일)</t>
    <phoneticPr fontId="2" type="noConversion"/>
  </si>
  <si>
    <t>KR6182-C624TB</t>
    <phoneticPr fontId="2" type="noConversion"/>
  </si>
  <si>
    <t>K-JR01933-E01AWA</t>
    <phoneticPr fontId="2" type="noConversion"/>
  </si>
  <si>
    <t>SAMPLE 진행 사항(18일)</t>
    <phoneticPr fontId="2" type="noConversion"/>
  </si>
  <si>
    <t>치수NG 2회</t>
    <phoneticPr fontId="2" type="noConversion"/>
  </si>
  <si>
    <t>LCP</t>
    <phoneticPr fontId="2" type="noConversion"/>
  </si>
  <si>
    <t>준테크</t>
    <phoneticPr fontId="2" type="noConversion"/>
  </si>
  <si>
    <t>확인용 셈플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</si>
  <si>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</si>
  <si>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</si>
  <si>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2019년 02월 19일 일일생산현황</t>
    </r>
    <r>
      <rPr>
        <b/>
        <sz val="14"/>
        <color indexed="8"/>
        <rFont val="굴림체"/>
        <family val="3"/>
        <charset val="129"/>
      </rPr>
      <t>(20일 09시 현재)</t>
    </r>
    <phoneticPr fontId="2" type="noConversion"/>
  </si>
  <si>
    <t>K-JR01933-C01ALA</t>
    <phoneticPr fontId="2" type="noConversion"/>
  </si>
  <si>
    <t>SGF2051</t>
    <phoneticPr fontId="2" type="noConversion"/>
  </si>
  <si>
    <t xml:space="preserve">SGF2030 </t>
    <phoneticPr fontId="2" type="noConversion"/>
  </si>
  <si>
    <t>전일 ISSUE 사항(19일)</t>
    <phoneticPr fontId="2" type="noConversion"/>
  </si>
  <si>
    <t>코아파손정지</t>
    <phoneticPr fontId="2" type="noConversion"/>
  </si>
  <si>
    <t>치수확인후양산</t>
    <phoneticPr fontId="2" type="noConversion"/>
  </si>
  <si>
    <t>당일 진행 사항(20일)</t>
    <phoneticPr fontId="2" type="noConversion"/>
  </si>
  <si>
    <t>K-JR01933-F01AWA</t>
    <phoneticPr fontId="2" type="noConversion"/>
  </si>
  <si>
    <t>KR6182-D624PA</t>
    <phoneticPr fontId="2" type="noConversion"/>
  </si>
  <si>
    <t>9</t>
    <phoneticPr fontId="2" type="noConversion"/>
  </si>
  <si>
    <t>SAMPLE 진행 사항(19일)</t>
    <phoneticPr fontId="2" type="noConversion"/>
  </si>
  <si>
    <t>HRCS-00C11C/12/14</t>
    <phoneticPr fontId="2" type="noConversion"/>
  </si>
  <si>
    <t>AMB0341A-KAA-R3</t>
    <phoneticPr fontId="2" type="noConversion"/>
  </si>
  <si>
    <t>LCP LID</t>
    <phoneticPr fontId="2" type="noConversion"/>
  </si>
  <si>
    <t>E130i</t>
    <phoneticPr fontId="2" type="noConversion"/>
  </si>
  <si>
    <t>TOP,BOTTOM,BASE</t>
    <phoneticPr fontId="2" type="noConversion"/>
  </si>
  <si>
    <t>스테츠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</si>
  <si>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</si>
  <si>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</si>
  <si>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2019년 02월 20일 일일생산현황</t>
    </r>
    <r>
      <rPr>
        <b/>
        <sz val="14"/>
        <color indexed="8"/>
        <rFont val="굴림체"/>
        <family val="3"/>
        <charset val="129"/>
      </rPr>
      <t>(21일 09시 현재)</t>
    </r>
    <phoneticPr fontId="2" type="noConversion"/>
  </si>
  <si>
    <t>ACTATOR</t>
    <phoneticPr fontId="2" type="noConversion"/>
  </si>
  <si>
    <t>전일 ISSUE 사항(20일)</t>
    <phoneticPr fontId="2" type="noConversion"/>
  </si>
  <si>
    <t>10</t>
    <phoneticPr fontId="2" type="noConversion"/>
  </si>
  <si>
    <t>당일 진행 사항(21일)</t>
    <phoneticPr fontId="2" type="noConversion"/>
  </si>
  <si>
    <t>AMB1904D-KAA-R2</t>
    <phoneticPr fontId="2" type="noConversion"/>
  </si>
  <si>
    <t>KR6156FA841YA</t>
    <phoneticPr fontId="2" type="noConversion"/>
  </si>
  <si>
    <t>SAMPLE 진행 사항(20일)</t>
    <phoneticPr fontId="2" type="noConversion"/>
  </si>
  <si>
    <t>HR032B-194A6</t>
    <phoneticPr fontId="2" type="noConversion"/>
  </si>
  <si>
    <t>HR032B-194A1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</si>
  <si>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</si>
  <si>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</si>
  <si>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2019년 02월 21일 일일생산현황</t>
    </r>
    <r>
      <rPr>
        <b/>
        <sz val="14"/>
        <color indexed="8"/>
        <rFont val="굴림체"/>
        <family val="3"/>
        <charset val="129"/>
      </rPr>
      <t>(22일 09시 현재)</t>
    </r>
    <phoneticPr fontId="2" type="noConversion"/>
  </si>
  <si>
    <t>전일 ISSUE 사항(21일)</t>
    <phoneticPr fontId="2" type="noConversion"/>
  </si>
  <si>
    <t>발주분양산-&gt;노즐샘정지</t>
    <phoneticPr fontId="2" type="noConversion"/>
  </si>
  <si>
    <t>발주분양산-&gt;코아파손수리</t>
    <phoneticPr fontId="2" type="noConversion"/>
  </si>
  <si>
    <t>당일 진행 사항(22일)</t>
    <phoneticPr fontId="2" type="noConversion"/>
  </si>
  <si>
    <t>AMB1901B-JAA-R1</t>
    <phoneticPr fontId="2" type="noConversion"/>
  </si>
  <si>
    <t>AYE</t>
    <phoneticPr fontId="2" type="noConversion"/>
  </si>
  <si>
    <t>NP571-178-025#LB</t>
    <phoneticPr fontId="2" type="noConversion"/>
  </si>
  <si>
    <t>SAMPLE 진행 사항(21일)</t>
    <phoneticPr fontId="2" type="noConversion"/>
  </si>
  <si>
    <t>HR032B-194A2</t>
    <phoneticPr fontId="2" type="noConversion"/>
  </si>
  <si>
    <t>FLOAT</t>
    <phoneticPr fontId="2" type="noConversion"/>
  </si>
  <si>
    <t>HR032B-194A3</t>
    <phoneticPr fontId="2" type="noConversion"/>
  </si>
  <si>
    <t>설비 LCP작업안됨</t>
    <phoneticPr fontId="2" type="noConversion"/>
  </si>
  <si>
    <t>LATCH L/R</t>
    <phoneticPr fontId="2" type="noConversion"/>
  </si>
  <si>
    <t>AMS0933A/4-KAA-R1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</si>
  <si>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</si>
  <si>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</si>
  <si>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2019년 02월 22일 일일생산현황</t>
    </r>
    <r>
      <rPr>
        <b/>
        <sz val="14"/>
        <color indexed="8"/>
        <rFont val="굴림체"/>
        <family val="3"/>
        <charset val="129"/>
      </rPr>
      <t>(23일 09시 현재)</t>
    </r>
    <phoneticPr fontId="2" type="noConversion"/>
  </si>
  <si>
    <t>SGP2030RN/P</t>
    <phoneticPr fontId="2" type="noConversion"/>
  </si>
  <si>
    <t>전일 ISSUE 사항(22일)</t>
    <phoneticPr fontId="2" type="noConversion"/>
  </si>
  <si>
    <t>코아파손수리후양산</t>
    <phoneticPr fontId="2" type="noConversion"/>
  </si>
  <si>
    <t>HOOK BURR수리후양산-&gt;HOOK박힘정지</t>
    <phoneticPr fontId="2" type="noConversion"/>
  </si>
  <si>
    <t>발주분양산-&gt;에젝타이상정지</t>
    <phoneticPr fontId="2" type="noConversion"/>
  </si>
  <si>
    <t>당일 진행 사항(25일)</t>
    <phoneticPr fontId="2" type="noConversion"/>
  </si>
  <si>
    <t>SAMPLE 진행 사항(22일)</t>
    <phoneticPr fontId="2" type="noConversion"/>
  </si>
  <si>
    <t>KR6182-GE153QB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</si>
  <si>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</si>
  <si>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</si>
  <si>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r>
      <t>2019년 02월 25일 일일생산현황</t>
    </r>
    <r>
      <rPr>
        <b/>
        <sz val="14"/>
        <color indexed="8"/>
        <rFont val="굴림체"/>
        <family val="3"/>
        <charset val="129"/>
      </rPr>
      <t>(26일 09시 현재)</t>
    </r>
    <phoneticPr fontId="2" type="noConversion"/>
  </si>
  <si>
    <t>G1300H B/K</t>
    <phoneticPr fontId="2" type="noConversion"/>
  </si>
  <si>
    <t>전일 ISSUE 사항(25일)</t>
    <phoneticPr fontId="2" type="noConversion"/>
  </si>
  <si>
    <t>당일 진행 사항(26일)</t>
    <phoneticPr fontId="2" type="noConversion"/>
  </si>
  <si>
    <t>BURR수리후양산</t>
    <phoneticPr fontId="2" type="noConversion"/>
  </si>
  <si>
    <t>KR6197AB841CB</t>
    <phoneticPr fontId="2" type="noConversion"/>
  </si>
  <si>
    <t>30P(구형)</t>
    <phoneticPr fontId="2" type="noConversion"/>
  </si>
  <si>
    <t>SAMPLE 진행 사항(25일)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</si>
  <si>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</si>
  <si>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</si>
  <si>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2019년 02월 26일 일일생산현황</t>
    </r>
    <r>
      <rPr>
        <b/>
        <sz val="14"/>
        <color indexed="8"/>
        <rFont val="굴림체"/>
        <family val="3"/>
        <charset val="129"/>
      </rPr>
      <t>(27일 09시 현재)</t>
    </r>
    <phoneticPr fontId="2" type="noConversion"/>
  </si>
  <si>
    <t>4LEAD</t>
    <phoneticPr fontId="2" type="noConversion"/>
  </si>
  <si>
    <t>009-019-004</t>
    <phoneticPr fontId="2" type="noConversion"/>
  </si>
  <si>
    <t>전일 ISSUE 사항(26일)</t>
    <phoneticPr fontId="2" type="noConversion"/>
  </si>
  <si>
    <t>발주분양산-&gt;코아파손수리-&gt;하측눌림정지</t>
    <phoneticPr fontId="2" type="noConversion"/>
  </si>
  <si>
    <t>당일 진행 사항(27일)</t>
    <phoneticPr fontId="2" type="noConversion"/>
  </si>
  <si>
    <t>KR6197-D475PA</t>
    <phoneticPr fontId="2" type="noConversion"/>
  </si>
  <si>
    <t>SAMPLE 진행 사항(26일)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</si>
  <si>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</si>
  <si>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</si>
  <si>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2019년 02월 27일 일일생산현황</t>
    </r>
    <r>
      <rPr>
        <b/>
        <sz val="14"/>
        <color indexed="8"/>
        <rFont val="굴림체"/>
        <family val="3"/>
        <charset val="129"/>
      </rPr>
      <t>(28일 09시 현재)</t>
    </r>
    <phoneticPr fontId="2" type="noConversion"/>
  </si>
  <si>
    <t>전일 ISSUE 사항(27일)</t>
    <phoneticPr fontId="2" type="noConversion"/>
  </si>
  <si>
    <t>발주분양산-&gt;하측뜯김정지</t>
    <phoneticPr fontId="2" type="noConversion"/>
  </si>
  <si>
    <t>발주분양산-&gt;런너박힘정지</t>
    <phoneticPr fontId="2" type="noConversion"/>
  </si>
  <si>
    <t>30P</t>
    <phoneticPr fontId="2" type="noConversion"/>
  </si>
  <si>
    <t>당일 진행 사항(28일)</t>
    <phoneticPr fontId="2" type="noConversion"/>
  </si>
  <si>
    <t>KR6156-GBA162AA</t>
    <phoneticPr fontId="2" type="noConversion"/>
  </si>
  <si>
    <t>G3-M-04A</t>
    <phoneticPr fontId="2" type="noConversion"/>
  </si>
  <si>
    <t>G3-M-02A</t>
    <phoneticPr fontId="2" type="noConversion"/>
  </si>
  <si>
    <t>G3-M-03A</t>
    <phoneticPr fontId="2" type="noConversion"/>
  </si>
  <si>
    <t>HINGE</t>
    <phoneticPr fontId="2" type="noConversion"/>
  </si>
  <si>
    <t>LOCKET</t>
    <phoneticPr fontId="2" type="noConversion"/>
  </si>
  <si>
    <t>SAMPLE 진행 사항(27일)</t>
    <phoneticPr fontId="2" type="noConversion"/>
  </si>
  <si>
    <t>LID/PLANGE</t>
    <phoneticPr fontId="2" type="noConversion"/>
  </si>
  <si>
    <t>HRCS-03C15H1/16H1</t>
    <phoneticPr fontId="2" type="noConversion"/>
  </si>
  <si>
    <t>14/08</t>
    <phoneticPr fontId="2" type="noConversion"/>
  </si>
  <si>
    <t>2회진행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</si>
  <si>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</si>
  <si>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</si>
  <si>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2019년 02월 28일 일일생산현황</t>
    </r>
    <r>
      <rPr>
        <b/>
        <sz val="14"/>
        <color indexed="8"/>
        <rFont val="굴림체"/>
        <family val="3"/>
        <charset val="129"/>
      </rPr>
      <t>(01일 09시 현재)</t>
    </r>
    <phoneticPr fontId="2" type="noConversion"/>
  </si>
  <si>
    <t>M2 CONN</t>
    <phoneticPr fontId="2" type="noConversion"/>
  </si>
  <si>
    <t>AMS08155A-KBB-R1</t>
    <phoneticPr fontId="2" type="noConversion"/>
  </si>
  <si>
    <t>HINGE/LOCKER</t>
    <phoneticPr fontId="2" type="noConversion"/>
  </si>
  <si>
    <t>G3-M-02A/3A</t>
    <phoneticPr fontId="2" type="noConversion"/>
  </si>
  <si>
    <t>전일 ISSUE 사항(28일)</t>
    <phoneticPr fontId="2" type="noConversion"/>
  </si>
  <si>
    <t>세척후양산</t>
    <phoneticPr fontId="2" type="noConversion"/>
  </si>
  <si>
    <t>LOCKER</t>
    <phoneticPr fontId="2" type="noConversion"/>
  </si>
  <si>
    <t>당일 진행 사항(01일)</t>
    <phoneticPr fontId="2" type="noConversion"/>
  </si>
  <si>
    <t>KR6304-E03TA</t>
    <phoneticPr fontId="2" type="noConversion"/>
  </si>
  <si>
    <t>KR6414-A291YA</t>
    <phoneticPr fontId="2" type="noConversion"/>
  </si>
  <si>
    <t>SAMPLE 진행 사항(28일)</t>
    <phoneticPr fontId="2" type="noConversion"/>
  </si>
  <si>
    <t>금형 수리 내역(28일)</t>
    <phoneticPr fontId="2" type="noConversion"/>
  </si>
  <si>
    <t>설비 점검 내역(28일)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</si>
</sst>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12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8" fillId="30" borderId="8" xfId="2" applyFont="1" applyFill="1" applyBorder="1" applyAlignment="1">
      <alignment horizontal="center" vertical="center"/>
    </xf>
    <xf numFmtId="0" fontId="7" fillId="30" borderId="51" xfId="0" applyFont="1" applyFill="1" applyBorder="1" applyAlignment="1">
      <alignment horizontal="center" vertical="center"/>
    </xf>
    <xf numFmtId="9" fontId="7" fillId="30" borderId="11" xfId="8" applyFont="1" applyFill="1" applyBorder="1" applyAlignment="1">
      <alignment horizontal="center" vertical="center"/>
    </xf>
    <xf numFmtId="9" fontId="7" fillId="30" borderId="9" xfId="8" applyFont="1" applyFill="1" applyBorder="1" applyAlignment="1">
      <alignment horizontal="center" vertical="center"/>
    </xf>
    <xf numFmtId="9" fontId="7" fillId="30" borderId="12" xfId="8" applyFont="1" applyFill="1" applyBorder="1" applyAlignment="1">
      <alignment horizontal="center" vertical="center"/>
    </xf>
    <xf numFmtId="9" fontId="7" fillId="30" borderId="51" xfId="8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left" vertical="center" shrinkToFit="1"/>
    </xf>
    <xf numFmtId="49" fontId="13" fillId="0" borderId="30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02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'11'!$D$6:$D$22</c:f>
              <c:strCache>
                <c:ptCount val="16"/>
                <c:pt idx="5">
                  <c:v>ACTUATOR</c:v>
                </c:pt>
                <c:pt idx="6">
                  <c:v>STOPPER</c:v>
                </c:pt>
                <c:pt idx="7">
                  <c:v>TOP/BOTTOM</c:v>
                </c:pt>
                <c:pt idx="10">
                  <c:v>BODY</c:v>
                </c:pt>
                <c:pt idx="11">
                  <c:v>ADAPTER</c:v>
                </c:pt>
                <c:pt idx="12">
                  <c:v>FLOATING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'11'!$L$6:$L$22</c:f>
              <c:numCache>
                <c:formatCode>_(* #,##0_);_(* \(#,##0\);_(* "-"_);_(@_)</c:formatCode>
                <c:ptCount val="17"/>
                <c:pt idx="5">
                  <c:v>475</c:v>
                </c:pt>
                <c:pt idx="6">
                  <c:v>473</c:v>
                </c:pt>
                <c:pt idx="7">
                  <c:v>3864</c:v>
                </c:pt>
                <c:pt idx="10">
                  <c:v>4347</c:v>
                </c:pt>
                <c:pt idx="11">
                  <c:v>660</c:v>
                </c:pt>
                <c:pt idx="12">
                  <c:v>3195</c:v>
                </c:pt>
                <c:pt idx="13">
                  <c:v>445</c:v>
                </c:pt>
                <c:pt idx="14">
                  <c:v>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6-40CA-8E2F-2781F3BD6E65}"/>
            </c:ext>
          </c:extLst>
        </c:ser>
        <c:ser>
          <c:idx val="1"/>
          <c:order val="1"/>
          <c:tx>
            <c:v>계획</c:v>
          </c:tx>
          <c:cat>
            <c:strRef>
              <c:f>'11'!$D$6:$D$22</c:f>
              <c:strCache>
                <c:ptCount val="16"/>
                <c:pt idx="5">
                  <c:v>ACTUATOR</c:v>
                </c:pt>
                <c:pt idx="6">
                  <c:v>STOPPER</c:v>
                </c:pt>
                <c:pt idx="7">
                  <c:v>TOP/BOTTOM</c:v>
                </c:pt>
                <c:pt idx="10">
                  <c:v>BODY</c:v>
                </c:pt>
                <c:pt idx="11">
                  <c:v>ADAPTER</c:v>
                </c:pt>
                <c:pt idx="12">
                  <c:v>FLOATING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'11'!$J$6:$J$22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475</c:v>
                </c:pt>
                <c:pt idx="6">
                  <c:v>473</c:v>
                </c:pt>
                <c:pt idx="7">
                  <c:v>3864</c:v>
                </c:pt>
                <c:pt idx="8">
                  <c:v>0</c:v>
                </c:pt>
                <c:pt idx="9">
                  <c:v>0</c:v>
                </c:pt>
                <c:pt idx="10">
                  <c:v>4347</c:v>
                </c:pt>
                <c:pt idx="11">
                  <c:v>660</c:v>
                </c:pt>
                <c:pt idx="12">
                  <c:v>3195</c:v>
                </c:pt>
                <c:pt idx="13">
                  <c:v>445</c:v>
                </c:pt>
                <c:pt idx="14">
                  <c:v>3708</c:v>
                </c:pt>
                <c:pt idx="15">
                  <c:v>17176</c:v>
                </c:pt>
                <c:pt idx="16">
                  <c:v>82568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6-40CA-8E2F-2781F3BD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17%</c:v>
                </c:pt>
                <c:pt idx="6">
                  <c:v>17%</c:v>
                </c:pt>
                <c:pt idx="7">
                  <c:v>83%</c:v>
                </c:pt>
                <c:pt idx="8">
                  <c:v>0%</c:v>
                </c:pt>
                <c:pt idx="9">
                  <c:v>0%</c:v>
                </c:pt>
                <c:pt idx="10">
                  <c:v>96%</c:v>
                </c:pt>
                <c:pt idx="11">
                  <c:v>17%</c:v>
                </c:pt>
                <c:pt idx="12">
                  <c:v>75%</c:v>
                </c:pt>
                <c:pt idx="13">
                  <c:v>17%</c:v>
                </c:pt>
                <c:pt idx="14">
                  <c:v>75%</c:v>
                </c:pt>
                <c:pt idx="15">
                  <c:v>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'11'!$D$6:$D$22</c:f>
              <c:strCache>
                <c:ptCount val="16"/>
                <c:pt idx="5">
                  <c:v>ACTUATOR</c:v>
                </c:pt>
                <c:pt idx="6">
                  <c:v>STOPPER</c:v>
                </c:pt>
                <c:pt idx="7">
                  <c:v>TOP/BOTTOM</c:v>
                </c:pt>
                <c:pt idx="10">
                  <c:v>BODY</c:v>
                </c:pt>
                <c:pt idx="11">
                  <c:v>ADAPTER</c:v>
                </c:pt>
                <c:pt idx="12">
                  <c:v>FLOATING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'11'!$AD$6:$AD$22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0.83333333333333337</c:v>
                </c:pt>
                <c:pt idx="8">
                  <c:v>0</c:v>
                </c:pt>
                <c:pt idx="9">
                  <c:v>0</c:v>
                </c:pt>
                <c:pt idx="10">
                  <c:v>0.95833333333333337</c:v>
                </c:pt>
                <c:pt idx="11">
                  <c:v>0.16666666666666666</c:v>
                </c:pt>
                <c:pt idx="12">
                  <c:v>0.75</c:v>
                </c:pt>
                <c:pt idx="13">
                  <c:v>0.16666666666666666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F-4510-9841-1923957E724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1F-4510-9841-1923957E724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'11'!$D$6:$D$22</c:f>
              <c:strCache>
                <c:ptCount val="16"/>
                <c:pt idx="5">
                  <c:v>ACTUATOR</c:v>
                </c:pt>
                <c:pt idx="6">
                  <c:v>STOPPER</c:v>
                </c:pt>
                <c:pt idx="7">
                  <c:v>TOP/BOTTOM</c:v>
                </c:pt>
                <c:pt idx="10">
                  <c:v>BODY</c:v>
                </c:pt>
                <c:pt idx="11">
                  <c:v>ADAPTER</c:v>
                </c:pt>
                <c:pt idx="12">
                  <c:v>FLOATING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'11'!$AE$6:$AE$22</c:f>
              <c:numCache>
                <c:formatCode>0%</c:formatCode>
                <c:ptCount val="17"/>
                <c:pt idx="0">
                  <c:v>0.2638888888888889</c:v>
                </c:pt>
                <c:pt idx="1">
                  <c:v>0.2638888888888889</c:v>
                </c:pt>
                <c:pt idx="2">
                  <c:v>0.2638888888888889</c:v>
                </c:pt>
                <c:pt idx="3">
                  <c:v>0.2638888888888889</c:v>
                </c:pt>
                <c:pt idx="4">
                  <c:v>0.2638888888888889</c:v>
                </c:pt>
                <c:pt idx="5">
                  <c:v>0.2638888888888889</c:v>
                </c:pt>
                <c:pt idx="6">
                  <c:v>0.2638888888888889</c:v>
                </c:pt>
                <c:pt idx="7">
                  <c:v>0.2638888888888889</c:v>
                </c:pt>
                <c:pt idx="8">
                  <c:v>0.2638888888888889</c:v>
                </c:pt>
                <c:pt idx="9">
                  <c:v>0.2638888888888889</c:v>
                </c:pt>
                <c:pt idx="10">
                  <c:v>0.2638888888888889</c:v>
                </c:pt>
                <c:pt idx="11">
                  <c:v>0.2638888888888889</c:v>
                </c:pt>
                <c:pt idx="12">
                  <c:v>0.2638888888888889</c:v>
                </c:pt>
                <c:pt idx="13">
                  <c:v>0.2638888888888889</c:v>
                </c:pt>
                <c:pt idx="14">
                  <c:v>0.2638888888888889</c:v>
                </c:pt>
                <c:pt idx="15">
                  <c:v>0.2638888888888889</c:v>
                </c:pt>
                <c:pt idx="16">
                  <c:v>0.2638888888888889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F-4510-9841-1923957E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B15-47D0-9201-064B7B5F79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5-47D0-9201-064B7B5F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15-47D0-9201-064B7B5F79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5-47D0-9201-064B7B5F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10">
                  <c:v>LID/BASE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'12'!$L$6:$L$20</c:f>
              <c:numCache>
                <c:formatCode>_(* #,##0_);_(* \(#,##0\);_(* "-"_);_(@_)</c:formatCode>
                <c:ptCount val="15"/>
                <c:pt idx="5">
                  <c:v>5300</c:v>
                </c:pt>
                <c:pt idx="6">
                  <c:v>4425</c:v>
                </c:pt>
                <c:pt idx="7">
                  <c:v>2144</c:v>
                </c:pt>
                <c:pt idx="10">
                  <c:v>4157</c:v>
                </c:pt>
                <c:pt idx="11">
                  <c:v>0</c:v>
                </c:pt>
                <c:pt idx="12">
                  <c:v>5246</c:v>
                </c:pt>
                <c:pt idx="14">
                  <c:v>27008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E-431C-86B1-60D56AF648AE}"/>
            </c:ext>
          </c:extLst>
        </c:ser>
        <c:ser>
          <c:idx val="1"/>
          <c:order val="1"/>
          <c:tx>
            <c:v>계획</c:v>
          </c:tx>
          <c:cat>
            <c:strRef>
              <c:f>'12'!$D$6:$D$20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10">
                  <c:v>LID/BASE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5300</c:v>
                </c:pt>
                <c:pt idx="6">
                  <c:v>4425</c:v>
                </c:pt>
                <c:pt idx="7">
                  <c:v>3864</c:v>
                </c:pt>
                <c:pt idx="8">
                  <c:v>0</c:v>
                </c:pt>
                <c:pt idx="9">
                  <c:v>0</c:v>
                </c:pt>
                <c:pt idx="10">
                  <c:v>4157</c:v>
                </c:pt>
                <c:pt idx="11">
                  <c:v>0</c:v>
                </c:pt>
                <c:pt idx="12">
                  <c:v>5246</c:v>
                </c:pt>
                <c:pt idx="13">
                  <c:v>0</c:v>
                </c:pt>
                <c:pt idx="14">
                  <c:v>27008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E-431C-86B1-60D56AF6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35%</c:v>
                </c:pt>
                <c:pt idx="8">
                  <c:v>0%</c:v>
                </c:pt>
                <c:pt idx="9">
                  <c:v>0%</c:v>
                </c:pt>
                <c:pt idx="10">
                  <c:v>96%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10">
                  <c:v>LID/BASE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0.34679089026915111</c:v>
                </c:pt>
                <c:pt idx="8">
                  <c:v>0</c:v>
                </c:pt>
                <c:pt idx="9">
                  <c:v>0</c:v>
                </c:pt>
                <c:pt idx="10">
                  <c:v>0.95833333333333337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9-4BF4-815B-A0B86BFB13A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9-4BF4-815B-A0B86BFB13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10">
                  <c:v>LID/BASE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'12'!$AE$6:$AE$20</c:f>
              <c:numCache>
                <c:formatCode>0%</c:formatCode>
                <c:ptCount val="15"/>
                <c:pt idx="0">
                  <c:v>0.32589717046238786</c:v>
                </c:pt>
                <c:pt idx="1">
                  <c:v>0.32589717046238786</c:v>
                </c:pt>
                <c:pt idx="2">
                  <c:v>0.32589717046238786</c:v>
                </c:pt>
                <c:pt idx="3">
                  <c:v>0.32589717046238786</c:v>
                </c:pt>
                <c:pt idx="4">
                  <c:v>0.32589717046238786</c:v>
                </c:pt>
                <c:pt idx="5">
                  <c:v>0.32589717046238786</c:v>
                </c:pt>
                <c:pt idx="6">
                  <c:v>0.32589717046238786</c:v>
                </c:pt>
                <c:pt idx="7">
                  <c:v>0.32589717046238786</c:v>
                </c:pt>
                <c:pt idx="8">
                  <c:v>0.32589717046238786</c:v>
                </c:pt>
                <c:pt idx="9">
                  <c:v>0.32589717046238786</c:v>
                </c:pt>
                <c:pt idx="10">
                  <c:v>0.32589717046238786</c:v>
                </c:pt>
                <c:pt idx="11">
                  <c:v>0.32589717046238786</c:v>
                </c:pt>
                <c:pt idx="12">
                  <c:v>0.32589717046238786</c:v>
                </c:pt>
                <c:pt idx="13">
                  <c:v>0.32589717046238786</c:v>
                </c:pt>
                <c:pt idx="14">
                  <c:v>0.32589717046238786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9-4BF4-815B-A0B86BFB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10">
                  <c:v>LID/BASE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'12'!$L$6:$L$20</c:f>
              <c:numCache>
                <c:formatCode>_(* #,##0_);_(* \(#,##0\);_(* "-"_);_(@_)</c:formatCode>
                <c:ptCount val="15"/>
                <c:pt idx="5">
                  <c:v>5300</c:v>
                </c:pt>
                <c:pt idx="6">
                  <c:v>4425</c:v>
                </c:pt>
                <c:pt idx="7">
                  <c:v>2144</c:v>
                </c:pt>
                <c:pt idx="10">
                  <c:v>4157</c:v>
                </c:pt>
                <c:pt idx="11">
                  <c:v>0</c:v>
                </c:pt>
                <c:pt idx="12">
                  <c:v>5246</c:v>
                </c:pt>
                <c:pt idx="14">
                  <c:v>27008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9-4610-8EFE-CDB266E95CA6}"/>
            </c:ext>
          </c:extLst>
        </c:ser>
        <c:ser>
          <c:idx val="1"/>
          <c:order val="1"/>
          <c:tx>
            <c:v>계획</c:v>
          </c:tx>
          <c:cat>
            <c:strRef>
              <c:f>'12'!$D$6:$D$20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10">
                  <c:v>LID/BASE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5300</c:v>
                </c:pt>
                <c:pt idx="6">
                  <c:v>4425</c:v>
                </c:pt>
                <c:pt idx="7">
                  <c:v>3864</c:v>
                </c:pt>
                <c:pt idx="8">
                  <c:v>0</c:v>
                </c:pt>
                <c:pt idx="9">
                  <c:v>0</c:v>
                </c:pt>
                <c:pt idx="10">
                  <c:v>4157</c:v>
                </c:pt>
                <c:pt idx="11">
                  <c:v>0</c:v>
                </c:pt>
                <c:pt idx="12">
                  <c:v>5246</c:v>
                </c:pt>
                <c:pt idx="13">
                  <c:v>0</c:v>
                </c:pt>
                <c:pt idx="14">
                  <c:v>27008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9-4610-8EFE-CDB266E95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35%</c:v>
                </c:pt>
                <c:pt idx="8">
                  <c:v>0%</c:v>
                </c:pt>
                <c:pt idx="9">
                  <c:v>0%</c:v>
                </c:pt>
                <c:pt idx="10">
                  <c:v>96%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10">
                  <c:v>LID/BASE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0.34679089026915111</c:v>
                </c:pt>
                <c:pt idx="8">
                  <c:v>0</c:v>
                </c:pt>
                <c:pt idx="9">
                  <c:v>0</c:v>
                </c:pt>
                <c:pt idx="10">
                  <c:v>0.95833333333333337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7-4A35-B1BC-86243306660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17-4A35-B1BC-8624330666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10">
                  <c:v>LID/BASE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'12'!$AE$6:$AE$20</c:f>
              <c:numCache>
                <c:formatCode>0%</c:formatCode>
                <c:ptCount val="15"/>
                <c:pt idx="0">
                  <c:v>0.32589717046238786</c:v>
                </c:pt>
                <c:pt idx="1">
                  <c:v>0.32589717046238786</c:v>
                </c:pt>
                <c:pt idx="2">
                  <c:v>0.32589717046238786</c:v>
                </c:pt>
                <c:pt idx="3">
                  <c:v>0.32589717046238786</c:v>
                </c:pt>
                <c:pt idx="4">
                  <c:v>0.32589717046238786</c:v>
                </c:pt>
                <c:pt idx="5">
                  <c:v>0.32589717046238786</c:v>
                </c:pt>
                <c:pt idx="6">
                  <c:v>0.32589717046238786</c:v>
                </c:pt>
                <c:pt idx="7">
                  <c:v>0.32589717046238786</c:v>
                </c:pt>
                <c:pt idx="8">
                  <c:v>0.32589717046238786</c:v>
                </c:pt>
                <c:pt idx="9">
                  <c:v>0.32589717046238786</c:v>
                </c:pt>
                <c:pt idx="10">
                  <c:v>0.32589717046238786</c:v>
                </c:pt>
                <c:pt idx="11">
                  <c:v>0.32589717046238786</c:v>
                </c:pt>
                <c:pt idx="12">
                  <c:v>0.32589717046238786</c:v>
                </c:pt>
                <c:pt idx="13">
                  <c:v>0.32589717046238786</c:v>
                </c:pt>
                <c:pt idx="14">
                  <c:v>0.32589717046238786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7-4A35-B1BC-862433066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63B-47F3-822C-1998529362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B-47F3-822C-1998529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3B-47F3-822C-19985293623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B-47F3-822C-1998529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BODY</c:v>
                </c:pt>
                <c:pt idx="10">
                  <c:v>PLUNGER/PUSHER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5">
                  <c:v>904</c:v>
                </c:pt>
                <c:pt idx="6">
                  <c:v>1818</c:v>
                </c:pt>
                <c:pt idx="7">
                  <c:v>3995</c:v>
                </c:pt>
                <c:pt idx="10">
                  <c:v>3166</c:v>
                </c:pt>
                <c:pt idx="11">
                  <c:v>12716</c:v>
                </c:pt>
                <c:pt idx="12">
                  <c:v>559</c:v>
                </c:pt>
                <c:pt idx="13">
                  <c:v>2507</c:v>
                </c:pt>
                <c:pt idx="14">
                  <c:v>76128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0-4284-A3DB-CB6071D65A25}"/>
            </c:ext>
          </c:extLst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BODY</c:v>
                </c:pt>
                <c:pt idx="10">
                  <c:v>PLUNGER/PUSHER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904</c:v>
                </c:pt>
                <c:pt idx="6">
                  <c:v>1818</c:v>
                </c:pt>
                <c:pt idx="7">
                  <c:v>3995</c:v>
                </c:pt>
                <c:pt idx="8">
                  <c:v>0</c:v>
                </c:pt>
                <c:pt idx="9">
                  <c:v>0</c:v>
                </c:pt>
                <c:pt idx="10">
                  <c:v>3166</c:v>
                </c:pt>
                <c:pt idx="11">
                  <c:v>12716</c:v>
                </c:pt>
                <c:pt idx="12">
                  <c:v>559</c:v>
                </c:pt>
                <c:pt idx="13">
                  <c:v>2507</c:v>
                </c:pt>
                <c:pt idx="14">
                  <c:v>76128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0-4284-A3DB-CB6071D6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21%</c:v>
                </c:pt>
                <c:pt idx="6">
                  <c:v>29%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79%</c:v>
                </c:pt>
                <c:pt idx="11">
                  <c:v>88%</c:v>
                </c:pt>
                <c:pt idx="12">
                  <c:v>17%</c:v>
                </c:pt>
                <c:pt idx="13">
                  <c:v>58%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BODY</c:v>
                </c:pt>
                <c:pt idx="10">
                  <c:v>PLUNGER/PUSHER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0.20833333333333334</c:v>
                </c:pt>
                <c:pt idx="6">
                  <c:v>0.29166666666666669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0.79166666666666663</c:v>
                </c:pt>
                <c:pt idx="11">
                  <c:v>0.875</c:v>
                </c:pt>
                <c:pt idx="12">
                  <c:v>0.16666666666666666</c:v>
                </c:pt>
                <c:pt idx="13">
                  <c:v>0.58333333333333337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C-437A-8E86-74AAEA31024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9C-437A-8E86-74AAEA3102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BODY</c:v>
                </c:pt>
                <c:pt idx="10">
                  <c:v>PLUNGER/PUSHER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0.31944444444444442</c:v>
                </c:pt>
                <c:pt idx="1">
                  <c:v>0.31944444444444442</c:v>
                </c:pt>
                <c:pt idx="2">
                  <c:v>0.31944444444444442</c:v>
                </c:pt>
                <c:pt idx="3">
                  <c:v>0.31944444444444442</c:v>
                </c:pt>
                <c:pt idx="4">
                  <c:v>0.31944444444444442</c:v>
                </c:pt>
                <c:pt idx="5">
                  <c:v>0.31944444444444442</c:v>
                </c:pt>
                <c:pt idx="6">
                  <c:v>0.31944444444444442</c:v>
                </c:pt>
                <c:pt idx="7">
                  <c:v>0.31944444444444442</c:v>
                </c:pt>
                <c:pt idx="8">
                  <c:v>0.31944444444444442</c:v>
                </c:pt>
                <c:pt idx="9">
                  <c:v>0.31944444444444442</c:v>
                </c:pt>
                <c:pt idx="10">
                  <c:v>0.31944444444444442</c:v>
                </c:pt>
                <c:pt idx="11">
                  <c:v>0.31944444444444442</c:v>
                </c:pt>
                <c:pt idx="12">
                  <c:v>0.31944444444444442</c:v>
                </c:pt>
                <c:pt idx="13">
                  <c:v>0.31944444444444442</c:v>
                </c:pt>
                <c:pt idx="14">
                  <c:v>0.31944444444444442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C-437A-8E86-74AAEA31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02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0.10119047619047619</c:v>
                </c:pt>
                <c:pt idx="3">
                  <c:v>0.22470238095238096</c:v>
                </c:pt>
                <c:pt idx="4">
                  <c:v>0.38254364405065333</c:v>
                </c:pt>
                <c:pt idx="5">
                  <c:v>0.25</c:v>
                </c:pt>
                <c:pt idx="6">
                  <c:v>0.21428571428571425</c:v>
                </c:pt>
                <c:pt idx="7">
                  <c:v>0.14036157941437444</c:v>
                </c:pt>
                <c:pt idx="8">
                  <c:v>0.20089285714285715</c:v>
                </c:pt>
                <c:pt idx="9">
                  <c:v>0.14583333333333331</c:v>
                </c:pt>
                <c:pt idx="10">
                  <c:v>0.22767857142857142</c:v>
                </c:pt>
                <c:pt idx="11">
                  <c:v>0.16369047619047619</c:v>
                </c:pt>
                <c:pt idx="12">
                  <c:v>0.37648809523809523</c:v>
                </c:pt>
                <c:pt idx="13">
                  <c:v>0.36309523809523808</c:v>
                </c:pt>
                <c:pt idx="14">
                  <c:v>0.14136904761904762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BODY</c:v>
                </c:pt>
                <c:pt idx="10">
                  <c:v>PLUNGER/PUSHER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5">
                  <c:v>904</c:v>
                </c:pt>
                <c:pt idx="6">
                  <c:v>1818</c:v>
                </c:pt>
                <c:pt idx="7">
                  <c:v>3995</c:v>
                </c:pt>
                <c:pt idx="10">
                  <c:v>3166</c:v>
                </c:pt>
                <c:pt idx="11">
                  <c:v>12716</c:v>
                </c:pt>
                <c:pt idx="12">
                  <c:v>559</c:v>
                </c:pt>
                <c:pt idx="13">
                  <c:v>2507</c:v>
                </c:pt>
                <c:pt idx="14">
                  <c:v>76128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3-43B9-88F0-FF12BE0D712E}"/>
            </c:ext>
          </c:extLst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BODY</c:v>
                </c:pt>
                <c:pt idx="10">
                  <c:v>PLUNGER/PUSHER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904</c:v>
                </c:pt>
                <c:pt idx="6">
                  <c:v>1818</c:v>
                </c:pt>
                <c:pt idx="7">
                  <c:v>3995</c:v>
                </c:pt>
                <c:pt idx="8">
                  <c:v>0</c:v>
                </c:pt>
                <c:pt idx="9">
                  <c:v>0</c:v>
                </c:pt>
                <c:pt idx="10">
                  <c:v>3166</c:v>
                </c:pt>
                <c:pt idx="11">
                  <c:v>12716</c:v>
                </c:pt>
                <c:pt idx="12">
                  <c:v>559</c:v>
                </c:pt>
                <c:pt idx="13">
                  <c:v>2507</c:v>
                </c:pt>
                <c:pt idx="14">
                  <c:v>76128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3-43B9-88F0-FF12BE0D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21%</c:v>
                </c:pt>
                <c:pt idx="6">
                  <c:v>29%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79%</c:v>
                </c:pt>
                <c:pt idx="11">
                  <c:v>88%</c:v>
                </c:pt>
                <c:pt idx="12">
                  <c:v>17%</c:v>
                </c:pt>
                <c:pt idx="13">
                  <c:v>58%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BODY</c:v>
                </c:pt>
                <c:pt idx="10">
                  <c:v>PLUNGER/PUSHER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0.20833333333333334</c:v>
                </c:pt>
                <c:pt idx="6">
                  <c:v>0.29166666666666669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0.79166666666666663</c:v>
                </c:pt>
                <c:pt idx="11">
                  <c:v>0.875</c:v>
                </c:pt>
                <c:pt idx="12">
                  <c:v>0.16666666666666666</c:v>
                </c:pt>
                <c:pt idx="13">
                  <c:v>0.58333333333333337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1-456F-867B-E0F7255C230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01-456F-867B-E0F7255C23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5">
                  <c:v>FLOATING</c:v>
                </c:pt>
                <c:pt idx="6">
                  <c:v>BOTTOM</c:v>
                </c:pt>
                <c:pt idx="7">
                  <c:v>BODY</c:v>
                </c:pt>
                <c:pt idx="10">
                  <c:v>PLUNGER/PUSHER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0.31944444444444442</c:v>
                </c:pt>
                <c:pt idx="1">
                  <c:v>0.31944444444444442</c:v>
                </c:pt>
                <c:pt idx="2">
                  <c:v>0.31944444444444442</c:v>
                </c:pt>
                <c:pt idx="3">
                  <c:v>0.31944444444444442</c:v>
                </c:pt>
                <c:pt idx="4">
                  <c:v>0.31944444444444442</c:v>
                </c:pt>
                <c:pt idx="5">
                  <c:v>0.31944444444444442</c:v>
                </c:pt>
                <c:pt idx="6">
                  <c:v>0.31944444444444442</c:v>
                </c:pt>
                <c:pt idx="7">
                  <c:v>0.31944444444444442</c:v>
                </c:pt>
                <c:pt idx="8">
                  <c:v>0.31944444444444442</c:v>
                </c:pt>
                <c:pt idx="9">
                  <c:v>0.31944444444444442</c:v>
                </c:pt>
                <c:pt idx="10">
                  <c:v>0.31944444444444442</c:v>
                </c:pt>
                <c:pt idx="11">
                  <c:v>0.31944444444444442</c:v>
                </c:pt>
                <c:pt idx="12">
                  <c:v>0.31944444444444442</c:v>
                </c:pt>
                <c:pt idx="13">
                  <c:v>0.31944444444444442</c:v>
                </c:pt>
                <c:pt idx="14">
                  <c:v>0.31944444444444442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1-456F-867B-E0F7255C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6A5-49E0-BE48-8C6EEC0DD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5-49E0-BE48-8C6EEC0DD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A5-49E0-BE48-8C6EEC0DDC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5-49E0-BE48-8C6EEC0DD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4">
                  <c:v>12336</c:v>
                </c:pt>
                <c:pt idx="12">
                  <c:v>7486</c:v>
                </c:pt>
                <c:pt idx="13">
                  <c:v>1320</c:v>
                </c:pt>
                <c:pt idx="14">
                  <c:v>41848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8-4AE5-BC6F-E8A8F4E04524}"/>
            </c:ext>
          </c:extLst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12336</c:v>
                </c:pt>
                <c:pt idx="8">
                  <c:v>0</c:v>
                </c:pt>
                <c:pt idx="9">
                  <c:v>0</c:v>
                </c:pt>
                <c:pt idx="12">
                  <c:v>7486</c:v>
                </c:pt>
                <c:pt idx="13">
                  <c:v>1320</c:v>
                </c:pt>
                <c:pt idx="14">
                  <c:v>41848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8-4AE5-BC6F-E8A8F4E0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92%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79%</c:v>
                </c:pt>
                <c:pt idx="13">
                  <c:v>29%</c:v>
                </c:pt>
                <c:pt idx="14">
                  <c:v>67%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0.79166666666666663</c:v>
                </c:pt>
                <c:pt idx="13">
                  <c:v>0.29166666666666669</c:v>
                </c:pt>
                <c:pt idx="1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C-49F7-AB19-6BF44A8E659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0C-49F7-AB19-6BF44A8E65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0.17777777777777776</c:v>
                </c:pt>
                <c:pt idx="1">
                  <c:v>0.17777777777777776</c:v>
                </c:pt>
                <c:pt idx="2">
                  <c:v>0.17777777777777776</c:v>
                </c:pt>
                <c:pt idx="3">
                  <c:v>0.17777777777777776</c:v>
                </c:pt>
                <c:pt idx="4">
                  <c:v>0.17777777777777776</c:v>
                </c:pt>
                <c:pt idx="5">
                  <c:v>0.17777777777777776</c:v>
                </c:pt>
                <c:pt idx="6">
                  <c:v>0.17777777777777776</c:v>
                </c:pt>
                <c:pt idx="7">
                  <c:v>0.17777777777777776</c:v>
                </c:pt>
                <c:pt idx="8">
                  <c:v>0.17777777777777776</c:v>
                </c:pt>
                <c:pt idx="9">
                  <c:v>0.17777777777777776</c:v>
                </c:pt>
                <c:pt idx="10">
                  <c:v>0.17777777777777776</c:v>
                </c:pt>
                <c:pt idx="11">
                  <c:v>0.17777777777777776</c:v>
                </c:pt>
                <c:pt idx="12">
                  <c:v>0.17777777777777776</c:v>
                </c:pt>
                <c:pt idx="13">
                  <c:v>0.17777777777777776</c:v>
                </c:pt>
                <c:pt idx="14">
                  <c:v>0.17777777777777776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C-49F7-AB19-6BF44A8E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4">
                  <c:v>12336</c:v>
                </c:pt>
                <c:pt idx="12">
                  <c:v>7486</c:v>
                </c:pt>
                <c:pt idx="13">
                  <c:v>1320</c:v>
                </c:pt>
                <c:pt idx="14">
                  <c:v>41848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B-4C50-A324-698424AB10D3}"/>
            </c:ext>
          </c:extLst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12336</c:v>
                </c:pt>
                <c:pt idx="8">
                  <c:v>0</c:v>
                </c:pt>
                <c:pt idx="9">
                  <c:v>0</c:v>
                </c:pt>
                <c:pt idx="12">
                  <c:v>7486</c:v>
                </c:pt>
                <c:pt idx="13">
                  <c:v>1320</c:v>
                </c:pt>
                <c:pt idx="14">
                  <c:v>41848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B-4C50-A324-698424AB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92%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79%</c:v>
                </c:pt>
                <c:pt idx="13">
                  <c:v>29%</c:v>
                </c:pt>
                <c:pt idx="14">
                  <c:v>67%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0.79166666666666663</c:v>
                </c:pt>
                <c:pt idx="13">
                  <c:v>0.29166666666666669</c:v>
                </c:pt>
                <c:pt idx="1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68E-8F62-A73720B5AF9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A9-468E-8F62-A73720B5AF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0.17777777777777776</c:v>
                </c:pt>
                <c:pt idx="1">
                  <c:v>0.17777777777777776</c:v>
                </c:pt>
                <c:pt idx="2">
                  <c:v>0.17777777777777776</c:v>
                </c:pt>
                <c:pt idx="3">
                  <c:v>0.17777777777777776</c:v>
                </c:pt>
                <c:pt idx="4">
                  <c:v>0.17777777777777776</c:v>
                </c:pt>
                <c:pt idx="5">
                  <c:v>0.17777777777777776</c:v>
                </c:pt>
                <c:pt idx="6">
                  <c:v>0.17777777777777776</c:v>
                </c:pt>
                <c:pt idx="7">
                  <c:v>0.17777777777777776</c:v>
                </c:pt>
                <c:pt idx="8">
                  <c:v>0.17777777777777776</c:v>
                </c:pt>
                <c:pt idx="9">
                  <c:v>0.17777777777777776</c:v>
                </c:pt>
                <c:pt idx="10">
                  <c:v>0.17777777777777776</c:v>
                </c:pt>
                <c:pt idx="11">
                  <c:v>0.17777777777777776</c:v>
                </c:pt>
                <c:pt idx="12">
                  <c:v>0.17777777777777776</c:v>
                </c:pt>
                <c:pt idx="13">
                  <c:v>0.17777777777777776</c:v>
                </c:pt>
                <c:pt idx="14">
                  <c:v>0.17777777777777776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9-468E-8F62-A73720B5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839-4063-81ED-AA6B864DA9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9-4063-81ED-AA6B864D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39-4063-81ED-AA6B864DA9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9-4063-81ED-AA6B864D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2">
                  <c:v>STOPPER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2">
                  <c:v>5516</c:v>
                </c:pt>
                <c:pt idx="4">
                  <c:v>11770</c:v>
                </c:pt>
                <c:pt idx="12">
                  <c:v>10058</c:v>
                </c:pt>
                <c:pt idx="13">
                  <c:v>4035</c:v>
                </c:pt>
                <c:pt idx="14">
                  <c:v>38820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4-439F-83C5-5A83AD90A02D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2">
                  <c:v>STOPPER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5516</c:v>
                </c:pt>
                <c:pt idx="3">
                  <c:v>0</c:v>
                </c:pt>
                <c:pt idx="4">
                  <c:v>11770</c:v>
                </c:pt>
                <c:pt idx="8">
                  <c:v>0</c:v>
                </c:pt>
                <c:pt idx="9">
                  <c:v>0</c:v>
                </c:pt>
                <c:pt idx="12">
                  <c:v>10058</c:v>
                </c:pt>
                <c:pt idx="13">
                  <c:v>4035</c:v>
                </c:pt>
                <c:pt idx="14">
                  <c:v>38820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4-439F-83C5-5A83AD90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63%</c:v>
                </c:pt>
                <c:pt idx="3">
                  <c:v>0%</c:v>
                </c:pt>
                <c:pt idx="4">
                  <c:v>92%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92%</c:v>
                </c:pt>
                <c:pt idx="14">
                  <c:v>63%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STOPPER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0</c:v>
                </c:pt>
                <c:pt idx="4">
                  <c:v>0.91666666666666663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0.91666666666666663</c:v>
                </c:pt>
                <c:pt idx="1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5-4379-998E-BD702653328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5-4379-998E-BD70265332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STOPPER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0.2722222222222222</c:v>
                </c:pt>
                <c:pt idx="1">
                  <c:v>0.2722222222222222</c:v>
                </c:pt>
                <c:pt idx="2">
                  <c:v>0.2722222222222222</c:v>
                </c:pt>
                <c:pt idx="3">
                  <c:v>0.2722222222222222</c:v>
                </c:pt>
                <c:pt idx="4">
                  <c:v>0.2722222222222222</c:v>
                </c:pt>
                <c:pt idx="5">
                  <c:v>0.2722222222222222</c:v>
                </c:pt>
                <c:pt idx="6">
                  <c:v>0.2722222222222222</c:v>
                </c:pt>
                <c:pt idx="7">
                  <c:v>0.2722222222222222</c:v>
                </c:pt>
                <c:pt idx="8">
                  <c:v>0.2722222222222222</c:v>
                </c:pt>
                <c:pt idx="9">
                  <c:v>0.2722222222222222</c:v>
                </c:pt>
                <c:pt idx="10">
                  <c:v>0.2722222222222222</c:v>
                </c:pt>
                <c:pt idx="11">
                  <c:v>0.2722222222222222</c:v>
                </c:pt>
                <c:pt idx="12">
                  <c:v>0.2722222222222222</c:v>
                </c:pt>
                <c:pt idx="13">
                  <c:v>0.2722222222222222</c:v>
                </c:pt>
                <c:pt idx="14">
                  <c:v>0.2722222222222222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5-4379-998E-BD702653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BASE/FLANGE</c:v>
                </c:pt>
                <c:pt idx="5">
                  <c:v>LATCH</c:v>
                </c:pt>
                <c:pt idx="7">
                  <c:v>END PLATE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4-490E-B6D3-3B48A058290D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BASE/FLANGE</c:v>
                </c:pt>
                <c:pt idx="5">
                  <c:v>LATCH</c:v>
                </c:pt>
                <c:pt idx="7">
                  <c:v>END PLATE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1570</c:v>
                </c:pt>
                <c:pt idx="3">
                  <c:v>0</c:v>
                </c:pt>
                <c:pt idx="4">
                  <c:v>6301</c:v>
                </c:pt>
                <c:pt idx="5">
                  <c:v>12728</c:v>
                </c:pt>
                <c:pt idx="7">
                  <c:v>3272</c:v>
                </c:pt>
                <c:pt idx="8">
                  <c:v>0</c:v>
                </c:pt>
                <c:pt idx="9">
                  <c:v>0</c:v>
                </c:pt>
                <c:pt idx="10">
                  <c:v>3121</c:v>
                </c:pt>
                <c:pt idx="11">
                  <c:v>6451</c:v>
                </c:pt>
                <c:pt idx="12">
                  <c:v>6954</c:v>
                </c:pt>
                <c:pt idx="13">
                  <c:v>17176</c:v>
                </c:pt>
                <c:pt idx="14">
                  <c:v>82568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4-490E-B6D3-3B48A058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2">
                  <c:v>STOPPER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2">
                  <c:v>5516</c:v>
                </c:pt>
                <c:pt idx="4">
                  <c:v>11770</c:v>
                </c:pt>
                <c:pt idx="12">
                  <c:v>10058</c:v>
                </c:pt>
                <c:pt idx="13">
                  <c:v>4035</c:v>
                </c:pt>
                <c:pt idx="14">
                  <c:v>38820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3-4C0D-8E85-5FBD78939610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2">
                  <c:v>STOPPER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5516</c:v>
                </c:pt>
                <c:pt idx="3">
                  <c:v>0</c:v>
                </c:pt>
                <c:pt idx="4">
                  <c:v>11770</c:v>
                </c:pt>
                <c:pt idx="8">
                  <c:v>0</c:v>
                </c:pt>
                <c:pt idx="9">
                  <c:v>0</c:v>
                </c:pt>
                <c:pt idx="12">
                  <c:v>10058</c:v>
                </c:pt>
                <c:pt idx="13">
                  <c:v>4035</c:v>
                </c:pt>
                <c:pt idx="14">
                  <c:v>38820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3-4C0D-8E85-5FBD7893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63%</c:v>
                </c:pt>
                <c:pt idx="3">
                  <c:v>0%</c:v>
                </c:pt>
                <c:pt idx="4">
                  <c:v>92%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92%</c:v>
                </c:pt>
                <c:pt idx="14">
                  <c:v>63%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STOPPER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0</c:v>
                </c:pt>
                <c:pt idx="4">
                  <c:v>0.91666666666666663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0.91666666666666663</c:v>
                </c:pt>
                <c:pt idx="1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5-4218-958A-7DB6AD14FC5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5-4218-958A-7DB6AD14FC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STOPPER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0.2722222222222222</c:v>
                </c:pt>
                <c:pt idx="1">
                  <c:v>0.2722222222222222</c:v>
                </c:pt>
                <c:pt idx="2">
                  <c:v>0.2722222222222222</c:v>
                </c:pt>
                <c:pt idx="3">
                  <c:v>0.2722222222222222</c:v>
                </c:pt>
                <c:pt idx="4">
                  <c:v>0.2722222222222222</c:v>
                </c:pt>
                <c:pt idx="5">
                  <c:v>0.2722222222222222</c:v>
                </c:pt>
                <c:pt idx="6">
                  <c:v>0.2722222222222222</c:v>
                </c:pt>
                <c:pt idx="7">
                  <c:v>0.2722222222222222</c:v>
                </c:pt>
                <c:pt idx="8">
                  <c:v>0.2722222222222222</c:v>
                </c:pt>
                <c:pt idx="9">
                  <c:v>0.2722222222222222</c:v>
                </c:pt>
                <c:pt idx="10">
                  <c:v>0.2722222222222222</c:v>
                </c:pt>
                <c:pt idx="11">
                  <c:v>0.2722222222222222</c:v>
                </c:pt>
                <c:pt idx="12">
                  <c:v>0.2722222222222222</c:v>
                </c:pt>
                <c:pt idx="13">
                  <c:v>0.2722222222222222</c:v>
                </c:pt>
                <c:pt idx="14">
                  <c:v>0.2722222222222222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5-4218-958A-7DB6AD14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396-43B4-AA12-AB4196CD1A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6-43B4-AA12-AB4196CD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96-43B4-AA12-AB4196CD1A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6-43B4-AA12-AB4196CD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'18'!$L$6:$L$22</c:f>
              <c:numCache>
                <c:formatCode>_(* #,##0_);_(* \(#,##0\);_(* "-"_);_(@_)</c:formatCode>
                <c:ptCount val="17"/>
                <c:pt idx="2">
                  <c:v>9860</c:v>
                </c:pt>
                <c:pt idx="3">
                  <c:v>2861</c:v>
                </c:pt>
                <c:pt idx="4">
                  <c:v>11804</c:v>
                </c:pt>
                <c:pt idx="12">
                  <c:v>10374</c:v>
                </c:pt>
                <c:pt idx="13">
                  <c:v>1035</c:v>
                </c:pt>
                <c:pt idx="14">
                  <c:v>225</c:v>
                </c:pt>
                <c:pt idx="15">
                  <c:v>3291</c:v>
                </c:pt>
                <c:pt idx="16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656-BF62-9A39C97E82BB}"/>
            </c:ext>
          </c:extLst>
        </c:ser>
        <c:ser>
          <c:idx val="1"/>
          <c:order val="1"/>
          <c:tx>
            <c:v>계획</c:v>
          </c:tx>
          <c:cat>
            <c:strRef>
              <c:f>'18'!$D$6:$D$22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'18'!$J$6:$J$22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9860</c:v>
                </c:pt>
                <c:pt idx="3">
                  <c:v>2861</c:v>
                </c:pt>
                <c:pt idx="4">
                  <c:v>11770</c:v>
                </c:pt>
                <c:pt idx="8">
                  <c:v>0</c:v>
                </c:pt>
                <c:pt idx="9">
                  <c:v>0</c:v>
                </c:pt>
                <c:pt idx="12">
                  <c:v>10374</c:v>
                </c:pt>
                <c:pt idx="13">
                  <c:v>1035</c:v>
                </c:pt>
                <c:pt idx="14">
                  <c:v>225</c:v>
                </c:pt>
                <c:pt idx="15">
                  <c:v>3291</c:v>
                </c:pt>
                <c:pt idx="16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B-4656-BF62-9A39C97E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67%</c:v>
                </c:pt>
                <c:pt idx="4">
                  <c:v>100%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25%</c:v>
                </c:pt>
                <c:pt idx="14">
                  <c:v>17%</c:v>
                </c:pt>
                <c:pt idx="15">
                  <c:v>54%</c:v>
                </c:pt>
                <c:pt idx="16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'18'!$AD$6:$AD$22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1.0028887000849618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0.25</c:v>
                </c:pt>
                <c:pt idx="14">
                  <c:v>0.16666666666666666</c:v>
                </c:pt>
                <c:pt idx="15">
                  <c:v>0.54166666666666663</c:v>
                </c:pt>
                <c:pt idx="16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F-48B2-84BF-9C679FF10B0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1F-48B2-84BF-9C679FF10B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'18'!$AE$6:$AE$22</c:f>
              <c:numCache>
                <c:formatCode>0%</c:formatCode>
                <c:ptCount val="17"/>
                <c:pt idx="0">
                  <c:v>0.34463702445010858</c:v>
                </c:pt>
                <c:pt idx="1">
                  <c:v>0.34463702445010858</c:v>
                </c:pt>
                <c:pt idx="2">
                  <c:v>0.34463702445010858</c:v>
                </c:pt>
                <c:pt idx="3">
                  <c:v>0.34463702445010858</c:v>
                </c:pt>
                <c:pt idx="4">
                  <c:v>0.34463702445010858</c:v>
                </c:pt>
                <c:pt idx="5">
                  <c:v>0.34463702445010858</c:v>
                </c:pt>
                <c:pt idx="6">
                  <c:v>0.34463702445010858</c:v>
                </c:pt>
                <c:pt idx="7">
                  <c:v>0.34463702445010858</c:v>
                </c:pt>
                <c:pt idx="8">
                  <c:v>0.34463702445010858</c:v>
                </c:pt>
                <c:pt idx="9">
                  <c:v>0.34463702445010858</c:v>
                </c:pt>
                <c:pt idx="10">
                  <c:v>0.34463702445010858</c:v>
                </c:pt>
                <c:pt idx="11">
                  <c:v>0.34463702445010858</c:v>
                </c:pt>
                <c:pt idx="12">
                  <c:v>0.34463702445010858</c:v>
                </c:pt>
                <c:pt idx="13">
                  <c:v>0.34463702445010858</c:v>
                </c:pt>
                <c:pt idx="14">
                  <c:v>0.34463702445010858</c:v>
                </c:pt>
                <c:pt idx="15">
                  <c:v>0.34463702445010858</c:v>
                </c:pt>
                <c:pt idx="16">
                  <c:v>0.34463702445010858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F-48B2-84BF-9C679FF1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'18'!$L$6:$L$22</c:f>
              <c:numCache>
                <c:formatCode>_(* #,##0_);_(* \(#,##0\);_(* "-"_);_(@_)</c:formatCode>
                <c:ptCount val="17"/>
                <c:pt idx="2">
                  <c:v>9860</c:v>
                </c:pt>
                <c:pt idx="3">
                  <c:v>2861</c:v>
                </c:pt>
                <c:pt idx="4">
                  <c:v>11804</c:v>
                </c:pt>
                <c:pt idx="12">
                  <c:v>10374</c:v>
                </c:pt>
                <c:pt idx="13">
                  <c:v>1035</c:v>
                </c:pt>
                <c:pt idx="14">
                  <c:v>225</c:v>
                </c:pt>
                <c:pt idx="15">
                  <c:v>3291</c:v>
                </c:pt>
                <c:pt idx="16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C-406E-B467-2C99F8A306FE}"/>
            </c:ext>
          </c:extLst>
        </c:ser>
        <c:ser>
          <c:idx val="1"/>
          <c:order val="1"/>
          <c:tx>
            <c:v>계획</c:v>
          </c:tx>
          <c:cat>
            <c:strRef>
              <c:f>'18'!$D$6:$D$22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'18'!$J$6:$J$22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9860</c:v>
                </c:pt>
                <c:pt idx="3">
                  <c:v>2861</c:v>
                </c:pt>
                <c:pt idx="4">
                  <c:v>11770</c:v>
                </c:pt>
                <c:pt idx="8">
                  <c:v>0</c:v>
                </c:pt>
                <c:pt idx="9">
                  <c:v>0</c:v>
                </c:pt>
                <c:pt idx="12">
                  <c:v>10374</c:v>
                </c:pt>
                <c:pt idx="13">
                  <c:v>1035</c:v>
                </c:pt>
                <c:pt idx="14">
                  <c:v>225</c:v>
                </c:pt>
                <c:pt idx="15">
                  <c:v>3291</c:v>
                </c:pt>
                <c:pt idx="16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C-406E-B467-2C99F8A3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67%</c:v>
                </c:pt>
                <c:pt idx="4">
                  <c:v>100%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25%</c:v>
                </c:pt>
                <c:pt idx="14">
                  <c:v>17%</c:v>
                </c:pt>
                <c:pt idx="15">
                  <c:v>54%</c:v>
                </c:pt>
                <c:pt idx="16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'18'!$AD$6:$AD$22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1.0028887000849618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0.25</c:v>
                </c:pt>
                <c:pt idx="14">
                  <c:v>0.16666666666666666</c:v>
                </c:pt>
                <c:pt idx="15">
                  <c:v>0.54166666666666663</c:v>
                </c:pt>
                <c:pt idx="16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C-49D5-ACE9-E434AF8DC9B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C-49D5-ACE9-E434AF8DC9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22P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'18'!$AE$6:$AE$22</c:f>
              <c:numCache>
                <c:formatCode>0%</c:formatCode>
                <c:ptCount val="17"/>
                <c:pt idx="0">
                  <c:v>0.34463702445010858</c:v>
                </c:pt>
                <c:pt idx="1">
                  <c:v>0.34463702445010858</c:v>
                </c:pt>
                <c:pt idx="2">
                  <c:v>0.34463702445010858</c:v>
                </c:pt>
                <c:pt idx="3">
                  <c:v>0.34463702445010858</c:v>
                </c:pt>
                <c:pt idx="4">
                  <c:v>0.34463702445010858</c:v>
                </c:pt>
                <c:pt idx="5">
                  <c:v>0.34463702445010858</c:v>
                </c:pt>
                <c:pt idx="6">
                  <c:v>0.34463702445010858</c:v>
                </c:pt>
                <c:pt idx="7">
                  <c:v>0.34463702445010858</c:v>
                </c:pt>
                <c:pt idx="8">
                  <c:v>0.34463702445010858</c:v>
                </c:pt>
                <c:pt idx="9">
                  <c:v>0.34463702445010858</c:v>
                </c:pt>
                <c:pt idx="10">
                  <c:v>0.34463702445010858</c:v>
                </c:pt>
                <c:pt idx="11">
                  <c:v>0.34463702445010858</c:v>
                </c:pt>
                <c:pt idx="12">
                  <c:v>0.34463702445010858</c:v>
                </c:pt>
                <c:pt idx="13">
                  <c:v>0.34463702445010858</c:v>
                </c:pt>
                <c:pt idx="14">
                  <c:v>0.34463702445010858</c:v>
                </c:pt>
                <c:pt idx="15">
                  <c:v>0.34463702445010858</c:v>
                </c:pt>
                <c:pt idx="16">
                  <c:v>0.34463702445010858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C-49D5-ACE9-E434AF8D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82C-44C2-BE8E-801DB9816C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C-44C2-BE8E-801DB981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2C-44C2-BE8E-801DB9816C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C-44C2-BE8E-801DB981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COVER</c:v>
                </c:pt>
                <c:pt idx="4">
                  <c:v>SLIDER</c:v>
                </c:pt>
                <c:pt idx="5">
                  <c:v>88P</c:v>
                </c:pt>
                <c:pt idx="6">
                  <c:v>SLIDER</c:v>
                </c:pt>
                <c:pt idx="7">
                  <c:v>LATCH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2">
                  <c:v>200</c:v>
                </c:pt>
                <c:pt idx="3">
                  <c:v>3139</c:v>
                </c:pt>
                <c:pt idx="4">
                  <c:v>2861</c:v>
                </c:pt>
                <c:pt idx="5">
                  <c:v>7898</c:v>
                </c:pt>
                <c:pt idx="6">
                  <c:v>11216</c:v>
                </c:pt>
                <c:pt idx="7">
                  <c:v>400</c:v>
                </c:pt>
                <c:pt idx="13">
                  <c:v>10126</c:v>
                </c:pt>
                <c:pt idx="14">
                  <c:v>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8-46CD-B1CD-EB3FF09F7AAE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COVER</c:v>
                </c:pt>
                <c:pt idx="4">
                  <c:v>SLIDER</c:v>
                </c:pt>
                <c:pt idx="5">
                  <c:v>88P</c:v>
                </c:pt>
                <c:pt idx="6">
                  <c:v>SLIDER</c:v>
                </c:pt>
                <c:pt idx="7">
                  <c:v>LATCH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3139</c:v>
                </c:pt>
                <c:pt idx="4">
                  <c:v>2861</c:v>
                </c:pt>
                <c:pt idx="5">
                  <c:v>7898</c:v>
                </c:pt>
                <c:pt idx="6">
                  <c:v>11216</c:v>
                </c:pt>
                <c:pt idx="7">
                  <c:v>400</c:v>
                </c:pt>
                <c:pt idx="9">
                  <c:v>0</c:v>
                </c:pt>
                <c:pt idx="10">
                  <c:v>0</c:v>
                </c:pt>
                <c:pt idx="13">
                  <c:v>10126</c:v>
                </c:pt>
                <c:pt idx="14">
                  <c:v>5129</c:v>
                </c:pt>
                <c:pt idx="15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8-46CD-B1CD-EB3FF09F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13%</c:v>
                </c:pt>
                <c:pt idx="3">
                  <c:v>75%</c:v>
                </c:pt>
                <c:pt idx="4">
                  <c:v>58%</c:v>
                </c:pt>
                <c:pt idx="5">
                  <c:v>100%</c:v>
                </c:pt>
                <c:pt idx="6">
                  <c:v>96%</c:v>
                </c:pt>
                <c:pt idx="7">
                  <c:v>17%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COVER</c:v>
                </c:pt>
                <c:pt idx="4">
                  <c:v>SLIDER</c:v>
                </c:pt>
                <c:pt idx="5">
                  <c:v>88P</c:v>
                </c:pt>
                <c:pt idx="6">
                  <c:v>SLIDER</c:v>
                </c:pt>
                <c:pt idx="7">
                  <c:v>LATCH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0.75</c:v>
                </c:pt>
                <c:pt idx="4">
                  <c:v>0.58333333333333337</c:v>
                </c:pt>
                <c:pt idx="5">
                  <c:v>1</c:v>
                </c:pt>
                <c:pt idx="6">
                  <c:v>0.95833333333333337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95B-8F5B-BD30B5CBD72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3D-495B-8F5B-BD30B5CBD72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COVER</c:v>
                </c:pt>
                <c:pt idx="4">
                  <c:v>SLIDER</c:v>
                </c:pt>
                <c:pt idx="5">
                  <c:v>88P</c:v>
                </c:pt>
                <c:pt idx="6">
                  <c:v>SLIDER</c:v>
                </c:pt>
                <c:pt idx="7">
                  <c:v>LATCH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0.37222222222222229</c:v>
                </c:pt>
                <c:pt idx="1">
                  <c:v>0.37222222222222229</c:v>
                </c:pt>
                <c:pt idx="2">
                  <c:v>0.37222222222222229</c:v>
                </c:pt>
                <c:pt idx="3">
                  <c:v>0.37222222222222229</c:v>
                </c:pt>
                <c:pt idx="4">
                  <c:v>0.37222222222222229</c:v>
                </c:pt>
                <c:pt idx="5">
                  <c:v>0.37222222222222229</c:v>
                </c:pt>
                <c:pt idx="6">
                  <c:v>0.37222222222222229</c:v>
                </c:pt>
                <c:pt idx="7">
                  <c:v>0.37222222222222229</c:v>
                </c:pt>
                <c:pt idx="8">
                  <c:v>0.37222222222222229</c:v>
                </c:pt>
                <c:pt idx="9">
                  <c:v>0.37222222222222229</c:v>
                </c:pt>
                <c:pt idx="10">
                  <c:v>0.37222222222222229</c:v>
                </c:pt>
                <c:pt idx="11">
                  <c:v>0.37222222222222229</c:v>
                </c:pt>
                <c:pt idx="12">
                  <c:v>0.37222222222222229</c:v>
                </c:pt>
                <c:pt idx="13">
                  <c:v>0.37222222222222229</c:v>
                </c:pt>
                <c:pt idx="14">
                  <c:v>0.37222222222222229</c:v>
                </c:pt>
                <c:pt idx="15">
                  <c:v>0.37222222222222229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D-495B-8F5B-BD30B5CB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BASE/FLANGE</c:v>
                </c:pt>
                <c:pt idx="5">
                  <c:v>LATCH</c:v>
                </c:pt>
                <c:pt idx="7">
                  <c:v>END PLATE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8-49C8-80A8-34B56C0337F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58-49C8-80A8-34B56C0337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BASE/FLANGE</c:v>
                </c:pt>
                <c:pt idx="5">
                  <c:v>LATCH</c:v>
                </c:pt>
                <c:pt idx="7">
                  <c:v>END PLATE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8-49C8-80A8-34B56C03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COVER</c:v>
                </c:pt>
                <c:pt idx="4">
                  <c:v>SLIDER</c:v>
                </c:pt>
                <c:pt idx="5">
                  <c:v>88P</c:v>
                </c:pt>
                <c:pt idx="6">
                  <c:v>SLIDER</c:v>
                </c:pt>
                <c:pt idx="7">
                  <c:v>LATCH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2">
                  <c:v>200</c:v>
                </c:pt>
                <c:pt idx="3">
                  <c:v>3139</c:v>
                </c:pt>
                <c:pt idx="4">
                  <c:v>2861</c:v>
                </c:pt>
                <c:pt idx="5">
                  <c:v>7898</c:v>
                </c:pt>
                <c:pt idx="6">
                  <c:v>11216</c:v>
                </c:pt>
                <c:pt idx="7">
                  <c:v>400</c:v>
                </c:pt>
                <c:pt idx="13">
                  <c:v>10126</c:v>
                </c:pt>
                <c:pt idx="14">
                  <c:v>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D-40DD-B872-02D4A847CE86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COVER</c:v>
                </c:pt>
                <c:pt idx="4">
                  <c:v>SLIDER</c:v>
                </c:pt>
                <c:pt idx="5">
                  <c:v>88P</c:v>
                </c:pt>
                <c:pt idx="6">
                  <c:v>SLIDER</c:v>
                </c:pt>
                <c:pt idx="7">
                  <c:v>LATCH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3139</c:v>
                </c:pt>
                <c:pt idx="4">
                  <c:v>2861</c:v>
                </c:pt>
                <c:pt idx="5">
                  <c:v>7898</c:v>
                </c:pt>
                <c:pt idx="6">
                  <c:v>11216</c:v>
                </c:pt>
                <c:pt idx="7">
                  <c:v>400</c:v>
                </c:pt>
                <c:pt idx="9">
                  <c:v>0</c:v>
                </c:pt>
                <c:pt idx="10">
                  <c:v>0</c:v>
                </c:pt>
                <c:pt idx="13">
                  <c:v>10126</c:v>
                </c:pt>
                <c:pt idx="14">
                  <c:v>5129</c:v>
                </c:pt>
                <c:pt idx="15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D-40DD-B872-02D4A847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13%</c:v>
                </c:pt>
                <c:pt idx="3">
                  <c:v>75%</c:v>
                </c:pt>
                <c:pt idx="4">
                  <c:v>58%</c:v>
                </c:pt>
                <c:pt idx="5">
                  <c:v>100%</c:v>
                </c:pt>
                <c:pt idx="6">
                  <c:v>96%</c:v>
                </c:pt>
                <c:pt idx="7">
                  <c:v>17%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COVER</c:v>
                </c:pt>
                <c:pt idx="4">
                  <c:v>SLIDER</c:v>
                </c:pt>
                <c:pt idx="5">
                  <c:v>88P</c:v>
                </c:pt>
                <c:pt idx="6">
                  <c:v>SLIDER</c:v>
                </c:pt>
                <c:pt idx="7">
                  <c:v>LATCH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0.75</c:v>
                </c:pt>
                <c:pt idx="4">
                  <c:v>0.58333333333333337</c:v>
                </c:pt>
                <c:pt idx="5">
                  <c:v>1</c:v>
                </c:pt>
                <c:pt idx="6">
                  <c:v>0.95833333333333337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C-49A2-9973-A088972D8E3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FC-49A2-9973-A088972D8E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COVER</c:v>
                </c:pt>
                <c:pt idx="4">
                  <c:v>SLIDER</c:v>
                </c:pt>
                <c:pt idx="5">
                  <c:v>88P</c:v>
                </c:pt>
                <c:pt idx="6">
                  <c:v>SLIDER</c:v>
                </c:pt>
                <c:pt idx="7">
                  <c:v>LATCH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0.37222222222222229</c:v>
                </c:pt>
                <c:pt idx="1">
                  <c:v>0.37222222222222229</c:v>
                </c:pt>
                <c:pt idx="2">
                  <c:v>0.37222222222222229</c:v>
                </c:pt>
                <c:pt idx="3">
                  <c:v>0.37222222222222229</c:v>
                </c:pt>
                <c:pt idx="4">
                  <c:v>0.37222222222222229</c:v>
                </c:pt>
                <c:pt idx="5">
                  <c:v>0.37222222222222229</c:v>
                </c:pt>
                <c:pt idx="6">
                  <c:v>0.37222222222222229</c:v>
                </c:pt>
                <c:pt idx="7">
                  <c:v>0.37222222222222229</c:v>
                </c:pt>
                <c:pt idx="8">
                  <c:v>0.37222222222222229</c:v>
                </c:pt>
                <c:pt idx="9">
                  <c:v>0.37222222222222229</c:v>
                </c:pt>
                <c:pt idx="10">
                  <c:v>0.37222222222222229</c:v>
                </c:pt>
                <c:pt idx="11">
                  <c:v>0.37222222222222229</c:v>
                </c:pt>
                <c:pt idx="12">
                  <c:v>0.37222222222222229</c:v>
                </c:pt>
                <c:pt idx="13">
                  <c:v>0.37222222222222229</c:v>
                </c:pt>
                <c:pt idx="14">
                  <c:v>0.37222222222222229</c:v>
                </c:pt>
                <c:pt idx="15">
                  <c:v>0.37222222222222229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C-49A2-9973-A088972D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F0D-4CEB-8522-FE8BE14E69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D-4CEB-8522-FE8BE14E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0D-4CEB-8522-FE8BE14E69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D-4CEB-8522-FE8BE14E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'20'!$D$6:$D$22</c:f>
              <c:strCache>
                <c:ptCount val="16"/>
                <c:pt idx="2">
                  <c:v>COVER</c:v>
                </c:pt>
                <c:pt idx="3">
                  <c:v>BASE</c:v>
                </c:pt>
                <c:pt idx="4">
                  <c:v>88P</c:v>
                </c:pt>
                <c:pt idx="5">
                  <c:v>STOPPER</c:v>
                </c:pt>
                <c:pt idx="6">
                  <c:v>SLIDER</c:v>
                </c:pt>
                <c:pt idx="7">
                  <c:v>LATCH</c:v>
                </c:pt>
                <c:pt idx="8">
                  <c:v>ACTATOR</c:v>
                </c:pt>
                <c:pt idx="10">
                  <c:v>ADAPTER</c:v>
                </c:pt>
                <c:pt idx="11">
                  <c:v>LATCH</c:v>
                </c:pt>
                <c:pt idx="12">
                  <c:v>STOPPER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'20'!$L$6:$L$22</c:f>
              <c:numCache>
                <c:formatCode>_(* #,##0_);_(* \(#,##0\);_(* "-"_);_(@_)</c:formatCode>
                <c:ptCount val="17"/>
                <c:pt idx="2">
                  <c:v>1810</c:v>
                </c:pt>
                <c:pt idx="3">
                  <c:v>2762</c:v>
                </c:pt>
                <c:pt idx="4">
                  <c:v>2570</c:v>
                </c:pt>
                <c:pt idx="5">
                  <c:v>3953</c:v>
                </c:pt>
                <c:pt idx="6">
                  <c:v>11952</c:v>
                </c:pt>
                <c:pt idx="7">
                  <c:v>220</c:v>
                </c:pt>
                <c:pt idx="8">
                  <c:v>2210</c:v>
                </c:pt>
                <c:pt idx="10">
                  <c:v>2452</c:v>
                </c:pt>
                <c:pt idx="11">
                  <c:v>6606</c:v>
                </c:pt>
                <c:pt idx="12">
                  <c:v>2319</c:v>
                </c:pt>
                <c:pt idx="14">
                  <c:v>10364</c:v>
                </c:pt>
                <c:pt idx="15">
                  <c:v>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D-4E3C-BB74-61D3170CC192}"/>
            </c:ext>
          </c:extLst>
        </c:ser>
        <c:ser>
          <c:idx val="1"/>
          <c:order val="1"/>
          <c:tx>
            <c:v>계획</c:v>
          </c:tx>
          <c:cat>
            <c:strRef>
              <c:f>'20'!$D$6:$D$22</c:f>
              <c:strCache>
                <c:ptCount val="16"/>
                <c:pt idx="2">
                  <c:v>COVER</c:v>
                </c:pt>
                <c:pt idx="3">
                  <c:v>BASE</c:v>
                </c:pt>
                <c:pt idx="4">
                  <c:v>88P</c:v>
                </c:pt>
                <c:pt idx="5">
                  <c:v>STOPPER</c:v>
                </c:pt>
                <c:pt idx="6">
                  <c:v>SLIDER</c:v>
                </c:pt>
                <c:pt idx="7">
                  <c:v>LATCH</c:v>
                </c:pt>
                <c:pt idx="8">
                  <c:v>ACTATOR</c:v>
                </c:pt>
                <c:pt idx="10">
                  <c:v>ADAPTER</c:v>
                </c:pt>
                <c:pt idx="11">
                  <c:v>LATCH</c:v>
                </c:pt>
                <c:pt idx="12">
                  <c:v>STOPPER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'20'!$J$6:$J$22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1810</c:v>
                </c:pt>
                <c:pt idx="3">
                  <c:v>2762</c:v>
                </c:pt>
                <c:pt idx="4">
                  <c:v>2570</c:v>
                </c:pt>
                <c:pt idx="5">
                  <c:v>3953</c:v>
                </c:pt>
                <c:pt idx="6">
                  <c:v>11952</c:v>
                </c:pt>
                <c:pt idx="7">
                  <c:v>220</c:v>
                </c:pt>
                <c:pt idx="8">
                  <c:v>2210</c:v>
                </c:pt>
                <c:pt idx="10">
                  <c:v>2452</c:v>
                </c:pt>
                <c:pt idx="11">
                  <c:v>6606</c:v>
                </c:pt>
                <c:pt idx="12">
                  <c:v>2319</c:v>
                </c:pt>
                <c:pt idx="14">
                  <c:v>10364</c:v>
                </c:pt>
                <c:pt idx="15">
                  <c:v>4916</c:v>
                </c:pt>
                <c:pt idx="16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D-4E3C-BB74-61D3170C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33%</c:v>
                </c:pt>
                <c:pt idx="3">
                  <c:v>58%</c:v>
                </c:pt>
                <c:pt idx="4">
                  <c:v>25%</c:v>
                </c:pt>
                <c:pt idx="5">
                  <c:v>71%</c:v>
                </c:pt>
                <c:pt idx="6">
                  <c:v>100%</c:v>
                </c:pt>
                <c:pt idx="7">
                  <c:v>13%</c:v>
                </c:pt>
                <c:pt idx="8">
                  <c:v>50%</c:v>
                </c:pt>
                <c:pt idx="9">
                  <c:v>0%</c:v>
                </c:pt>
                <c:pt idx="10">
                  <c:v>67%</c:v>
                </c:pt>
                <c:pt idx="11">
                  <c:v>67%</c:v>
                </c:pt>
                <c:pt idx="12">
                  <c:v>50%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'20'!$D$6:$D$22</c:f>
              <c:strCache>
                <c:ptCount val="16"/>
                <c:pt idx="2">
                  <c:v>COVER</c:v>
                </c:pt>
                <c:pt idx="3">
                  <c:v>BASE</c:v>
                </c:pt>
                <c:pt idx="4">
                  <c:v>88P</c:v>
                </c:pt>
                <c:pt idx="5">
                  <c:v>STOPPER</c:v>
                </c:pt>
                <c:pt idx="6">
                  <c:v>SLIDER</c:v>
                </c:pt>
                <c:pt idx="7">
                  <c:v>LATCH</c:v>
                </c:pt>
                <c:pt idx="8">
                  <c:v>ACTATOR</c:v>
                </c:pt>
                <c:pt idx="10">
                  <c:v>ADAPTER</c:v>
                </c:pt>
                <c:pt idx="11">
                  <c:v>LATCH</c:v>
                </c:pt>
                <c:pt idx="12">
                  <c:v>STOPPER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'20'!$AD$6:$AD$22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0.58333333333333337</c:v>
                </c:pt>
                <c:pt idx="4">
                  <c:v>0.25</c:v>
                </c:pt>
                <c:pt idx="5">
                  <c:v>0.70833333333333337</c:v>
                </c:pt>
                <c:pt idx="6">
                  <c:v>1</c:v>
                </c:pt>
                <c:pt idx="7">
                  <c:v>0.125</c:v>
                </c:pt>
                <c:pt idx="8">
                  <c:v>0.5</c:v>
                </c:pt>
                <c:pt idx="9">
                  <c:v>0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1-4BCA-B18B-18208B41C37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1-4BCA-B18B-18208B41C3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'20'!$D$6:$D$22</c:f>
              <c:strCache>
                <c:ptCount val="16"/>
                <c:pt idx="2">
                  <c:v>COVER</c:v>
                </c:pt>
                <c:pt idx="3">
                  <c:v>BASE</c:v>
                </c:pt>
                <c:pt idx="4">
                  <c:v>88P</c:v>
                </c:pt>
                <c:pt idx="5">
                  <c:v>STOPPER</c:v>
                </c:pt>
                <c:pt idx="6">
                  <c:v>SLIDER</c:v>
                </c:pt>
                <c:pt idx="7">
                  <c:v>LATCH</c:v>
                </c:pt>
                <c:pt idx="8">
                  <c:v>ACTATOR</c:v>
                </c:pt>
                <c:pt idx="10">
                  <c:v>ADAPTER</c:v>
                </c:pt>
                <c:pt idx="11">
                  <c:v>LATCH</c:v>
                </c:pt>
                <c:pt idx="12">
                  <c:v>STOPPER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'20'!$AE$6:$AE$22</c:f>
              <c:numCache>
                <c:formatCode>0%</c:formatCode>
                <c:ptCount val="17"/>
                <c:pt idx="0">
                  <c:v>0.48888888888888893</c:v>
                </c:pt>
                <c:pt idx="1">
                  <c:v>0.48888888888888893</c:v>
                </c:pt>
                <c:pt idx="2">
                  <c:v>0.48888888888888893</c:v>
                </c:pt>
                <c:pt idx="3">
                  <c:v>0.48888888888888893</c:v>
                </c:pt>
                <c:pt idx="4">
                  <c:v>0.48888888888888893</c:v>
                </c:pt>
                <c:pt idx="5">
                  <c:v>0.48888888888888893</c:v>
                </c:pt>
                <c:pt idx="6">
                  <c:v>0.48888888888888893</c:v>
                </c:pt>
                <c:pt idx="7">
                  <c:v>0.48888888888888893</c:v>
                </c:pt>
                <c:pt idx="8">
                  <c:v>0.48888888888888893</c:v>
                </c:pt>
                <c:pt idx="9">
                  <c:v>0.48888888888888893</c:v>
                </c:pt>
                <c:pt idx="10">
                  <c:v>0.48888888888888893</c:v>
                </c:pt>
                <c:pt idx="11">
                  <c:v>0.48888888888888893</c:v>
                </c:pt>
                <c:pt idx="12">
                  <c:v>0.48888888888888893</c:v>
                </c:pt>
                <c:pt idx="13">
                  <c:v>0.48888888888888893</c:v>
                </c:pt>
                <c:pt idx="14">
                  <c:v>0.48888888888888893</c:v>
                </c:pt>
                <c:pt idx="15">
                  <c:v>0.48888888888888893</c:v>
                </c:pt>
                <c:pt idx="16">
                  <c:v>0.48888888888888893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1-4BCA-B18B-18208B41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'20'!$D$6:$D$22</c:f>
              <c:strCache>
                <c:ptCount val="16"/>
                <c:pt idx="2">
                  <c:v>COVER</c:v>
                </c:pt>
                <c:pt idx="3">
                  <c:v>BASE</c:v>
                </c:pt>
                <c:pt idx="4">
                  <c:v>88P</c:v>
                </c:pt>
                <c:pt idx="5">
                  <c:v>STOPPER</c:v>
                </c:pt>
                <c:pt idx="6">
                  <c:v>SLIDER</c:v>
                </c:pt>
                <c:pt idx="7">
                  <c:v>LATCH</c:v>
                </c:pt>
                <c:pt idx="8">
                  <c:v>ACTATOR</c:v>
                </c:pt>
                <c:pt idx="10">
                  <c:v>ADAPTER</c:v>
                </c:pt>
                <c:pt idx="11">
                  <c:v>LATCH</c:v>
                </c:pt>
                <c:pt idx="12">
                  <c:v>STOPPER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'20'!$L$6:$L$22</c:f>
              <c:numCache>
                <c:formatCode>_(* #,##0_);_(* \(#,##0\);_(* "-"_);_(@_)</c:formatCode>
                <c:ptCount val="17"/>
                <c:pt idx="2">
                  <c:v>1810</c:v>
                </c:pt>
                <c:pt idx="3">
                  <c:v>2762</c:v>
                </c:pt>
                <c:pt idx="4">
                  <c:v>2570</c:v>
                </c:pt>
                <c:pt idx="5">
                  <c:v>3953</c:v>
                </c:pt>
                <c:pt idx="6">
                  <c:v>11952</c:v>
                </c:pt>
                <c:pt idx="7">
                  <c:v>220</c:v>
                </c:pt>
                <c:pt idx="8">
                  <c:v>2210</c:v>
                </c:pt>
                <c:pt idx="10">
                  <c:v>2452</c:v>
                </c:pt>
                <c:pt idx="11">
                  <c:v>6606</c:v>
                </c:pt>
                <c:pt idx="12">
                  <c:v>2319</c:v>
                </c:pt>
                <c:pt idx="14">
                  <c:v>10364</c:v>
                </c:pt>
                <c:pt idx="15">
                  <c:v>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4-4291-91E8-008B63EEBBF3}"/>
            </c:ext>
          </c:extLst>
        </c:ser>
        <c:ser>
          <c:idx val="1"/>
          <c:order val="1"/>
          <c:tx>
            <c:v>계획</c:v>
          </c:tx>
          <c:cat>
            <c:strRef>
              <c:f>'20'!$D$6:$D$22</c:f>
              <c:strCache>
                <c:ptCount val="16"/>
                <c:pt idx="2">
                  <c:v>COVER</c:v>
                </c:pt>
                <c:pt idx="3">
                  <c:v>BASE</c:v>
                </c:pt>
                <c:pt idx="4">
                  <c:v>88P</c:v>
                </c:pt>
                <c:pt idx="5">
                  <c:v>STOPPER</c:v>
                </c:pt>
                <c:pt idx="6">
                  <c:v>SLIDER</c:v>
                </c:pt>
                <c:pt idx="7">
                  <c:v>LATCH</c:v>
                </c:pt>
                <c:pt idx="8">
                  <c:v>ACTATOR</c:v>
                </c:pt>
                <c:pt idx="10">
                  <c:v>ADAPTER</c:v>
                </c:pt>
                <c:pt idx="11">
                  <c:v>LATCH</c:v>
                </c:pt>
                <c:pt idx="12">
                  <c:v>STOPPER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'20'!$J$6:$J$22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1810</c:v>
                </c:pt>
                <c:pt idx="3">
                  <c:v>2762</c:v>
                </c:pt>
                <c:pt idx="4">
                  <c:v>2570</c:v>
                </c:pt>
                <c:pt idx="5">
                  <c:v>3953</c:v>
                </c:pt>
                <c:pt idx="6">
                  <c:v>11952</c:v>
                </c:pt>
                <c:pt idx="7">
                  <c:v>220</c:v>
                </c:pt>
                <c:pt idx="8">
                  <c:v>2210</c:v>
                </c:pt>
                <c:pt idx="10">
                  <c:v>2452</c:v>
                </c:pt>
                <c:pt idx="11">
                  <c:v>6606</c:v>
                </c:pt>
                <c:pt idx="12">
                  <c:v>2319</c:v>
                </c:pt>
                <c:pt idx="14">
                  <c:v>10364</c:v>
                </c:pt>
                <c:pt idx="15">
                  <c:v>4916</c:v>
                </c:pt>
                <c:pt idx="16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4-4291-91E8-008B63EEB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33%</c:v>
                </c:pt>
                <c:pt idx="3">
                  <c:v>58%</c:v>
                </c:pt>
                <c:pt idx="4">
                  <c:v>25%</c:v>
                </c:pt>
                <c:pt idx="5">
                  <c:v>71%</c:v>
                </c:pt>
                <c:pt idx="6">
                  <c:v>100%</c:v>
                </c:pt>
                <c:pt idx="7">
                  <c:v>13%</c:v>
                </c:pt>
                <c:pt idx="8">
                  <c:v>50%</c:v>
                </c:pt>
                <c:pt idx="9">
                  <c:v>0%</c:v>
                </c:pt>
                <c:pt idx="10">
                  <c:v>67%</c:v>
                </c:pt>
                <c:pt idx="11">
                  <c:v>67%</c:v>
                </c:pt>
                <c:pt idx="12">
                  <c:v>50%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'20'!$D$6:$D$22</c:f>
              <c:strCache>
                <c:ptCount val="16"/>
                <c:pt idx="2">
                  <c:v>COVER</c:v>
                </c:pt>
                <c:pt idx="3">
                  <c:v>BASE</c:v>
                </c:pt>
                <c:pt idx="4">
                  <c:v>88P</c:v>
                </c:pt>
                <c:pt idx="5">
                  <c:v>STOPPER</c:v>
                </c:pt>
                <c:pt idx="6">
                  <c:v>SLIDER</c:v>
                </c:pt>
                <c:pt idx="7">
                  <c:v>LATCH</c:v>
                </c:pt>
                <c:pt idx="8">
                  <c:v>ACTATOR</c:v>
                </c:pt>
                <c:pt idx="10">
                  <c:v>ADAPTER</c:v>
                </c:pt>
                <c:pt idx="11">
                  <c:v>LATCH</c:v>
                </c:pt>
                <c:pt idx="12">
                  <c:v>STOPPER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'20'!$AD$6:$AD$22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0.58333333333333337</c:v>
                </c:pt>
                <c:pt idx="4">
                  <c:v>0.25</c:v>
                </c:pt>
                <c:pt idx="5">
                  <c:v>0.70833333333333337</c:v>
                </c:pt>
                <c:pt idx="6">
                  <c:v>1</c:v>
                </c:pt>
                <c:pt idx="7">
                  <c:v>0.125</c:v>
                </c:pt>
                <c:pt idx="8">
                  <c:v>0.5</c:v>
                </c:pt>
                <c:pt idx="9">
                  <c:v>0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2-44FF-9991-26EE2A4985B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82-44FF-9991-26EE2A4985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'20'!$D$6:$D$22</c:f>
              <c:strCache>
                <c:ptCount val="16"/>
                <c:pt idx="2">
                  <c:v>COVER</c:v>
                </c:pt>
                <c:pt idx="3">
                  <c:v>BASE</c:v>
                </c:pt>
                <c:pt idx="4">
                  <c:v>88P</c:v>
                </c:pt>
                <c:pt idx="5">
                  <c:v>STOPPER</c:v>
                </c:pt>
                <c:pt idx="6">
                  <c:v>SLIDER</c:v>
                </c:pt>
                <c:pt idx="7">
                  <c:v>LATCH</c:v>
                </c:pt>
                <c:pt idx="8">
                  <c:v>ACTATOR</c:v>
                </c:pt>
                <c:pt idx="10">
                  <c:v>ADAPTER</c:v>
                </c:pt>
                <c:pt idx="11">
                  <c:v>LATCH</c:v>
                </c:pt>
                <c:pt idx="12">
                  <c:v>STOPPER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'20'!$AE$6:$AE$22</c:f>
              <c:numCache>
                <c:formatCode>0%</c:formatCode>
                <c:ptCount val="17"/>
                <c:pt idx="0">
                  <c:v>0.48888888888888893</c:v>
                </c:pt>
                <c:pt idx="1">
                  <c:v>0.48888888888888893</c:v>
                </c:pt>
                <c:pt idx="2">
                  <c:v>0.48888888888888893</c:v>
                </c:pt>
                <c:pt idx="3">
                  <c:v>0.48888888888888893</c:v>
                </c:pt>
                <c:pt idx="4">
                  <c:v>0.48888888888888893</c:v>
                </c:pt>
                <c:pt idx="5">
                  <c:v>0.48888888888888893</c:v>
                </c:pt>
                <c:pt idx="6">
                  <c:v>0.48888888888888893</c:v>
                </c:pt>
                <c:pt idx="7">
                  <c:v>0.48888888888888893</c:v>
                </c:pt>
                <c:pt idx="8">
                  <c:v>0.48888888888888893</c:v>
                </c:pt>
                <c:pt idx="9">
                  <c:v>0.48888888888888893</c:v>
                </c:pt>
                <c:pt idx="10">
                  <c:v>0.48888888888888893</c:v>
                </c:pt>
                <c:pt idx="11">
                  <c:v>0.48888888888888893</c:v>
                </c:pt>
                <c:pt idx="12">
                  <c:v>0.48888888888888893</c:v>
                </c:pt>
                <c:pt idx="13">
                  <c:v>0.48888888888888893</c:v>
                </c:pt>
                <c:pt idx="14">
                  <c:v>0.48888888888888893</c:v>
                </c:pt>
                <c:pt idx="15">
                  <c:v>0.48888888888888893</c:v>
                </c:pt>
                <c:pt idx="16">
                  <c:v>0.48888888888888893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2-44FF-9991-26EE2A49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504-48C6-8166-93316D736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4-48C6-8166-93316D736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04-48C6-8166-93316D7367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4-48C6-8166-93316D736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ACTATOR</c:v>
                </c:pt>
                <c:pt idx="7">
                  <c:v>SLIDER</c:v>
                </c:pt>
                <c:pt idx="9">
                  <c:v>ADAPTER</c:v>
                </c:pt>
                <c:pt idx="10">
                  <c:v>LATCH</c:v>
                </c:pt>
                <c:pt idx="11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3">
                  <c:v>4382</c:v>
                </c:pt>
                <c:pt idx="4">
                  <c:v>6257</c:v>
                </c:pt>
                <c:pt idx="5">
                  <c:v>3488</c:v>
                </c:pt>
                <c:pt idx="6">
                  <c:v>1388</c:v>
                </c:pt>
                <c:pt idx="7">
                  <c:v>2570</c:v>
                </c:pt>
                <c:pt idx="10">
                  <c:v>6080</c:v>
                </c:pt>
                <c:pt idx="13">
                  <c:v>10550</c:v>
                </c:pt>
                <c:pt idx="14">
                  <c:v>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B-44CE-ADC6-CA2FA1FFE85A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ACTATOR</c:v>
                </c:pt>
                <c:pt idx="7">
                  <c:v>SLIDER</c:v>
                </c:pt>
                <c:pt idx="9">
                  <c:v>ADAPTER</c:v>
                </c:pt>
                <c:pt idx="10">
                  <c:v>LATCH</c:v>
                </c:pt>
                <c:pt idx="11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1810</c:v>
                </c:pt>
                <c:pt idx="3">
                  <c:v>4382</c:v>
                </c:pt>
                <c:pt idx="4">
                  <c:v>6257</c:v>
                </c:pt>
                <c:pt idx="5">
                  <c:v>3488</c:v>
                </c:pt>
                <c:pt idx="6">
                  <c:v>1388</c:v>
                </c:pt>
                <c:pt idx="7">
                  <c:v>2570</c:v>
                </c:pt>
                <c:pt idx="9">
                  <c:v>2452</c:v>
                </c:pt>
                <c:pt idx="10">
                  <c:v>6080</c:v>
                </c:pt>
                <c:pt idx="11">
                  <c:v>2319</c:v>
                </c:pt>
                <c:pt idx="13">
                  <c:v>10550</c:v>
                </c:pt>
                <c:pt idx="14">
                  <c:v>5293</c:v>
                </c:pt>
                <c:pt idx="15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B-44CE-ADC6-CA2FA1FF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88%</c:v>
                </c:pt>
                <c:pt idx="4">
                  <c:v>100%</c:v>
                </c:pt>
                <c:pt idx="5">
                  <c:v>25%</c:v>
                </c:pt>
                <c:pt idx="6">
                  <c:v>29%</c:v>
                </c:pt>
                <c:pt idx="7">
                  <c:v>54%</c:v>
                </c:pt>
                <c:pt idx="8">
                  <c:v>0%</c:v>
                </c:pt>
                <c:pt idx="9">
                  <c:v>0%</c:v>
                </c:pt>
                <c:pt idx="10">
                  <c:v>58%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ACTATOR</c:v>
                </c:pt>
                <c:pt idx="7">
                  <c:v>SLIDER</c:v>
                </c:pt>
                <c:pt idx="9">
                  <c:v>ADAPTER</c:v>
                </c:pt>
                <c:pt idx="10">
                  <c:v>LATCH</c:v>
                </c:pt>
                <c:pt idx="11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1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0.54166666666666663</c:v>
                </c:pt>
                <c:pt idx="8">
                  <c:v>0</c:v>
                </c:pt>
                <c:pt idx="9">
                  <c:v>0</c:v>
                </c:pt>
                <c:pt idx="10">
                  <c:v>0.58333333333333337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E-4CB0-8EE1-3690D59B38F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DE-4CB0-8EE1-3690D59B38F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ACTATOR</c:v>
                </c:pt>
                <c:pt idx="7">
                  <c:v>SLIDER</c:v>
                </c:pt>
                <c:pt idx="9">
                  <c:v>ADAPTER</c:v>
                </c:pt>
                <c:pt idx="10">
                  <c:v>LATCH</c:v>
                </c:pt>
                <c:pt idx="11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0.36944444444444441</c:v>
                </c:pt>
                <c:pt idx="1">
                  <c:v>0.36944444444444441</c:v>
                </c:pt>
                <c:pt idx="2">
                  <c:v>0.36944444444444441</c:v>
                </c:pt>
                <c:pt idx="3">
                  <c:v>0.36944444444444441</c:v>
                </c:pt>
                <c:pt idx="4">
                  <c:v>0.36944444444444441</c:v>
                </c:pt>
                <c:pt idx="5">
                  <c:v>0.36944444444444441</c:v>
                </c:pt>
                <c:pt idx="6">
                  <c:v>0.36944444444444441</c:v>
                </c:pt>
                <c:pt idx="7">
                  <c:v>0.36944444444444441</c:v>
                </c:pt>
                <c:pt idx="8">
                  <c:v>0.36944444444444441</c:v>
                </c:pt>
                <c:pt idx="9">
                  <c:v>0.36944444444444441</c:v>
                </c:pt>
                <c:pt idx="10">
                  <c:v>0.36944444444444441</c:v>
                </c:pt>
                <c:pt idx="11">
                  <c:v>0.36944444444444441</c:v>
                </c:pt>
                <c:pt idx="12">
                  <c:v>0.36944444444444441</c:v>
                </c:pt>
                <c:pt idx="13">
                  <c:v>0.36944444444444441</c:v>
                </c:pt>
                <c:pt idx="14">
                  <c:v>0.36944444444444441</c:v>
                </c:pt>
                <c:pt idx="15">
                  <c:v>0.36944444444444441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E-4CB0-8EE1-3690D59B3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BASE/FLANGE</c:v>
                </c:pt>
                <c:pt idx="5">
                  <c:v>LATCH</c:v>
                </c:pt>
                <c:pt idx="7">
                  <c:v>END PLATE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E-4811-9DD7-7389D261C709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BASE/FLANGE</c:v>
                </c:pt>
                <c:pt idx="5">
                  <c:v>LATCH</c:v>
                </c:pt>
                <c:pt idx="7">
                  <c:v>END PLATE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1570</c:v>
                </c:pt>
                <c:pt idx="3">
                  <c:v>0</c:v>
                </c:pt>
                <c:pt idx="4">
                  <c:v>6301</c:v>
                </c:pt>
                <c:pt idx="5">
                  <c:v>12728</c:v>
                </c:pt>
                <c:pt idx="7">
                  <c:v>3272</c:v>
                </c:pt>
                <c:pt idx="8">
                  <c:v>0</c:v>
                </c:pt>
                <c:pt idx="9">
                  <c:v>0</c:v>
                </c:pt>
                <c:pt idx="10">
                  <c:v>3121</c:v>
                </c:pt>
                <c:pt idx="11">
                  <c:v>6451</c:v>
                </c:pt>
                <c:pt idx="12">
                  <c:v>6954</c:v>
                </c:pt>
                <c:pt idx="13">
                  <c:v>17176</c:v>
                </c:pt>
                <c:pt idx="14">
                  <c:v>82568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E-4811-9DD7-7389D261C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ACTATOR</c:v>
                </c:pt>
                <c:pt idx="7">
                  <c:v>SLIDER</c:v>
                </c:pt>
                <c:pt idx="9">
                  <c:v>ADAPTER</c:v>
                </c:pt>
                <c:pt idx="10">
                  <c:v>LATCH</c:v>
                </c:pt>
                <c:pt idx="11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3">
                  <c:v>4382</c:v>
                </c:pt>
                <c:pt idx="4">
                  <c:v>6257</c:v>
                </c:pt>
                <c:pt idx="5">
                  <c:v>3488</c:v>
                </c:pt>
                <c:pt idx="6">
                  <c:v>1388</c:v>
                </c:pt>
                <c:pt idx="7">
                  <c:v>2570</c:v>
                </c:pt>
                <c:pt idx="10">
                  <c:v>6080</c:v>
                </c:pt>
                <c:pt idx="13">
                  <c:v>10550</c:v>
                </c:pt>
                <c:pt idx="14">
                  <c:v>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793-8483-5387755FE9E5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ACTATOR</c:v>
                </c:pt>
                <c:pt idx="7">
                  <c:v>SLIDER</c:v>
                </c:pt>
                <c:pt idx="9">
                  <c:v>ADAPTER</c:v>
                </c:pt>
                <c:pt idx="10">
                  <c:v>LATCH</c:v>
                </c:pt>
                <c:pt idx="11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1810</c:v>
                </c:pt>
                <c:pt idx="3">
                  <c:v>4382</c:v>
                </c:pt>
                <c:pt idx="4">
                  <c:v>6257</c:v>
                </c:pt>
                <c:pt idx="5">
                  <c:v>3488</c:v>
                </c:pt>
                <c:pt idx="6">
                  <c:v>1388</c:v>
                </c:pt>
                <c:pt idx="7">
                  <c:v>2570</c:v>
                </c:pt>
                <c:pt idx="9">
                  <c:v>2452</c:v>
                </c:pt>
                <c:pt idx="10">
                  <c:v>6080</c:v>
                </c:pt>
                <c:pt idx="11">
                  <c:v>2319</c:v>
                </c:pt>
                <c:pt idx="13">
                  <c:v>10550</c:v>
                </c:pt>
                <c:pt idx="14">
                  <c:v>5293</c:v>
                </c:pt>
                <c:pt idx="15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793-8483-5387755FE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88%</c:v>
                </c:pt>
                <c:pt idx="4">
                  <c:v>100%</c:v>
                </c:pt>
                <c:pt idx="5">
                  <c:v>25%</c:v>
                </c:pt>
                <c:pt idx="6">
                  <c:v>29%</c:v>
                </c:pt>
                <c:pt idx="7">
                  <c:v>54%</c:v>
                </c:pt>
                <c:pt idx="8">
                  <c:v>0%</c:v>
                </c:pt>
                <c:pt idx="9">
                  <c:v>0%</c:v>
                </c:pt>
                <c:pt idx="10">
                  <c:v>58%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ACTATOR</c:v>
                </c:pt>
                <c:pt idx="7">
                  <c:v>SLIDER</c:v>
                </c:pt>
                <c:pt idx="9">
                  <c:v>ADAPTER</c:v>
                </c:pt>
                <c:pt idx="10">
                  <c:v>LATCH</c:v>
                </c:pt>
                <c:pt idx="11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1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0.54166666666666663</c:v>
                </c:pt>
                <c:pt idx="8">
                  <c:v>0</c:v>
                </c:pt>
                <c:pt idx="9">
                  <c:v>0</c:v>
                </c:pt>
                <c:pt idx="10">
                  <c:v>0.58333333333333337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3-46FC-AB20-F58BC86D166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43-46FC-AB20-F58BC86D166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ACTATOR</c:v>
                </c:pt>
                <c:pt idx="7">
                  <c:v>SLIDER</c:v>
                </c:pt>
                <c:pt idx="9">
                  <c:v>ADAPTER</c:v>
                </c:pt>
                <c:pt idx="10">
                  <c:v>LATCH</c:v>
                </c:pt>
                <c:pt idx="11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0.36944444444444441</c:v>
                </c:pt>
                <c:pt idx="1">
                  <c:v>0.36944444444444441</c:v>
                </c:pt>
                <c:pt idx="2">
                  <c:v>0.36944444444444441</c:v>
                </c:pt>
                <c:pt idx="3">
                  <c:v>0.36944444444444441</c:v>
                </c:pt>
                <c:pt idx="4">
                  <c:v>0.36944444444444441</c:v>
                </c:pt>
                <c:pt idx="5">
                  <c:v>0.36944444444444441</c:v>
                </c:pt>
                <c:pt idx="6">
                  <c:v>0.36944444444444441</c:v>
                </c:pt>
                <c:pt idx="7">
                  <c:v>0.36944444444444441</c:v>
                </c:pt>
                <c:pt idx="8">
                  <c:v>0.36944444444444441</c:v>
                </c:pt>
                <c:pt idx="9">
                  <c:v>0.36944444444444441</c:v>
                </c:pt>
                <c:pt idx="10">
                  <c:v>0.36944444444444441</c:v>
                </c:pt>
                <c:pt idx="11">
                  <c:v>0.36944444444444441</c:v>
                </c:pt>
                <c:pt idx="12">
                  <c:v>0.36944444444444441</c:v>
                </c:pt>
                <c:pt idx="13">
                  <c:v>0.36944444444444441</c:v>
                </c:pt>
                <c:pt idx="14">
                  <c:v>0.36944444444444441</c:v>
                </c:pt>
                <c:pt idx="15">
                  <c:v>0.36944444444444441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3-46FC-AB20-F58BC86D1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E4A-467B-B393-2A263C7BB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A-467B-B393-2A263C7BB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4A-467B-B393-2A263C7BB5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A-467B-B393-2A263C7BB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ACTATOR</c:v>
                </c:pt>
                <c:pt idx="8">
                  <c:v>COVER</c:v>
                </c:pt>
                <c:pt idx="10">
                  <c:v>BODY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3">
                  <c:v>2780</c:v>
                </c:pt>
                <c:pt idx="4">
                  <c:v>6291</c:v>
                </c:pt>
                <c:pt idx="5">
                  <c:v>4493</c:v>
                </c:pt>
                <c:pt idx="6">
                  <c:v>4952</c:v>
                </c:pt>
                <c:pt idx="7">
                  <c:v>3707</c:v>
                </c:pt>
                <c:pt idx="8">
                  <c:v>4248</c:v>
                </c:pt>
                <c:pt idx="9">
                  <c:v>2571</c:v>
                </c:pt>
                <c:pt idx="10">
                  <c:v>4633</c:v>
                </c:pt>
                <c:pt idx="12">
                  <c:v>9838</c:v>
                </c:pt>
                <c:pt idx="13">
                  <c:v>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C3-BFD0-D4C6CCD713DE}"/>
            </c:ext>
          </c:extLst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ACTATOR</c:v>
                </c:pt>
                <c:pt idx="8">
                  <c:v>COVER</c:v>
                </c:pt>
                <c:pt idx="10">
                  <c:v>BODY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1810</c:v>
                </c:pt>
                <c:pt idx="3">
                  <c:v>2780</c:v>
                </c:pt>
                <c:pt idx="4">
                  <c:v>6291</c:v>
                </c:pt>
                <c:pt idx="5">
                  <c:v>4493</c:v>
                </c:pt>
                <c:pt idx="6">
                  <c:v>4952</c:v>
                </c:pt>
                <c:pt idx="7">
                  <c:v>3707</c:v>
                </c:pt>
                <c:pt idx="8">
                  <c:v>4248</c:v>
                </c:pt>
                <c:pt idx="9">
                  <c:v>2571</c:v>
                </c:pt>
                <c:pt idx="10">
                  <c:v>4633</c:v>
                </c:pt>
                <c:pt idx="12">
                  <c:v>9838</c:v>
                </c:pt>
                <c:pt idx="13">
                  <c:v>4866</c:v>
                </c:pt>
                <c:pt idx="14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9-45C3-BFD0-D4C6CCD7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67%</c:v>
                </c:pt>
                <c:pt idx="4">
                  <c:v>100%</c:v>
                </c:pt>
                <c:pt idx="5">
                  <c:v>88%</c:v>
                </c:pt>
                <c:pt idx="6">
                  <c:v>100%</c:v>
                </c:pt>
                <c:pt idx="7">
                  <c:v>83%</c:v>
                </c:pt>
                <c:pt idx="8">
                  <c:v>96%</c:v>
                </c:pt>
                <c:pt idx="9">
                  <c:v>67%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ACTATOR</c:v>
                </c:pt>
                <c:pt idx="8">
                  <c:v>COVER</c:v>
                </c:pt>
                <c:pt idx="10">
                  <c:v>BODY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  <c:pt idx="5">
                  <c:v>0.875</c:v>
                </c:pt>
                <c:pt idx="6">
                  <c:v>1</c:v>
                </c:pt>
                <c:pt idx="7">
                  <c:v>0.83333333333333337</c:v>
                </c:pt>
                <c:pt idx="8">
                  <c:v>0.95833333333333337</c:v>
                </c:pt>
                <c:pt idx="9">
                  <c:v>0.66666666666666663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1-473D-8ACE-51EEAE704B6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91-473D-8ACE-51EEAE704B6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ACTATOR</c:v>
                </c:pt>
                <c:pt idx="8">
                  <c:v>COVER</c:v>
                </c:pt>
                <c:pt idx="10">
                  <c:v>BODY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1-473D-8ACE-51EEAE70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ACTATOR</c:v>
                </c:pt>
                <c:pt idx="8">
                  <c:v>COVER</c:v>
                </c:pt>
                <c:pt idx="10">
                  <c:v>BODY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3">
                  <c:v>2780</c:v>
                </c:pt>
                <c:pt idx="4">
                  <c:v>6291</c:v>
                </c:pt>
                <c:pt idx="5">
                  <c:v>4493</c:v>
                </c:pt>
                <c:pt idx="6">
                  <c:v>4952</c:v>
                </c:pt>
                <c:pt idx="7">
                  <c:v>3707</c:v>
                </c:pt>
                <c:pt idx="8">
                  <c:v>4248</c:v>
                </c:pt>
                <c:pt idx="9">
                  <c:v>2571</c:v>
                </c:pt>
                <c:pt idx="10">
                  <c:v>4633</c:v>
                </c:pt>
                <c:pt idx="12">
                  <c:v>9838</c:v>
                </c:pt>
                <c:pt idx="13">
                  <c:v>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5-448A-A8D1-5E1E3CBABFF7}"/>
            </c:ext>
          </c:extLst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ACTATOR</c:v>
                </c:pt>
                <c:pt idx="8">
                  <c:v>COVER</c:v>
                </c:pt>
                <c:pt idx="10">
                  <c:v>BODY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1810</c:v>
                </c:pt>
                <c:pt idx="3">
                  <c:v>2780</c:v>
                </c:pt>
                <c:pt idx="4">
                  <c:v>6291</c:v>
                </c:pt>
                <c:pt idx="5">
                  <c:v>4493</c:v>
                </c:pt>
                <c:pt idx="6">
                  <c:v>4952</c:v>
                </c:pt>
                <c:pt idx="7">
                  <c:v>3707</c:v>
                </c:pt>
                <c:pt idx="8">
                  <c:v>4248</c:v>
                </c:pt>
                <c:pt idx="9">
                  <c:v>2571</c:v>
                </c:pt>
                <c:pt idx="10">
                  <c:v>4633</c:v>
                </c:pt>
                <c:pt idx="12">
                  <c:v>9838</c:v>
                </c:pt>
                <c:pt idx="13">
                  <c:v>4866</c:v>
                </c:pt>
                <c:pt idx="14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5-448A-A8D1-5E1E3CBA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67%</c:v>
                </c:pt>
                <c:pt idx="4">
                  <c:v>100%</c:v>
                </c:pt>
                <c:pt idx="5">
                  <c:v>88%</c:v>
                </c:pt>
                <c:pt idx="6">
                  <c:v>100%</c:v>
                </c:pt>
                <c:pt idx="7">
                  <c:v>83%</c:v>
                </c:pt>
                <c:pt idx="8">
                  <c:v>96%</c:v>
                </c:pt>
                <c:pt idx="9">
                  <c:v>67%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ACTATOR</c:v>
                </c:pt>
                <c:pt idx="8">
                  <c:v>COVER</c:v>
                </c:pt>
                <c:pt idx="10">
                  <c:v>BODY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  <c:pt idx="5">
                  <c:v>0.875</c:v>
                </c:pt>
                <c:pt idx="6">
                  <c:v>1</c:v>
                </c:pt>
                <c:pt idx="7">
                  <c:v>0.83333333333333337</c:v>
                </c:pt>
                <c:pt idx="8">
                  <c:v>0.95833333333333337</c:v>
                </c:pt>
                <c:pt idx="9">
                  <c:v>0.66666666666666663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7-4B7A-B20F-5532CF66A5F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97-4B7A-B20F-5532CF66A5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ACTATOR</c:v>
                </c:pt>
                <c:pt idx="8">
                  <c:v>COVER</c:v>
                </c:pt>
                <c:pt idx="10">
                  <c:v>BODY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7-4B7A-B20F-5532CF66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369-45A6-A235-AF23B34A27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9-45A6-A235-AF23B34A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69-45A6-A235-AF23B34A27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9-45A6-A235-AF23B34A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3">
                  <c:v>2137</c:v>
                </c:pt>
                <c:pt idx="4">
                  <c:v>6116</c:v>
                </c:pt>
                <c:pt idx="5">
                  <c:v>3492</c:v>
                </c:pt>
                <c:pt idx="6">
                  <c:v>4914</c:v>
                </c:pt>
                <c:pt idx="7">
                  <c:v>400</c:v>
                </c:pt>
                <c:pt idx="8">
                  <c:v>428</c:v>
                </c:pt>
                <c:pt idx="9">
                  <c:v>4762</c:v>
                </c:pt>
                <c:pt idx="10">
                  <c:v>3520</c:v>
                </c:pt>
                <c:pt idx="11">
                  <c:v>5008</c:v>
                </c:pt>
                <c:pt idx="14">
                  <c:v>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C75-8111-3F94C82613DE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2137</c:v>
                </c:pt>
                <c:pt idx="4">
                  <c:v>6116</c:v>
                </c:pt>
                <c:pt idx="5">
                  <c:v>3492</c:v>
                </c:pt>
                <c:pt idx="6">
                  <c:v>4914</c:v>
                </c:pt>
                <c:pt idx="7">
                  <c:v>400</c:v>
                </c:pt>
                <c:pt idx="8">
                  <c:v>428</c:v>
                </c:pt>
                <c:pt idx="9">
                  <c:v>4762</c:v>
                </c:pt>
                <c:pt idx="10">
                  <c:v>3520</c:v>
                </c:pt>
                <c:pt idx="11">
                  <c:v>5008</c:v>
                </c:pt>
                <c:pt idx="14">
                  <c:v>5228</c:v>
                </c:pt>
                <c:pt idx="15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1-4C75-8111-3F94C826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54%</c:v>
                </c:pt>
                <c:pt idx="4">
                  <c:v>100%</c:v>
                </c:pt>
                <c:pt idx="5">
                  <c:v>75%</c:v>
                </c:pt>
                <c:pt idx="6">
                  <c:v>100%</c:v>
                </c:pt>
                <c:pt idx="7">
                  <c:v>25%</c:v>
                </c:pt>
                <c:pt idx="8">
                  <c:v>25%</c:v>
                </c:pt>
                <c:pt idx="9">
                  <c:v>100%</c:v>
                </c:pt>
                <c:pt idx="10">
                  <c:v>79%</c:v>
                </c:pt>
                <c:pt idx="11">
                  <c:v>100%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0.54166666666666663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0.25</c:v>
                </c:pt>
                <c:pt idx="8">
                  <c:v>0.25</c:v>
                </c:pt>
                <c:pt idx="9">
                  <c:v>1</c:v>
                </c:pt>
                <c:pt idx="10">
                  <c:v>0.79166666666666663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7-47E4-865E-43D605A01B2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7-47E4-865E-43D605A01B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0.50555555555555554</c:v>
                </c:pt>
                <c:pt idx="1">
                  <c:v>0.50555555555555554</c:v>
                </c:pt>
                <c:pt idx="2">
                  <c:v>0.50555555555555554</c:v>
                </c:pt>
                <c:pt idx="3">
                  <c:v>0.50555555555555554</c:v>
                </c:pt>
                <c:pt idx="4">
                  <c:v>0.50555555555555554</c:v>
                </c:pt>
                <c:pt idx="5">
                  <c:v>0.50555555555555554</c:v>
                </c:pt>
                <c:pt idx="6">
                  <c:v>0.50555555555555554</c:v>
                </c:pt>
                <c:pt idx="7">
                  <c:v>0.50555555555555554</c:v>
                </c:pt>
                <c:pt idx="8">
                  <c:v>0.50555555555555554</c:v>
                </c:pt>
                <c:pt idx="9">
                  <c:v>0.50555555555555554</c:v>
                </c:pt>
                <c:pt idx="10">
                  <c:v>0.50555555555555554</c:v>
                </c:pt>
                <c:pt idx="11">
                  <c:v>0.50555555555555554</c:v>
                </c:pt>
                <c:pt idx="12">
                  <c:v>0.50555555555555554</c:v>
                </c:pt>
                <c:pt idx="13">
                  <c:v>0.50555555555555554</c:v>
                </c:pt>
                <c:pt idx="14">
                  <c:v>0.50555555555555554</c:v>
                </c:pt>
                <c:pt idx="15">
                  <c:v>0.50555555555555554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7-47E4-865E-43D605A0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BASE/FLANGE</c:v>
                </c:pt>
                <c:pt idx="5">
                  <c:v>LATCH</c:v>
                </c:pt>
                <c:pt idx="7">
                  <c:v>END PLATE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D-452D-BF42-FBD9B369060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4D-452D-BF42-FBD9B369060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BASE/FLANGE</c:v>
                </c:pt>
                <c:pt idx="5">
                  <c:v>LATCH</c:v>
                </c:pt>
                <c:pt idx="7">
                  <c:v>END PLATE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D-452D-BF42-FBD9B369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3">
                  <c:v>2137</c:v>
                </c:pt>
                <c:pt idx="4">
                  <c:v>6116</c:v>
                </c:pt>
                <c:pt idx="5">
                  <c:v>3492</c:v>
                </c:pt>
                <c:pt idx="6">
                  <c:v>4914</c:v>
                </c:pt>
                <c:pt idx="7">
                  <c:v>400</c:v>
                </c:pt>
                <c:pt idx="8">
                  <c:v>428</c:v>
                </c:pt>
                <c:pt idx="9">
                  <c:v>4762</c:v>
                </c:pt>
                <c:pt idx="10">
                  <c:v>3520</c:v>
                </c:pt>
                <c:pt idx="11">
                  <c:v>5008</c:v>
                </c:pt>
                <c:pt idx="14">
                  <c:v>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2-455F-85D1-9D458B74C116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2137</c:v>
                </c:pt>
                <c:pt idx="4">
                  <c:v>6116</c:v>
                </c:pt>
                <c:pt idx="5">
                  <c:v>3492</c:v>
                </c:pt>
                <c:pt idx="6">
                  <c:v>4914</c:v>
                </c:pt>
                <c:pt idx="7">
                  <c:v>400</c:v>
                </c:pt>
                <c:pt idx="8">
                  <c:v>428</c:v>
                </c:pt>
                <c:pt idx="9">
                  <c:v>4762</c:v>
                </c:pt>
                <c:pt idx="10">
                  <c:v>3520</c:v>
                </c:pt>
                <c:pt idx="11">
                  <c:v>5008</c:v>
                </c:pt>
                <c:pt idx="14">
                  <c:v>5228</c:v>
                </c:pt>
                <c:pt idx="15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2-455F-85D1-9D458B7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54%</c:v>
                </c:pt>
                <c:pt idx="4">
                  <c:v>100%</c:v>
                </c:pt>
                <c:pt idx="5">
                  <c:v>75%</c:v>
                </c:pt>
                <c:pt idx="6">
                  <c:v>100%</c:v>
                </c:pt>
                <c:pt idx="7">
                  <c:v>25%</c:v>
                </c:pt>
                <c:pt idx="8">
                  <c:v>25%</c:v>
                </c:pt>
                <c:pt idx="9">
                  <c:v>100%</c:v>
                </c:pt>
                <c:pt idx="10">
                  <c:v>79%</c:v>
                </c:pt>
                <c:pt idx="11">
                  <c:v>100%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0.54166666666666663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0.25</c:v>
                </c:pt>
                <c:pt idx="8">
                  <c:v>0.25</c:v>
                </c:pt>
                <c:pt idx="9">
                  <c:v>1</c:v>
                </c:pt>
                <c:pt idx="10">
                  <c:v>0.79166666666666663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6-4B5F-A813-E559C556549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16-4B5F-A813-E559C55654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1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0.50555555555555554</c:v>
                </c:pt>
                <c:pt idx="1">
                  <c:v>0.50555555555555554</c:v>
                </c:pt>
                <c:pt idx="2">
                  <c:v>0.50555555555555554</c:v>
                </c:pt>
                <c:pt idx="3">
                  <c:v>0.50555555555555554</c:v>
                </c:pt>
                <c:pt idx="4">
                  <c:v>0.50555555555555554</c:v>
                </c:pt>
                <c:pt idx="5">
                  <c:v>0.50555555555555554</c:v>
                </c:pt>
                <c:pt idx="6">
                  <c:v>0.50555555555555554</c:v>
                </c:pt>
                <c:pt idx="7">
                  <c:v>0.50555555555555554</c:v>
                </c:pt>
                <c:pt idx="8">
                  <c:v>0.50555555555555554</c:v>
                </c:pt>
                <c:pt idx="9">
                  <c:v>0.50555555555555554</c:v>
                </c:pt>
                <c:pt idx="10">
                  <c:v>0.50555555555555554</c:v>
                </c:pt>
                <c:pt idx="11">
                  <c:v>0.50555555555555554</c:v>
                </c:pt>
                <c:pt idx="12">
                  <c:v>0.50555555555555554</c:v>
                </c:pt>
                <c:pt idx="13">
                  <c:v>0.50555555555555554</c:v>
                </c:pt>
                <c:pt idx="14">
                  <c:v>0.50555555555555554</c:v>
                </c:pt>
                <c:pt idx="15">
                  <c:v>0.50555555555555554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6-4B5F-A813-E559C556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5CC-475C-B6C4-2B80DCF99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C-475C-B6C4-2B80DCF9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CC-475C-B6C4-2B80DCF99D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CC-475C-B6C4-2B80DCF9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10">
                  <c:v>PLATE</c:v>
                </c:pt>
                <c:pt idx="11">
                  <c:v>BODY</c:v>
                </c:pt>
                <c:pt idx="12">
                  <c:v>LATCH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3">
                  <c:v>4437</c:v>
                </c:pt>
                <c:pt idx="4">
                  <c:v>5916</c:v>
                </c:pt>
                <c:pt idx="6">
                  <c:v>2911</c:v>
                </c:pt>
                <c:pt idx="7">
                  <c:v>1930</c:v>
                </c:pt>
                <c:pt idx="8">
                  <c:v>4974</c:v>
                </c:pt>
                <c:pt idx="9">
                  <c:v>535</c:v>
                </c:pt>
                <c:pt idx="10">
                  <c:v>8980</c:v>
                </c:pt>
                <c:pt idx="11">
                  <c:v>834</c:v>
                </c:pt>
                <c:pt idx="12">
                  <c:v>9598</c:v>
                </c:pt>
                <c:pt idx="14">
                  <c:v>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2-4E46-897C-840F05042A97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10">
                  <c:v>PLATE</c:v>
                </c:pt>
                <c:pt idx="11">
                  <c:v>BODY</c:v>
                </c:pt>
                <c:pt idx="12">
                  <c:v>LATCH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4437</c:v>
                </c:pt>
                <c:pt idx="4">
                  <c:v>5916</c:v>
                </c:pt>
                <c:pt idx="5">
                  <c:v>3492</c:v>
                </c:pt>
                <c:pt idx="6">
                  <c:v>2911</c:v>
                </c:pt>
                <c:pt idx="7">
                  <c:v>1930</c:v>
                </c:pt>
                <c:pt idx="8">
                  <c:v>4974</c:v>
                </c:pt>
                <c:pt idx="9">
                  <c:v>535</c:v>
                </c:pt>
                <c:pt idx="10">
                  <c:v>8980</c:v>
                </c:pt>
                <c:pt idx="11">
                  <c:v>834</c:v>
                </c:pt>
                <c:pt idx="12">
                  <c:v>9598</c:v>
                </c:pt>
                <c:pt idx="14">
                  <c:v>5226</c:v>
                </c:pt>
                <c:pt idx="15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2-4E46-897C-840F0504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83%</c:v>
                </c:pt>
                <c:pt idx="4">
                  <c:v>100%</c:v>
                </c:pt>
                <c:pt idx="5">
                  <c:v>0%</c:v>
                </c:pt>
                <c:pt idx="6">
                  <c:v>58%</c:v>
                </c:pt>
                <c:pt idx="7">
                  <c:v>38%</c:v>
                </c:pt>
                <c:pt idx="8">
                  <c:v>100%</c:v>
                </c:pt>
                <c:pt idx="9">
                  <c:v>17%</c:v>
                </c:pt>
                <c:pt idx="10">
                  <c:v>75%</c:v>
                </c:pt>
                <c:pt idx="11">
                  <c:v>21%</c:v>
                </c:pt>
                <c:pt idx="12">
                  <c:v>88%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10">
                  <c:v>PLATE</c:v>
                </c:pt>
                <c:pt idx="11">
                  <c:v>BODY</c:v>
                </c:pt>
                <c:pt idx="12">
                  <c:v>LATCH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1</c:v>
                </c:pt>
                <c:pt idx="5">
                  <c:v>0</c:v>
                </c:pt>
                <c:pt idx="6">
                  <c:v>0.58333333333333337</c:v>
                </c:pt>
                <c:pt idx="7">
                  <c:v>0.375</c:v>
                </c:pt>
                <c:pt idx="8">
                  <c:v>1</c:v>
                </c:pt>
                <c:pt idx="9">
                  <c:v>0.16666666666666666</c:v>
                </c:pt>
                <c:pt idx="10">
                  <c:v>0.75</c:v>
                </c:pt>
                <c:pt idx="11">
                  <c:v>0.20833333333333334</c:v>
                </c:pt>
                <c:pt idx="12">
                  <c:v>0.875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1-4D0C-B016-8CC03F8BF34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01-4D0C-B016-8CC03F8BF3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10">
                  <c:v>PLATE</c:v>
                </c:pt>
                <c:pt idx="11">
                  <c:v>BODY</c:v>
                </c:pt>
                <c:pt idx="12">
                  <c:v>LATCH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0.45277777777777778</c:v>
                </c:pt>
                <c:pt idx="1">
                  <c:v>0.45277777777777778</c:v>
                </c:pt>
                <c:pt idx="2">
                  <c:v>0.45277777777777778</c:v>
                </c:pt>
                <c:pt idx="3">
                  <c:v>0.45277777777777778</c:v>
                </c:pt>
                <c:pt idx="4">
                  <c:v>0.45277777777777778</c:v>
                </c:pt>
                <c:pt idx="5">
                  <c:v>0.45277777777777778</c:v>
                </c:pt>
                <c:pt idx="6">
                  <c:v>0.45277777777777778</c:v>
                </c:pt>
                <c:pt idx="7">
                  <c:v>0.45277777777777778</c:v>
                </c:pt>
                <c:pt idx="8">
                  <c:v>0.45277777777777778</c:v>
                </c:pt>
                <c:pt idx="9">
                  <c:v>0.45277777777777778</c:v>
                </c:pt>
                <c:pt idx="10">
                  <c:v>0.45277777777777778</c:v>
                </c:pt>
                <c:pt idx="11">
                  <c:v>0.45277777777777778</c:v>
                </c:pt>
                <c:pt idx="12">
                  <c:v>0.45277777777777778</c:v>
                </c:pt>
                <c:pt idx="13">
                  <c:v>0.45277777777777778</c:v>
                </c:pt>
                <c:pt idx="14">
                  <c:v>0.45277777777777778</c:v>
                </c:pt>
                <c:pt idx="15">
                  <c:v>0.45277777777777778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1-4D0C-B016-8CC03F8B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10">
                  <c:v>PLATE</c:v>
                </c:pt>
                <c:pt idx="11">
                  <c:v>BODY</c:v>
                </c:pt>
                <c:pt idx="12">
                  <c:v>LATCH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3">
                  <c:v>4437</c:v>
                </c:pt>
                <c:pt idx="4">
                  <c:v>5916</c:v>
                </c:pt>
                <c:pt idx="6">
                  <c:v>2911</c:v>
                </c:pt>
                <c:pt idx="7">
                  <c:v>1930</c:v>
                </c:pt>
                <c:pt idx="8">
                  <c:v>4974</c:v>
                </c:pt>
                <c:pt idx="9">
                  <c:v>535</c:v>
                </c:pt>
                <c:pt idx="10">
                  <c:v>8980</c:v>
                </c:pt>
                <c:pt idx="11">
                  <c:v>834</c:v>
                </c:pt>
                <c:pt idx="12">
                  <c:v>9598</c:v>
                </c:pt>
                <c:pt idx="14">
                  <c:v>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6-46B4-A4FF-22275C20B5C8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10">
                  <c:v>PLATE</c:v>
                </c:pt>
                <c:pt idx="11">
                  <c:v>BODY</c:v>
                </c:pt>
                <c:pt idx="12">
                  <c:v>LATCH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4437</c:v>
                </c:pt>
                <c:pt idx="4">
                  <c:v>5916</c:v>
                </c:pt>
                <c:pt idx="5">
                  <c:v>3492</c:v>
                </c:pt>
                <c:pt idx="6">
                  <c:v>2911</c:v>
                </c:pt>
                <c:pt idx="7">
                  <c:v>1930</c:v>
                </c:pt>
                <c:pt idx="8">
                  <c:v>4974</c:v>
                </c:pt>
                <c:pt idx="9">
                  <c:v>535</c:v>
                </c:pt>
                <c:pt idx="10">
                  <c:v>8980</c:v>
                </c:pt>
                <c:pt idx="11">
                  <c:v>834</c:v>
                </c:pt>
                <c:pt idx="12">
                  <c:v>9598</c:v>
                </c:pt>
                <c:pt idx="14">
                  <c:v>5226</c:v>
                </c:pt>
                <c:pt idx="15">
                  <c:v>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6-46B4-A4FF-22275C20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83%</c:v>
                </c:pt>
                <c:pt idx="4">
                  <c:v>100%</c:v>
                </c:pt>
                <c:pt idx="5">
                  <c:v>0%</c:v>
                </c:pt>
                <c:pt idx="6">
                  <c:v>58%</c:v>
                </c:pt>
                <c:pt idx="7">
                  <c:v>38%</c:v>
                </c:pt>
                <c:pt idx="8">
                  <c:v>100%</c:v>
                </c:pt>
                <c:pt idx="9">
                  <c:v>17%</c:v>
                </c:pt>
                <c:pt idx="10">
                  <c:v>75%</c:v>
                </c:pt>
                <c:pt idx="11">
                  <c:v>21%</c:v>
                </c:pt>
                <c:pt idx="12">
                  <c:v>88%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10">
                  <c:v>PLATE</c:v>
                </c:pt>
                <c:pt idx="11">
                  <c:v>BODY</c:v>
                </c:pt>
                <c:pt idx="12">
                  <c:v>LATCH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1</c:v>
                </c:pt>
                <c:pt idx="5">
                  <c:v>0</c:v>
                </c:pt>
                <c:pt idx="6">
                  <c:v>0.58333333333333337</c:v>
                </c:pt>
                <c:pt idx="7">
                  <c:v>0.375</c:v>
                </c:pt>
                <c:pt idx="8">
                  <c:v>1</c:v>
                </c:pt>
                <c:pt idx="9">
                  <c:v>0.16666666666666666</c:v>
                </c:pt>
                <c:pt idx="10">
                  <c:v>0.75</c:v>
                </c:pt>
                <c:pt idx="11">
                  <c:v>0.20833333333333334</c:v>
                </c:pt>
                <c:pt idx="12">
                  <c:v>0.875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6-43B1-A275-BE5171E2A9D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D6-43B1-A275-BE5171E2A9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ACTATOR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10">
                  <c:v>PLATE</c:v>
                </c:pt>
                <c:pt idx="11">
                  <c:v>BODY</c:v>
                </c:pt>
                <c:pt idx="12">
                  <c:v>LATCH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0.45277777777777778</c:v>
                </c:pt>
                <c:pt idx="1">
                  <c:v>0.45277777777777778</c:v>
                </c:pt>
                <c:pt idx="2">
                  <c:v>0.45277777777777778</c:v>
                </c:pt>
                <c:pt idx="3">
                  <c:v>0.45277777777777778</c:v>
                </c:pt>
                <c:pt idx="4">
                  <c:v>0.45277777777777778</c:v>
                </c:pt>
                <c:pt idx="5">
                  <c:v>0.45277777777777778</c:v>
                </c:pt>
                <c:pt idx="6">
                  <c:v>0.45277777777777778</c:v>
                </c:pt>
                <c:pt idx="7">
                  <c:v>0.45277777777777778</c:v>
                </c:pt>
                <c:pt idx="8">
                  <c:v>0.45277777777777778</c:v>
                </c:pt>
                <c:pt idx="9">
                  <c:v>0.45277777777777778</c:v>
                </c:pt>
                <c:pt idx="10">
                  <c:v>0.45277777777777778</c:v>
                </c:pt>
                <c:pt idx="11">
                  <c:v>0.45277777777777778</c:v>
                </c:pt>
                <c:pt idx="12">
                  <c:v>0.45277777777777778</c:v>
                </c:pt>
                <c:pt idx="13">
                  <c:v>0.45277777777777778</c:v>
                </c:pt>
                <c:pt idx="14">
                  <c:v>0.45277777777777778</c:v>
                </c:pt>
                <c:pt idx="15">
                  <c:v>0.45277777777777778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6-43B1-A275-BE5171E2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E9B-4329-A9CF-223078CAF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B-4329-A9CF-223078CA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9B-4329-A9CF-223078CAF1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B-4329-A9CF-223078CA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'27'!$D$6:$D$22</c:f>
              <c:strCache>
                <c:ptCount val="16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9">
                  <c:v>PLATE</c:v>
                </c:pt>
                <c:pt idx="10">
                  <c:v>BODY</c:v>
                </c:pt>
                <c:pt idx="11">
                  <c:v>LATCH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'27'!$L$6:$L$22</c:f>
              <c:numCache>
                <c:formatCode>_(* #,##0_);_(* \(#,##0\);_(* "-"_);_(@_)</c:formatCode>
                <c:ptCount val="17"/>
                <c:pt idx="3">
                  <c:v>2876</c:v>
                </c:pt>
                <c:pt idx="4">
                  <c:v>4702</c:v>
                </c:pt>
                <c:pt idx="5">
                  <c:v>3660</c:v>
                </c:pt>
                <c:pt idx="6">
                  <c:v>3010</c:v>
                </c:pt>
                <c:pt idx="8">
                  <c:v>4785</c:v>
                </c:pt>
                <c:pt idx="9">
                  <c:v>1512</c:v>
                </c:pt>
                <c:pt idx="11">
                  <c:v>4762</c:v>
                </c:pt>
                <c:pt idx="12">
                  <c:v>3532</c:v>
                </c:pt>
                <c:pt idx="13">
                  <c:v>3079</c:v>
                </c:pt>
                <c:pt idx="14">
                  <c:v>1670</c:v>
                </c:pt>
                <c:pt idx="15">
                  <c:v>759</c:v>
                </c:pt>
                <c:pt idx="16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0-456F-B375-F5888FBD0FE7}"/>
            </c:ext>
          </c:extLst>
        </c:ser>
        <c:ser>
          <c:idx val="1"/>
          <c:order val="1"/>
          <c:tx>
            <c:v>계획</c:v>
          </c:tx>
          <c:cat>
            <c:strRef>
              <c:f>'27'!$D$6:$D$22</c:f>
              <c:strCache>
                <c:ptCount val="16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9">
                  <c:v>PLATE</c:v>
                </c:pt>
                <c:pt idx="10">
                  <c:v>BODY</c:v>
                </c:pt>
                <c:pt idx="11">
                  <c:v>LATCH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2876</c:v>
                </c:pt>
                <c:pt idx="4">
                  <c:v>4702</c:v>
                </c:pt>
                <c:pt idx="5">
                  <c:v>3660</c:v>
                </c:pt>
                <c:pt idx="6">
                  <c:v>3010</c:v>
                </c:pt>
                <c:pt idx="7">
                  <c:v>1930</c:v>
                </c:pt>
                <c:pt idx="8">
                  <c:v>4785</c:v>
                </c:pt>
                <c:pt idx="9">
                  <c:v>1512</c:v>
                </c:pt>
                <c:pt idx="10">
                  <c:v>834</c:v>
                </c:pt>
                <c:pt idx="11">
                  <c:v>4762</c:v>
                </c:pt>
                <c:pt idx="12">
                  <c:v>3532</c:v>
                </c:pt>
                <c:pt idx="13">
                  <c:v>3079</c:v>
                </c:pt>
                <c:pt idx="14">
                  <c:v>1670</c:v>
                </c:pt>
                <c:pt idx="15">
                  <c:v>759</c:v>
                </c:pt>
                <c:pt idx="16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0-456F-B375-F5888FBD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67%</c:v>
                </c:pt>
                <c:pt idx="4">
                  <c:v>92%</c:v>
                </c:pt>
                <c:pt idx="5">
                  <c:v>75%</c:v>
                </c:pt>
                <c:pt idx="6">
                  <c:v>63%</c:v>
                </c:pt>
                <c:pt idx="7">
                  <c:v>0%</c:v>
                </c:pt>
                <c:pt idx="8">
                  <c:v>100%</c:v>
                </c:pt>
                <c:pt idx="9">
                  <c:v>21%</c:v>
                </c:pt>
                <c:pt idx="10">
                  <c:v>0%</c:v>
                </c:pt>
                <c:pt idx="11">
                  <c:v>63%</c:v>
                </c:pt>
                <c:pt idx="12">
                  <c:v>29%</c:v>
                </c:pt>
                <c:pt idx="13">
                  <c:v>67%</c:v>
                </c:pt>
                <c:pt idx="14">
                  <c:v>29%</c:v>
                </c:pt>
                <c:pt idx="15">
                  <c:v>21%</c:v>
                </c:pt>
                <c:pt idx="16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9">
                  <c:v>PLATE</c:v>
                </c:pt>
                <c:pt idx="10">
                  <c:v>BODY</c:v>
                </c:pt>
                <c:pt idx="11">
                  <c:v>LATCH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0.75</c:v>
                </c:pt>
                <c:pt idx="6">
                  <c:v>0.625</c:v>
                </c:pt>
                <c:pt idx="7">
                  <c:v>0</c:v>
                </c:pt>
                <c:pt idx="8">
                  <c:v>1</c:v>
                </c:pt>
                <c:pt idx="9">
                  <c:v>0.20833333333333334</c:v>
                </c:pt>
                <c:pt idx="10">
                  <c:v>0</c:v>
                </c:pt>
                <c:pt idx="11">
                  <c:v>0.625</c:v>
                </c:pt>
                <c:pt idx="12">
                  <c:v>0.29166666666666669</c:v>
                </c:pt>
                <c:pt idx="13">
                  <c:v>0.66666666666666663</c:v>
                </c:pt>
                <c:pt idx="14">
                  <c:v>0.29166666666666669</c:v>
                </c:pt>
                <c:pt idx="15">
                  <c:v>0.20833333333333334</c:v>
                </c:pt>
                <c:pt idx="16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0-46A3-B073-5A95209E0C9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90-46A3-B073-5A95209E0C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9">
                  <c:v>PLATE</c:v>
                </c:pt>
                <c:pt idx="10">
                  <c:v>BODY</c:v>
                </c:pt>
                <c:pt idx="11">
                  <c:v>LATCH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'27'!$AE$6:$AE$22</c:f>
              <c:numCache>
                <c:formatCode>0%</c:formatCode>
                <c:ptCount val="17"/>
                <c:pt idx="0">
                  <c:v>0.45277777777777778</c:v>
                </c:pt>
                <c:pt idx="1">
                  <c:v>0.45277777777777778</c:v>
                </c:pt>
                <c:pt idx="2">
                  <c:v>0.45277777777777778</c:v>
                </c:pt>
                <c:pt idx="3">
                  <c:v>0.45277777777777778</c:v>
                </c:pt>
                <c:pt idx="4">
                  <c:v>0.45277777777777778</c:v>
                </c:pt>
                <c:pt idx="5">
                  <c:v>0.45277777777777778</c:v>
                </c:pt>
                <c:pt idx="6">
                  <c:v>0.45277777777777778</c:v>
                </c:pt>
                <c:pt idx="7">
                  <c:v>0.45277777777777778</c:v>
                </c:pt>
                <c:pt idx="8">
                  <c:v>0.45277777777777778</c:v>
                </c:pt>
                <c:pt idx="9">
                  <c:v>0.45277777777777778</c:v>
                </c:pt>
                <c:pt idx="10">
                  <c:v>0.45277777777777778</c:v>
                </c:pt>
                <c:pt idx="11">
                  <c:v>0.45277777777777778</c:v>
                </c:pt>
                <c:pt idx="12">
                  <c:v>0.45277777777777778</c:v>
                </c:pt>
                <c:pt idx="13">
                  <c:v>0.45277777777777778</c:v>
                </c:pt>
                <c:pt idx="14">
                  <c:v>0.45277777777777778</c:v>
                </c:pt>
                <c:pt idx="15">
                  <c:v>0.45277777777777778</c:v>
                </c:pt>
                <c:pt idx="16">
                  <c:v>0.45277777777777778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0-46A3-B073-5A95209E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BC8-40BD-B738-8731F3EB4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8-40BD-B738-8731F3EB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C8-40BD-B738-8731F3EB49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8-40BD-B738-8731F3EB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'27'!$D$6:$D$22</c:f>
              <c:strCache>
                <c:ptCount val="16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9">
                  <c:v>PLATE</c:v>
                </c:pt>
                <c:pt idx="10">
                  <c:v>BODY</c:v>
                </c:pt>
                <c:pt idx="11">
                  <c:v>LATCH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'27'!$L$6:$L$22</c:f>
              <c:numCache>
                <c:formatCode>_(* #,##0_);_(* \(#,##0\);_(* "-"_);_(@_)</c:formatCode>
                <c:ptCount val="17"/>
                <c:pt idx="3">
                  <c:v>2876</c:v>
                </c:pt>
                <c:pt idx="4">
                  <c:v>4702</c:v>
                </c:pt>
                <c:pt idx="5">
                  <c:v>3660</c:v>
                </c:pt>
                <c:pt idx="6">
                  <c:v>3010</c:v>
                </c:pt>
                <c:pt idx="8">
                  <c:v>4785</c:v>
                </c:pt>
                <c:pt idx="9">
                  <c:v>1512</c:v>
                </c:pt>
                <c:pt idx="11">
                  <c:v>4762</c:v>
                </c:pt>
                <c:pt idx="12">
                  <c:v>3532</c:v>
                </c:pt>
                <c:pt idx="13">
                  <c:v>3079</c:v>
                </c:pt>
                <c:pt idx="14">
                  <c:v>1670</c:v>
                </c:pt>
                <c:pt idx="15">
                  <c:v>759</c:v>
                </c:pt>
                <c:pt idx="16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5-4803-8D9D-6A39FC909C0D}"/>
            </c:ext>
          </c:extLst>
        </c:ser>
        <c:ser>
          <c:idx val="1"/>
          <c:order val="1"/>
          <c:tx>
            <c:v>계획</c:v>
          </c:tx>
          <c:cat>
            <c:strRef>
              <c:f>'27'!$D$6:$D$22</c:f>
              <c:strCache>
                <c:ptCount val="16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9">
                  <c:v>PLATE</c:v>
                </c:pt>
                <c:pt idx="10">
                  <c:v>BODY</c:v>
                </c:pt>
                <c:pt idx="11">
                  <c:v>LATCH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2876</c:v>
                </c:pt>
                <c:pt idx="4">
                  <c:v>4702</c:v>
                </c:pt>
                <c:pt idx="5">
                  <c:v>3660</c:v>
                </c:pt>
                <c:pt idx="6">
                  <c:v>3010</c:v>
                </c:pt>
                <c:pt idx="7">
                  <c:v>1930</c:v>
                </c:pt>
                <c:pt idx="8">
                  <c:v>4785</c:v>
                </c:pt>
                <c:pt idx="9">
                  <c:v>1512</c:v>
                </c:pt>
                <c:pt idx="10">
                  <c:v>834</c:v>
                </c:pt>
                <c:pt idx="11">
                  <c:v>4762</c:v>
                </c:pt>
                <c:pt idx="12">
                  <c:v>3532</c:v>
                </c:pt>
                <c:pt idx="13">
                  <c:v>3079</c:v>
                </c:pt>
                <c:pt idx="14">
                  <c:v>1670</c:v>
                </c:pt>
                <c:pt idx="15">
                  <c:v>759</c:v>
                </c:pt>
                <c:pt idx="16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5-4803-8D9D-6A39FC90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67%</c:v>
                </c:pt>
                <c:pt idx="4">
                  <c:v>92%</c:v>
                </c:pt>
                <c:pt idx="5">
                  <c:v>75%</c:v>
                </c:pt>
                <c:pt idx="6">
                  <c:v>63%</c:v>
                </c:pt>
                <c:pt idx="7">
                  <c:v>0%</c:v>
                </c:pt>
                <c:pt idx="8">
                  <c:v>100%</c:v>
                </c:pt>
                <c:pt idx="9">
                  <c:v>21%</c:v>
                </c:pt>
                <c:pt idx="10">
                  <c:v>0%</c:v>
                </c:pt>
                <c:pt idx="11">
                  <c:v>63%</c:v>
                </c:pt>
                <c:pt idx="12">
                  <c:v>29%</c:v>
                </c:pt>
                <c:pt idx="13">
                  <c:v>67%</c:v>
                </c:pt>
                <c:pt idx="14">
                  <c:v>29%</c:v>
                </c:pt>
                <c:pt idx="15">
                  <c:v>21%</c:v>
                </c:pt>
                <c:pt idx="16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9">
                  <c:v>PLATE</c:v>
                </c:pt>
                <c:pt idx="10">
                  <c:v>BODY</c:v>
                </c:pt>
                <c:pt idx="11">
                  <c:v>LATCH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0.75</c:v>
                </c:pt>
                <c:pt idx="6">
                  <c:v>0.625</c:v>
                </c:pt>
                <c:pt idx="7">
                  <c:v>0</c:v>
                </c:pt>
                <c:pt idx="8">
                  <c:v>1</c:v>
                </c:pt>
                <c:pt idx="9">
                  <c:v>0.20833333333333334</c:v>
                </c:pt>
                <c:pt idx="10">
                  <c:v>0</c:v>
                </c:pt>
                <c:pt idx="11">
                  <c:v>0.625</c:v>
                </c:pt>
                <c:pt idx="12">
                  <c:v>0.29166666666666669</c:v>
                </c:pt>
                <c:pt idx="13">
                  <c:v>0.66666666666666663</c:v>
                </c:pt>
                <c:pt idx="14">
                  <c:v>0.29166666666666669</c:v>
                </c:pt>
                <c:pt idx="15">
                  <c:v>0.20833333333333334</c:v>
                </c:pt>
                <c:pt idx="16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5-49E2-A2B8-F118369ED6A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55-49E2-A2B8-F118369ED6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BASE</c:v>
                </c:pt>
                <c:pt idx="8">
                  <c:v>COVER</c:v>
                </c:pt>
                <c:pt idx="9">
                  <c:v>PLATE</c:v>
                </c:pt>
                <c:pt idx="10">
                  <c:v>BODY</c:v>
                </c:pt>
                <c:pt idx="11">
                  <c:v>LATCH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'27'!$AE$6:$AE$22</c:f>
              <c:numCache>
                <c:formatCode>0%</c:formatCode>
                <c:ptCount val="17"/>
                <c:pt idx="0">
                  <c:v>0.45277777777777778</c:v>
                </c:pt>
                <c:pt idx="1">
                  <c:v>0.45277777777777778</c:v>
                </c:pt>
                <c:pt idx="2">
                  <c:v>0.45277777777777778</c:v>
                </c:pt>
                <c:pt idx="3">
                  <c:v>0.45277777777777778</c:v>
                </c:pt>
                <c:pt idx="4">
                  <c:v>0.45277777777777778</c:v>
                </c:pt>
                <c:pt idx="5">
                  <c:v>0.45277777777777778</c:v>
                </c:pt>
                <c:pt idx="6">
                  <c:v>0.45277777777777778</c:v>
                </c:pt>
                <c:pt idx="7">
                  <c:v>0.45277777777777778</c:v>
                </c:pt>
                <c:pt idx="8">
                  <c:v>0.45277777777777778</c:v>
                </c:pt>
                <c:pt idx="9">
                  <c:v>0.45277777777777778</c:v>
                </c:pt>
                <c:pt idx="10">
                  <c:v>0.45277777777777778</c:v>
                </c:pt>
                <c:pt idx="11">
                  <c:v>0.45277777777777778</c:v>
                </c:pt>
                <c:pt idx="12">
                  <c:v>0.45277777777777778</c:v>
                </c:pt>
                <c:pt idx="13">
                  <c:v>0.45277777777777778</c:v>
                </c:pt>
                <c:pt idx="14">
                  <c:v>0.45277777777777778</c:v>
                </c:pt>
                <c:pt idx="15">
                  <c:v>0.45277777777777778</c:v>
                </c:pt>
                <c:pt idx="16">
                  <c:v>0.45277777777777778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5-49E2-A2B8-F118369E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704-4041-877E-5C5360BFE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4-4041-877E-5C5360BF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4-4041-877E-5C5360BFED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4-4041-877E-5C5360BF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HINGE/LOCKER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</c:strCache>
            </c:strRef>
          </c:cat>
          <c:val>
            <c:numRef>
              <c:f>'28'!$L$6:$L$21</c:f>
              <c:numCache>
                <c:formatCode>_(* #,##0_);_(* \(#,##0\);_(* "-"_);_(@_)</c:formatCode>
                <c:ptCount val="16"/>
                <c:pt idx="3">
                  <c:v>4378</c:v>
                </c:pt>
                <c:pt idx="4">
                  <c:v>6237</c:v>
                </c:pt>
                <c:pt idx="5">
                  <c:v>3690</c:v>
                </c:pt>
                <c:pt idx="7">
                  <c:v>180</c:v>
                </c:pt>
                <c:pt idx="8">
                  <c:v>4696</c:v>
                </c:pt>
                <c:pt idx="9">
                  <c:v>736</c:v>
                </c:pt>
                <c:pt idx="10">
                  <c:v>2206</c:v>
                </c:pt>
                <c:pt idx="11">
                  <c:v>2407</c:v>
                </c:pt>
                <c:pt idx="12">
                  <c:v>16210</c:v>
                </c:pt>
                <c:pt idx="13">
                  <c:v>5387</c:v>
                </c:pt>
                <c:pt idx="14">
                  <c:v>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7-431B-8500-E3B9DB2D0A49}"/>
            </c:ext>
          </c:extLst>
        </c:ser>
        <c:ser>
          <c:idx val="1"/>
          <c:order val="1"/>
          <c:tx>
            <c:v>계획</c:v>
          </c:tx>
          <c:cat>
            <c:strRef>
              <c:f>'28'!$D$6:$D$21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HINGE/LOCKER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</c:strCache>
            </c:strRef>
          </c:cat>
          <c:val>
            <c:numRef>
              <c:f>'28'!$J$6:$J$21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4378</c:v>
                </c:pt>
                <c:pt idx="4">
                  <c:v>6237</c:v>
                </c:pt>
                <c:pt idx="5">
                  <c:v>3690</c:v>
                </c:pt>
                <c:pt idx="6">
                  <c:v>3010</c:v>
                </c:pt>
                <c:pt idx="7">
                  <c:v>180</c:v>
                </c:pt>
                <c:pt idx="8">
                  <c:v>4696</c:v>
                </c:pt>
                <c:pt idx="9">
                  <c:v>736</c:v>
                </c:pt>
                <c:pt idx="10">
                  <c:v>2206</c:v>
                </c:pt>
                <c:pt idx="11">
                  <c:v>2407</c:v>
                </c:pt>
                <c:pt idx="12">
                  <c:v>16210</c:v>
                </c:pt>
                <c:pt idx="13">
                  <c:v>5387</c:v>
                </c:pt>
                <c:pt idx="14">
                  <c:v>4609</c:v>
                </c:pt>
                <c:pt idx="15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7-431B-8500-E3B9DB2D0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88%</c:v>
                </c:pt>
                <c:pt idx="4">
                  <c:v>100%</c:v>
                </c:pt>
                <c:pt idx="5">
                  <c:v>75%</c:v>
                </c:pt>
                <c:pt idx="6">
                  <c:v>0%</c:v>
                </c:pt>
                <c:pt idx="7">
                  <c:v>17%</c:v>
                </c:pt>
                <c:pt idx="8">
                  <c:v>100%</c:v>
                </c:pt>
                <c:pt idx="9">
                  <c:v>25%</c:v>
                </c:pt>
                <c:pt idx="10">
                  <c:v>25%</c:v>
                </c:pt>
                <c:pt idx="11">
                  <c:v>71%</c:v>
                </c:pt>
                <c:pt idx="12">
                  <c:v>100%</c:v>
                </c:pt>
                <c:pt idx="13">
                  <c:v>100%</c:v>
                </c:pt>
                <c:pt idx="14">
                  <c:v>92%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HINGE/LOCKER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</c:strCache>
            </c:strRef>
          </c:cat>
          <c:val>
            <c:numRef>
              <c:f>'28'!$AD$6:$AD$21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1</c:v>
                </c:pt>
                <c:pt idx="5">
                  <c:v>0.75</c:v>
                </c:pt>
                <c:pt idx="6">
                  <c:v>0</c:v>
                </c:pt>
                <c:pt idx="7">
                  <c:v>0.16666666666666666</c:v>
                </c:pt>
                <c:pt idx="8">
                  <c:v>1</c:v>
                </c:pt>
                <c:pt idx="9">
                  <c:v>0.25</c:v>
                </c:pt>
                <c:pt idx="10">
                  <c:v>0.25</c:v>
                </c:pt>
                <c:pt idx="11">
                  <c:v>0.70833333333333337</c:v>
                </c:pt>
                <c:pt idx="12">
                  <c:v>1</c:v>
                </c:pt>
                <c:pt idx="13">
                  <c:v>1</c:v>
                </c:pt>
                <c:pt idx="14">
                  <c:v>0.91666666666666663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B-4B9D-BFF5-501570132B1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3B-4B9D-BFF5-501570132B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HINGE/LOCKER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</c:strCache>
            </c:strRef>
          </c:cat>
          <c:val>
            <c:numRef>
              <c:f>'28'!$AE$6:$AE$21</c:f>
              <c:numCache>
                <c:formatCode>0%</c:formatCode>
                <c:ptCount val="16"/>
                <c:pt idx="0">
                  <c:v>0.52777777777777779</c:v>
                </c:pt>
                <c:pt idx="1">
                  <c:v>0.52777777777777779</c:v>
                </c:pt>
                <c:pt idx="2">
                  <c:v>0.52777777777777779</c:v>
                </c:pt>
                <c:pt idx="3">
                  <c:v>0.52777777777777779</c:v>
                </c:pt>
                <c:pt idx="4">
                  <c:v>0.52777777777777779</c:v>
                </c:pt>
                <c:pt idx="5">
                  <c:v>0.52777777777777779</c:v>
                </c:pt>
                <c:pt idx="6">
                  <c:v>0.52777777777777779</c:v>
                </c:pt>
                <c:pt idx="7">
                  <c:v>0.52777777777777779</c:v>
                </c:pt>
                <c:pt idx="8">
                  <c:v>0.52777777777777779</c:v>
                </c:pt>
                <c:pt idx="9">
                  <c:v>0.52777777777777779</c:v>
                </c:pt>
                <c:pt idx="10">
                  <c:v>0.52777777777777779</c:v>
                </c:pt>
                <c:pt idx="11">
                  <c:v>0.52777777777777779</c:v>
                </c:pt>
                <c:pt idx="12">
                  <c:v>0.52777777777777779</c:v>
                </c:pt>
                <c:pt idx="13">
                  <c:v>0.52777777777777779</c:v>
                </c:pt>
                <c:pt idx="14">
                  <c:v>0.52777777777777779</c:v>
                </c:pt>
                <c:pt idx="15">
                  <c:v>0.52777777777777779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B-4B9D-BFF5-50157013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HINGE/LOCKER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</c:strCache>
            </c:strRef>
          </c:cat>
          <c:val>
            <c:numRef>
              <c:f>'28'!$L$6:$L$21</c:f>
              <c:numCache>
                <c:formatCode>_(* #,##0_);_(* \(#,##0\);_(* "-"_);_(@_)</c:formatCode>
                <c:ptCount val="16"/>
                <c:pt idx="3">
                  <c:v>4378</c:v>
                </c:pt>
                <c:pt idx="4">
                  <c:v>6237</c:v>
                </c:pt>
                <c:pt idx="5">
                  <c:v>3690</c:v>
                </c:pt>
                <c:pt idx="7">
                  <c:v>180</c:v>
                </c:pt>
                <c:pt idx="8">
                  <c:v>4696</c:v>
                </c:pt>
                <c:pt idx="9">
                  <c:v>736</c:v>
                </c:pt>
                <c:pt idx="10">
                  <c:v>2206</c:v>
                </c:pt>
                <c:pt idx="11">
                  <c:v>2407</c:v>
                </c:pt>
                <c:pt idx="12">
                  <c:v>16210</c:v>
                </c:pt>
                <c:pt idx="13">
                  <c:v>5387</c:v>
                </c:pt>
                <c:pt idx="14">
                  <c:v>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3-40CC-9413-01BF458F64AA}"/>
            </c:ext>
          </c:extLst>
        </c:ser>
        <c:ser>
          <c:idx val="1"/>
          <c:order val="1"/>
          <c:tx>
            <c:v>계획</c:v>
          </c:tx>
          <c:cat>
            <c:strRef>
              <c:f>'28'!$D$6:$D$21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HINGE/LOCKER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</c:strCache>
            </c:strRef>
          </c:cat>
          <c:val>
            <c:numRef>
              <c:f>'28'!$J$6:$J$21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4378</c:v>
                </c:pt>
                <c:pt idx="4">
                  <c:v>6237</c:v>
                </c:pt>
                <c:pt idx="5">
                  <c:v>3690</c:v>
                </c:pt>
                <c:pt idx="6">
                  <c:v>3010</c:v>
                </c:pt>
                <c:pt idx="7">
                  <c:v>180</c:v>
                </c:pt>
                <c:pt idx="8">
                  <c:v>4696</c:v>
                </c:pt>
                <c:pt idx="9">
                  <c:v>736</c:v>
                </c:pt>
                <c:pt idx="10">
                  <c:v>2206</c:v>
                </c:pt>
                <c:pt idx="11">
                  <c:v>2407</c:v>
                </c:pt>
                <c:pt idx="12">
                  <c:v>16210</c:v>
                </c:pt>
                <c:pt idx="13">
                  <c:v>5387</c:v>
                </c:pt>
                <c:pt idx="14">
                  <c:v>4609</c:v>
                </c:pt>
                <c:pt idx="15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3-40CC-9413-01BF458F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88%</c:v>
                </c:pt>
                <c:pt idx="4">
                  <c:v>100%</c:v>
                </c:pt>
                <c:pt idx="5">
                  <c:v>75%</c:v>
                </c:pt>
                <c:pt idx="6">
                  <c:v>0%</c:v>
                </c:pt>
                <c:pt idx="7">
                  <c:v>17%</c:v>
                </c:pt>
                <c:pt idx="8">
                  <c:v>100%</c:v>
                </c:pt>
                <c:pt idx="9">
                  <c:v>25%</c:v>
                </c:pt>
                <c:pt idx="10">
                  <c:v>25%</c:v>
                </c:pt>
                <c:pt idx="11">
                  <c:v>71%</c:v>
                </c:pt>
                <c:pt idx="12">
                  <c:v>100%</c:v>
                </c:pt>
                <c:pt idx="13">
                  <c:v>100%</c:v>
                </c:pt>
                <c:pt idx="14">
                  <c:v>92%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HINGE/LOCKER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</c:strCache>
            </c:strRef>
          </c:cat>
          <c:val>
            <c:numRef>
              <c:f>'28'!$AD$6:$AD$21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1</c:v>
                </c:pt>
                <c:pt idx="5">
                  <c:v>0.75</c:v>
                </c:pt>
                <c:pt idx="6">
                  <c:v>0</c:v>
                </c:pt>
                <c:pt idx="7">
                  <c:v>0.16666666666666666</c:v>
                </c:pt>
                <c:pt idx="8">
                  <c:v>1</c:v>
                </c:pt>
                <c:pt idx="9">
                  <c:v>0.25</c:v>
                </c:pt>
                <c:pt idx="10">
                  <c:v>0.25</c:v>
                </c:pt>
                <c:pt idx="11">
                  <c:v>0.70833333333333337</c:v>
                </c:pt>
                <c:pt idx="12">
                  <c:v>1</c:v>
                </c:pt>
                <c:pt idx="13">
                  <c:v>1</c:v>
                </c:pt>
                <c:pt idx="14">
                  <c:v>0.91666666666666663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078-8377-612E10B1059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58-4078-8377-612E10B105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4LEAD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HINGE/LOCKER</c:v>
                </c:pt>
                <c:pt idx="12">
                  <c:v>PLATE</c:v>
                </c:pt>
                <c:pt idx="13">
                  <c:v>BOTTOM</c:v>
                </c:pt>
                <c:pt idx="14">
                  <c:v>BASE</c:v>
                </c:pt>
              </c:strCache>
            </c:strRef>
          </c:cat>
          <c:val>
            <c:numRef>
              <c:f>'28'!$AE$6:$AE$21</c:f>
              <c:numCache>
                <c:formatCode>0%</c:formatCode>
                <c:ptCount val="16"/>
                <c:pt idx="0">
                  <c:v>0.52777777777777779</c:v>
                </c:pt>
                <c:pt idx="1">
                  <c:v>0.52777777777777779</c:v>
                </c:pt>
                <c:pt idx="2">
                  <c:v>0.52777777777777779</c:v>
                </c:pt>
                <c:pt idx="3">
                  <c:v>0.52777777777777779</c:v>
                </c:pt>
                <c:pt idx="4">
                  <c:v>0.52777777777777779</c:v>
                </c:pt>
                <c:pt idx="5">
                  <c:v>0.52777777777777779</c:v>
                </c:pt>
                <c:pt idx="6">
                  <c:v>0.52777777777777779</c:v>
                </c:pt>
                <c:pt idx="7">
                  <c:v>0.52777777777777779</c:v>
                </c:pt>
                <c:pt idx="8">
                  <c:v>0.52777777777777779</c:v>
                </c:pt>
                <c:pt idx="9">
                  <c:v>0.52777777777777779</c:v>
                </c:pt>
                <c:pt idx="10">
                  <c:v>0.52777777777777779</c:v>
                </c:pt>
                <c:pt idx="11">
                  <c:v>0.52777777777777779</c:v>
                </c:pt>
                <c:pt idx="12">
                  <c:v>0.52777777777777779</c:v>
                </c:pt>
                <c:pt idx="13">
                  <c:v>0.52777777777777779</c:v>
                </c:pt>
                <c:pt idx="14">
                  <c:v>0.52777777777777779</c:v>
                </c:pt>
                <c:pt idx="15">
                  <c:v>0.52777777777777779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8-4078-8377-612E10B1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B02-4999-B059-CAE86C034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0">
                  <c:v>0.2638888888888889</c:v>
                </c:pt>
                <c:pt idx="11">
                  <c:v>0.32589717046238786</c:v>
                </c:pt>
                <c:pt idx="12">
                  <c:v>0.31944444444444442</c:v>
                </c:pt>
                <c:pt idx="13">
                  <c:v>0.17777777777777776</c:v>
                </c:pt>
                <c:pt idx="14">
                  <c:v>0.2722222222222222</c:v>
                </c:pt>
                <c:pt idx="17">
                  <c:v>0.34463702445010858</c:v>
                </c:pt>
                <c:pt idx="18">
                  <c:v>0.37222222222222229</c:v>
                </c:pt>
                <c:pt idx="19">
                  <c:v>0.48888888888888893</c:v>
                </c:pt>
                <c:pt idx="20">
                  <c:v>0.36944444444444441</c:v>
                </c:pt>
                <c:pt idx="21">
                  <c:v>0.6</c:v>
                </c:pt>
                <c:pt idx="24">
                  <c:v>0.50555555555555554</c:v>
                </c:pt>
                <c:pt idx="25">
                  <c:v>0.45277777777777778</c:v>
                </c:pt>
                <c:pt idx="26">
                  <c:v>0.45277777777777778</c:v>
                </c:pt>
                <c:pt idx="27">
                  <c:v>0.52777777777777779</c:v>
                </c:pt>
                <c:pt idx="31">
                  <c:v>0.19547542759608119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999-B059-CAE86C03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02-4999-B059-CAE86C0349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2-4999-B059-CAE86C03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'11'!$D$6:$D$22</c:f>
              <c:strCache>
                <c:ptCount val="16"/>
                <c:pt idx="5">
                  <c:v>ACTUATOR</c:v>
                </c:pt>
                <c:pt idx="6">
                  <c:v>STOPPER</c:v>
                </c:pt>
                <c:pt idx="7">
                  <c:v>TOP/BOTTOM</c:v>
                </c:pt>
                <c:pt idx="10">
                  <c:v>BODY</c:v>
                </c:pt>
                <c:pt idx="11">
                  <c:v>ADAPTER</c:v>
                </c:pt>
                <c:pt idx="12">
                  <c:v>FLOATING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'11'!$L$6:$L$22</c:f>
              <c:numCache>
                <c:formatCode>_(* #,##0_);_(* \(#,##0\);_(* "-"_);_(@_)</c:formatCode>
                <c:ptCount val="17"/>
                <c:pt idx="5">
                  <c:v>475</c:v>
                </c:pt>
                <c:pt idx="6">
                  <c:v>473</c:v>
                </c:pt>
                <c:pt idx="7">
                  <c:v>3864</c:v>
                </c:pt>
                <c:pt idx="10">
                  <c:v>4347</c:v>
                </c:pt>
                <c:pt idx="11">
                  <c:v>660</c:v>
                </c:pt>
                <c:pt idx="12">
                  <c:v>3195</c:v>
                </c:pt>
                <c:pt idx="13">
                  <c:v>445</c:v>
                </c:pt>
                <c:pt idx="14">
                  <c:v>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E-4E30-AA13-C72260A89724}"/>
            </c:ext>
          </c:extLst>
        </c:ser>
        <c:ser>
          <c:idx val="1"/>
          <c:order val="1"/>
          <c:tx>
            <c:v>계획</c:v>
          </c:tx>
          <c:cat>
            <c:strRef>
              <c:f>'11'!$D$6:$D$22</c:f>
              <c:strCache>
                <c:ptCount val="16"/>
                <c:pt idx="5">
                  <c:v>ACTUATOR</c:v>
                </c:pt>
                <c:pt idx="6">
                  <c:v>STOPPER</c:v>
                </c:pt>
                <c:pt idx="7">
                  <c:v>TOP/BOTTOM</c:v>
                </c:pt>
                <c:pt idx="10">
                  <c:v>BODY</c:v>
                </c:pt>
                <c:pt idx="11">
                  <c:v>ADAPTER</c:v>
                </c:pt>
                <c:pt idx="12">
                  <c:v>FLOATING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'11'!$J$6:$J$22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475</c:v>
                </c:pt>
                <c:pt idx="6">
                  <c:v>473</c:v>
                </c:pt>
                <c:pt idx="7">
                  <c:v>3864</c:v>
                </c:pt>
                <c:pt idx="8">
                  <c:v>0</c:v>
                </c:pt>
                <c:pt idx="9">
                  <c:v>0</c:v>
                </c:pt>
                <c:pt idx="10">
                  <c:v>4347</c:v>
                </c:pt>
                <c:pt idx="11">
                  <c:v>660</c:v>
                </c:pt>
                <c:pt idx="12">
                  <c:v>3195</c:v>
                </c:pt>
                <c:pt idx="13">
                  <c:v>445</c:v>
                </c:pt>
                <c:pt idx="14">
                  <c:v>3708</c:v>
                </c:pt>
                <c:pt idx="15">
                  <c:v>17176</c:v>
                </c:pt>
                <c:pt idx="16">
                  <c:v>82568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E-4E30-AA13-C72260A8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17%</c:v>
                </c:pt>
                <c:pt idx="6">
                  <c:v>17%</c:v>
                </c:pt>
                <c:pt idx="7">
                  <c:v>83%</c:v>
                </c:pt>
                <c:pt idx="8">
                  <c:v>0%</c:v>
                </c:pt>
                <c:pt idx="9">
                  <c:v>0%</c:v>
                </c:pt>
                <c:pt idx="10">
                  <c:v>96%</c:v>
                </c:pt>
                <c:pt idx="11">
                  <c:v>17%</c:v>
                </c:pt>
                <c:pt idx="12">
                  <c:v>75%</c:v>
                </c:pt>
                <c:pt idx="13">
                  <c:v>17%</c:v>
                </c:pt>
                <c:pt idx="14">
                  <c:v>75%</c:v>
                </c:pt>
                <c:pt idx="15">
                  <c:v>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'11'!$D$6:$D$22</c:f>
              <c:strCache>
                <c:ptCount val="16"/>
                <c:pt idx="5">
                  <c:v>ACTUATOR</c:v>
                </c:pt>
                <c:pt idx="6">
                  <c:v>STOPPER</c:v>
                </c:pt>
                <c:pt idx="7">
                  <c:v>TOP/BOTTOM</c:v>
                </c:pt>
                <c:pt idx="10">
                  <c:v>BODY</c:v>
                </c:pt>
                <c:pt idx="11">
                  <c:v>ADAPTER</c:v>
                </c:pt>
                <c:pt idx="12">
                  <c:v>FLOATING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'11'!$AD$6:$AD$22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0.83333333333333337</c:v>
                </c:pt>
                <c:pt idx="8">
                  <c:v>0</c:v>
                </c:pt>
                <c:pt idx="9">
                  <c:v>0</c:v>
                </c:pt>
                <c:pt idx="10">
                  <c:v>0.95833333333333337</c:v>
                </c:pt>
                <c:pt idx="11">
                  <c:v>0.16666666666666666</c:v>
                </c:pt>
                <c:pt idx="12">
                  <c:v>0.75</c:v>
                </c:pt>
                <c:pt idx="13">
                  <c:v>0.16666666666666666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A-489C-98B6-6D42C39B7E5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A-489C-98B6-6D42C39B7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'11'!$D$6:$D$22</c:f>
              <c:strCache>
                <c:ptCount val="16"/>
                <c:pt idx="5">
                  <c:v>ACTUATOR</c:v>
                </c:pt>
                <c:pt idx="6">
                  <c:v>STOPPER</c:v>
                </c:pt>
                <c:pt idx="7">
                  <c:v>TOP/BOTTOM</c:v>
                </c:pt>
                <c:pt idx="10">
                  <c:v>BODY</c:v>
                </c:pt>
                <c:pt idx="11">
                  <c:v>ADAPTER</c:v>
                </c:pt>
                <c:pt idx="12">
                  <c:v>FLOATING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'11'!$AE$6:$AE$22</c:f>
              <c:numCache>
                <c:formatCode>0%</c:formatCode>
                <c:ptCount val="17"/>
                <c:pt idx="0">
                  <c:v>0.2638888888888889</c:v>
                </c:pt>
                <c:pt idx="1">
                  <c:v>0.2638888888888889</c:v>
                </c:pt>
                <c:pt idx="2">
                  <c:v>0.2638888888888889</c:v>
                </c:pt>
                <c:pt idx="3">
                  <c:v>0.2638888888888889</c:v>
                </c:pt>
                <c:pt idx="4">
                  <c:v>0.2638888888888889</c:v>
                </c:pt>
                <c:pt idx="5">
                  <c:v>0.2638888888888889</c:v>
                </c:pt>
                <c:pt idx="6">
                  <c:v>0.2638888888888889</c:v>
                </c:pt>
                <c:pt idx="7">
                  <c:v>0.2638888888888889</c:v>
                </c:pt>
                <c:pt idx="8">
                  <c:v>0.2638888888888889</c:v>
                </c:pt>
                <c:pt idx="9">
                  <c:v>0.2638888888888889</c:v>
                </c:pt>
                <c:pt idx="10">
                  <c:v>0.2638888888888889</c:v>
                </c:pt>
                <c:pt idx="11">
                  <c:v>0.2638888888888889</c:v>
                </c:pt>
                <c:pt idx="12">
                  <c:v>0.2638888888888889</c:v>
                </c:pt>
                <c:pt idx="13">
                  <c:v>0.2638888888888889</c:v>
                </c:pt>
                <c:pt idx="14">
                  <c:v>0.2638888888888889</c:v>
                </c:pt>
                <c:pt idx="15">
                  <c:v>0.2638888888888889</c:v>
                </c:pt>
                <c:pt idx="16">
                  <c:v>0.2638888888888889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A-489C-98B6-6D42C39B7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79F89D-65C0-472F-B831-FC170DCEB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FD1260E-56D9-4EE6-9281-A4BE1234E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23E47FF-A26C-4AE7-9325-15CC7DDD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ED3D74D-B90B-4A21-9643-BD8577C1B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D62ACA9-F6DD-4F40-B87B-32822688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52494DA-AB4C-455A-8260-A059991E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193934D-B3CD-4D9D-8AC0-86F9D795E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9E0900-B406-478F-B2A5-2192CD794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F68AA1-37FD-4A4E-B9D4-9A51A4264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DDEAB76-4349-4B14-A6E9-FF6ADB15A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DC6B207-F694-4AFE-A7DA-7419DA385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999029A-E660-4E0B-A019-BBF4420E5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229D88E-6B60-44BD-93BD-42A6FB0F5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02DCFE-BA60-4EE1-A0C1-23C967BDB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2716ACE-A3F4-456C-8654-60629E0EE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4CCB39-6BA9-4641-BAC4-A9EB823DF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BB8A009-B504-4D60-ACBE-063A53F0A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B1FA490-6181-4BA3-8EF1-0647348A9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359763F-F7E6-4EFC-8BF4-1546447F4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573A32F-FFBE-4D87-A56B-30BE10D5F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0170044-9CCD-45E9-A1F7-1755B9D8F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91097E-E4FE-46C7-B0B9-4078A3270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6BF69F-8911-4D05-BBB9-AC850ABE7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BB2FE9E-A989-4687-BA31-D82629788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D06A5FF-F772-480B-A035-E5595185D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F8E583D-7A54-4A94-8C67-E12D99D9D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017DDD2-7584-4815-9FCF-3C4CE9359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D42CFC0-DF21-4B28-A917-E1FEB1A2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8F7910-210C-43D9-950D-C792D2FC6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22B45B-47ED-4402-AC6C-0EF53F665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35AD9D8-A21C-4C14-B1E9-CD6F7DE1E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773A80-A1A8-4440-84A5-472F28EC1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7D69A7B-D8D8-49F9-A21E-7724241E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7583341-48FB-4703-9307-014887CDD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B72586B-20F2-47AB-808B-594C758EF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E7FE84A-24A0-4D53-B80D-B5A2CCA65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9A49635-E2AA-4FCB-9B70-6825D50F6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4307178-8B65-44A0-8D8A-FD8E0814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5215F98-9216-4160-8BB2-FCD11B5C8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86E041-47D4-4F38-A312-9A10682E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055A127-034B-49E3-9319-FC7E43B4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D9E4B9C-6962-4291-8051-B0EE1971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436562</xdr:colOff>
      <xdr:row>50</xdr:row>
      <xdr:rowOff>264583</xdr:rowOff>
    </xdr:from>
    <xdr:to>
      <xdr:col>9</xdr:col>
      <xdr:colOff>1111250</xdr:colOff>
      <xdr:row>54</xdr:row>
      <xdr:rowOff>66146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D5F0C1B-CF94-44CF-97F7-95D1AED5FE66}"/>
            </a:ext>
          </a:extLst>
        </xdr:cNvPr>
        <xdr:cNvSpPr txBox="1"/>
      </xdr:nvSpPr>
      <xdr:spPr>
        <a:xfrm>
          <a:off x="1905000" y="15901458"/>
          <a:ext cx="6879167" cy="117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2000"/>
            <a:t>4</a:t>
          </a:r>
          <a:r>
            <a:rPr lang="ko-KR" altLang="en-US" sz="2000"/>
            <a:t>호기  </a:t>
          </a:r>
          <a:r>
            <a:rPr lang="en-US" altLang="ko-KR" sz="2000"/>
            <a:t>AMB0167A-KAA-R1 </a:t>
          </a:r>
          <a:r>
            <a:rPr lang="ko-KR" altLang="en-US" sz="2000"/>
            <a:t>셈플작업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3CD78C-3B8A-4F11-A815-F50CC30A0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103D6D6-2A0B-4C90-B976-C0469F2F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21F57D9-F2ED-48E9-B7C2-953426A6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E52EDF7-F485-4EB5-AA29-078CC3E96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C496E46-AF85-46F8-8D64-F6526226E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B6D7085-8253-48D6-88CD-5E617B68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8D4EBFF-0614-4533-B9CA-0D3BC61B3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C0EDD8-8D43-4739-81E7-D60CFBD1E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CABEE34-E8E0-4580-92C7-FA1A58F60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25BE7EE-E13E-44BD-A62F-074C68A9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3FC5CD3-0112-47DE-B7D8-15F31FADD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6CCBDB4-AF95-4D41-A98A-B07D5EC49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7A07C09-9A60-4EA1-8F0A-E6F5EE32E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7CEAF0F-9584-481A-852B-2E23505DC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A95DAF-6306-4A0F-AA3D-8891B83B9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022EFA-9558-4FD6-AA17-782B72C5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CF8BECA-A15A-4F71-98FF-68213E7BD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D9275F3-E093-4B39-B255-B2C884C23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3964DD5-C07C-4C00-B501-59CC0677C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D639A02-50E7-4671-BA8C-9E1A09788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07A3DD9-B312-4EB5-99B9-80D03643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18CC1A-CAC7-4ABF-9B3B-8F24BBA72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D942C0-1C72-41BB-898A-B5F68C94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788AC97-D301-4FD4-B14F-CD57CCA34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52081F3-CB3E-4FFB-9AD6-BB29EF915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A71319F-1B16-4838-B575-B98D0C918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E70DCD1-7B73-4880-AA7D-1FA52A4DD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F92C0C-5A2B-4600-869C-D92BE8020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082AD0-D9E3-44B4-A223-3FBAFBAB0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378DF8E-DAA6-4180-9CCB-46E01AB36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D97FD48-E706-4C8C-AF43-DE11FA470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D19506E-A6EC-419F-B570-FB166D62D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89F824B-6C2C-44DC-B2BC-91A561AC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1A378A9-80C1-4257-ABA2-CC2DCEAFC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2001EE2-2474-4EB9-9679-66A87965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35D17E-AEBB-447E-8E5E-B01BD82A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C22A2A-30A7-4394-BCA2-D9AA517B8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7132CF2-D214-4815-A03F-C1B7ADD26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9C64F8-18B6-44AD-B2DC-DA07CED6F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C765BBE-B316-4F0A-8F8A-999A29391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AEB26A5-17E9-45E3-BA36-B6264D540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282CABA-969E-492F-AEC5-BC37BD0CC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23021C-9DCC-4865-900D-4AA12E9A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CD40DF8-E54C-4E12-9B4F-A17223A54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AB6C034-EDBD-447D-9D6D-BED9FDBA0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443DC9F-E749-4465-9DCE-BAFB8BF50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C3599CC-3B9B-4DF8-9CF6-05DA6E5C9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9432460-1AF6-489C-8025-93E84B9BE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B6C6075-0B3A-4961-BA0E-452DFDFB9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008907-74CF-4BD9-B7A2-AF624F19F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7BE280-1859-4F24-BECB-DAA753178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525DE4D-05DC-4703-80FB-0D593878D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152EC6D-F35B-4D2F-866F-C726BBDC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7197BB3-BF85-434D-85B0-079A86AFA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31909F9-7101-4272-95F1-6BA0486FA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40AED49-CAC6-412B-BBC8-43FFD884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AA7240-5763-4CC2-8B51-65C4BFBBB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DF37C9-61B9-4AF7-8358-09F91A11D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791B6FE-6977-43AE-A851-F99C0311A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878A9AC-6695-4146-BBB6-BBE54C962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0A188F4-7DDB-434A-972A-93DFD68D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E6CB9B1-8DD1-47AD-8DAB-CD59FB9E5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091B79-910B-4A89-8E8C-6E9379216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12" sqref="AE12"/>
    </sheetView>
  </sheetViews>
  <sheetFormatPr defaultRowHeight="13.5"/>
  <cols>
    <col min="1" max="1" width="7.5" style="74" bestFit="1" customWidth="1"/>
    <col min="2" max="17" width="5.5" style="74" bestFit="1" customWidth="1"/>
    <col min="18" max="18" width="6" style="74" customWidth="1"/>
    <col min="19" max="33" width="5.5" style="74" bestFit="1" customWidth="1"/>
    <col min="34" max="16384" width="9" style="74"/>
  </cols>
  <sheetData>
    <row r="1" spans="1:33" ht="33.75" customHeight="1" thickBot="1">
      <c r="A1" s="297" t="s">
        <v>161</v>
      </c>
      <c r="B1" s="297"/>
      <c r="C1" s="297"/>
      <c r="D1" s="297"/>
      <c r="E1" s="297"/>
      <c r="F1" s="297"/>
      <c r="G1" s="297"/>
      <c r="H1" s="297"/>
    </row>
    <row r="2" spans="1:33" ht="21.75" customHeight="1" thickBot="1">
      <c r="A2" s="95" t="s">
        <v>59</v>
      </c>
      <c r="B2" s="97" t="s">
        <v>74</v>
      </c>
      <c r="C2" s="98" t="s">
        <v>75</v>
      </c>
      <c r="D2" s="98" t="s">
        <v>76</v>
      </c>
      <c r="E2" s="98" t="s">
        <v>77</v>
      </c>
      <c r="F2" s="98" t="s">
        <v>78</v>
      </c>
      <c r="G2" s="98" t="s">
        <v>79</v>
      </c>
      <c r="H2" s="98" t="s">
        <v>80</v>
      </c>
      <c r="I2" s="98" t="s">
        <v>81</v>
      </c>
      <c r="J2" s="98" t="s">
        <v>82</v>
      </c>
      <c r="K2" s="98" t="s">
        <v>83</v>
      </c>
      <c r="L2" s="98" t="s">
        <v>84</v>
      </c>
      <c r="M2" s="98" t="s">
        <v>85</v>
      </c>
      <c r="N2" s="98" t="s">
        <v>86</v>
      </c>
      <c r="O2" s="98" t="s">
        <v>87</v>
      </c>
      <c r="P2" s="98" t="s">
        <v>88</v>
      </c>
      <c r="Q2" s="98" t="s">
        <v>89</v>
      </c>
      <c r="R2" s="98" t="s">
        <v>90</v>
      </c>
      <c r="S2" s="98" t="s">
        <v>91</v>
      </c>
      <c r="T2" s="98" t="s">
        <v>92</v>
      </c>
      <c r="U2" s="98" t="s">
        <v>93</v>
      </c>
      <c r="V2" s="98" t="s">
        <v>94</v>
      </c>
      <c r="W2" s="98" t="s">
        <v>95</v>
      </c>
      <c r="X2" s="98" t="s">
        <v>96</v>
      </c>
      <c r="Y2" s="98" t="s">
        <v>97</v>
      </c>
      <c r="Z2" s="98" t="s">
        <v>98</v>
      </c>
      <c r="AA2" s="98" t="s">
        <v>99</v>
      </c>
      <c r="AB2" s="98" t="s">
        <v>100</v>
      </c>
      <c r="AC2" s="98" t="s">
        <v>101</v>
      </c>
      <c r="AD2" s="98" t="s">
        <v>102</v>
      </c>
      <c r="AE2" s="98" t="s">
        <v>103</v>
      </c>
      <c r="AF2" s="99" t="s">
        <v>104</v>
      </c>
      <c r="AG2" s="95" t="s">
        <v>106</v>
      </c>
    </row>
    <row r="3" spans="1:33" ht="21.75" customHeight="1">
      <c r="A3" s="115" t="s">
        <v>60</v>
      </c>
      <c r="B3" s="110"/>
      <c r="C3" s="110"/>
      <c r="D3" s="103"/>
      <c r="E3" s="103"/>
      <c r="F3" s="103"/>
      <c r="G3" s="103"/>
      <c r="H3" s="103"/>
      <c r="I3" s="103"/>
      <c r="J3" s="103"/>
      <c r="K3" s="103"/>
      <c r="L3" s="103">
        <f>'11'!AD6</f>
        <v>0</v>
      </c>
      <c r="M3" s="103">
        <f>'12'!AD6</f>
        <v>0</v>
      </c>
      <c r="N3" s="121">
        <f>'13'!AD6</f>
        <v>0</v>
      </c>
      <c r="O3" s="103">
        <f>'14'!AD6</f>
        <v>0</v>
      </c>
      <c r="P3" s="103">
        <f>'15'!AD6</f>
        <v>0</v>
      </c>
      <c r="Q3" s="103"/>
      <c r="R3" s="103"/>
      <c r="S3" s="103">
        <f>'18'!AD6</f>
        <v>0</v>
      </c>
      <c r="T3" s="103">
        <f>'19'!AD6</f>
        <v>0</v>
      </c>
      <c r="U3" s="103">
        <f>'20'!AD6</f>
        <v>0</v>
      </c>
      <c r="V3" s="103">
        <f>'21'!AD6</f>
        <v>0</v>
      </c>
      <c r="W3" s="121">
        <f>'22'!AD6</f>
        <v>0</v>
      </c>
      <c r="X3" s="103"/>
      <c r="Y3" s="103"/>
      <c r="Z3" s="103">
        <f>'25'!AD6</f>
        <v>0</v>
      </c>
      <c r="AA3" s="103">
        <f>'26'!AD6</f>
        <v>0</v>
      </c>
      <c r="AB3" s="103">
        <f>'27'!AD6</f>
        <v>0</v>
      </c>
      <c r="AC3" s="103">
        <f>'28'!AD6</f>
        <v>0</v>
      </c>
      <c r="AD3" s="103"/>
      <c r="AE3" s="103"/>
      <c r="AF3" s="104"/>
      <c r="AG3" s="106">
        <f>SUM(B3:AF3)/28</f>
        <v>0</v>
      </c>
    </row>
    <row r="4" spans="1:33" ht="21.75" customHeight="1">
      <c r="A4" s="116" t="s">
        <v>61</v>
      </c>
      <c r="B4" s="111"/>
      <c r="C4" s="111"/>
      <c r="D4" s="80"/>
      <c r="E4" s="80"/>
      <c r="F4" s="80"/>
      <c r="G4" s="80"/>
      <c r="H4" s="80"/>
      <c r="I4" s="80"/>
      <c r="J4" s="80"/>
      <c r="K4" s="80"/>
      <c r="L4" s="80">
        <f>'11'!AD7</f>
        <v>0</v>
      </c>
      <c r="M4" s="80">
        <f>'12'!AD7</f>
        <v>0</v>
      </c>
      <c r="N4" s="80">
        <f>'13'!AD7</f>
        <v>0</v>
      </c>
      <c r="O4" s="80">
        <f>'14'!AD7</f>
        <v>0</v>
      </c>
      <c r="P4" s="80">
        <f>'15'!AD7</f>
        <v>0</v>
      </c>
      <c r="Q4" s="80"/>
      <c r="R4" s="80"/>
      <c r="S4" s="80">
        <f>'18'!AD7</f>
        <v>0</v>
      </c>
      <c r="T4" s="80">
        <f>'19'!AD7</f>
        <v>0</v>
      </c>
      <c r="U4" s="80">
        <f>'20'!AD7</f>
        <v>0</v>
      </c>
      <c r="V4" s="80">
        <f>'21'!AD7</f>
        <v>0</v>
      </c>
      <c r="W4" s="80">
        <f>'22'!AD7</f>
        <v>0</v>
      </c>
      <c r="X4" s="80"/>
      <c r="Y4" s="80"/>
      <c r="Z4" s="80">
        <f>'25'!AD7</f>
        <v>0</v>
      </c>
      <c r="AA4" s="80">
        <f>'26'!AD7</f>
        <v>0</v>
      </c>
      <c r="AB4" s="80">
        <f>'27'!AD7</f>
        <v>0</v>
      </c>
      <c r="AC4" s="80">
        <f>'28'!AD7</f>
        <v>0</v>
      </c>
      <c r="AD4" s="80"/>
      <c r="AE4" s="80"/>
      <c r="AF4" s="81"/>
      <c r="AG4" s="82">
        <f t="shared" ref="AG4:AG18" si="0">SUM(B4:AF4)/28</f>
        <v>0</v>
      </c>
    </row>
    <row r="5" spans="1:33" ht="21.75" customHeight="1">
      <c r="A5" s="117" t="s">
        <v>62</v>
      </c>
      <c r="B5" s="112"/>
      <c r="C5" s="112"/>
      <c r="D5" s="83"/>
      <c r="E5" s="83"/>
      <c r="F5" s="83"/>
      <c r="G5" s="83"/>
      <c r="H5" s="83"/>
      <c r="I5" s="83"/>
      <c r="J5" s="83"/>
      <c r="K5" s="83"/>
      <c r="L5" s="83">
        <f>'11'!AD8</f>
        <v>0</v>
      </c>
      <c r="M5" s="83">
        <f>'12'!AD8</f>
        <v>0</v>
      </c>
      <c r="N5" s="83">
        <f>'13'!AD8</f>
        <v>0</v>
      </c>
      <c r="O5" s="83">
        <f>'14'!AD8</f>
        <v>0</v>
      </c>
      <c r="P5" s="83">
        <f>'15'!AD8</f>
        <v>0.625</v>
      </c>
      <c r="Q5" s="83"/>
      <c r="R5" s="83"/>
      <c r="S5" s="83">
        <f>'18'!AD8</f>
        <v>1</v>
      </c>
      <c r="T5" s="83">
        <f>'19'!AD8+'19'!AD9</f>
        <v>0.875</v>
      </c>
      <c r="U5" s="83">
        <f>'20'!AD8</f>
        <v>0.33333333333333331</v>
      </c>
      <c r="V5" s="83">
        <f>'21'!AD8</f>
        <v>0</v>
      </c>
      <c r="W5" s="122">
        <f>'22'!AD8</f>
        <v>0</v>
      </c>
      <c r="X5" s="83"/>
      <c r="Y5" s="83"/>
      <c r="Z5" s="83">
        <f>'25'!AD8</f>
        <v>0</v>
      </c>
      <c r="AA5" s="83">
        <f>'26'!AD8</f>
        <v>0</v>
      </c>
      <c r="AB5" s="83">
        <f>'27'!AD8</f>
        <v>0</v>
      </c>
      <c r="AC5" s="83">
        <f>'28'!AD8</f>
        <v>0</v>
      </c>
      <c r="AD5" s="83"/>
      <c r="AE5" s="83"/>
      <c r="AF5" s="84"/>
      <c r="AG5" s="85">
        <f t="shared" si="0"/>
        <v>0.10119047619047619</v>
      </c>
    </row>
    <row r="6" spans="1:33" ht="21.75" customHeight="1">
      <c r="A6" s="118" t="s">
        <v>63</v>
      </c>
      <c r="B6" s="113"/>
      <c r="C6" s="113"/>
      <c r="D6" s="86"/>
      <c r="E6" s="86"/>
      <c r="F6" s="86"/>
      <c r="G6" s="86"/>
      <c r="H6" s="86"/>
      <c r="I6" s="86"/>
      <c r="J6" s="86"/>
      <c r="K6" s="86"/>
      <c r="L6" s="86">
        <f>'11'!AD9</f>
        <v>0</v>
      </c>
      <c r="M6" s="86">
        <f>'12'!AD9</f>
        <v>0</v>
      </c>
      <c r="N6" s="86">
        <f>'13'!AD9</f>
        <v>0</v>
      </c>
      <c r="O6" s="86">
        <f>'14'!AD9</f>
        <v>0</v>
      </c>
      <c r="P6" s="86">
        <f>'15'!AD9</f>
        <v>0</v>
      </c>
      <c r="Q6" s="86"/>
      <c r="R6" s="86"/>
      <c r="S6" s="86">
        <f>'18'!AD9</f>
        <v>0.66666666666666663</v>
      </c>
      <c r="T6" s="86">
        <f>'19'!AD10</f>
        <v>0.58333333333333337</v>
      </c>
      <c r="U6" s="86">
        <f>'20'!AD9</f>
        <v>0.58333333333333337</v>
      </c>
      <c r="V6" s="86">
        <f>'21'!AD9</f>
        <v>0.875</v>
      </c>
      <c r="W6" s="86">
        <f>'22'!AD9</f>
        <v>0.66666666666666663</v>
      </c>
      <c r="X6" s="86"/>
      <c r="Y6" s="86"/>
      <c r="Z6" s="86">
        <f>'25'!AD9</f>
        <v>0.54166666666666663</v>
      </c>
      <c r="AA6" s="86">
        <f>'26'!AD9</f>
        <v>0.83333333333333337</v>
      </c>
      <c r="AB6" s="86">
        <f>'27'!AD9</f>
        <v>0.66666666666666663</v>
      </c>
      <c r="AC6" s="86">
        <f>'28'!AD9</f>
        <v>0.875</v>
      </c>
      <c r="AD6" s="86"/>
      <c r="AE6" s="86"/>
      <c r="AF6" s="87"/>
      <c r="AG6" s="88">
        <f t="shared" si="0"/>
        <v>0.22470238095238096</v>
      </c>
    </row>
    <row r="7" spans="1:33" ht="21.75" customHeight="1">
      <c r="A7" s="118" t="s">
        <v>64</v>
      </c>
      <c r="B7" s="113"/>
      <c r="C7" s="113"/>
      <c r="D7" s="86"/>
      <c r="E7" s="86"/>
      <c r="F7" s="86"/>
      <c r="G7" s="86"/>
      <c r="H7" s="86"/>
      <c r="I7" s="86"/>
      <c r="J7" s="86"/>
      <c r="K7" s="86"/>
      <c r="L7" s="86">
        <f>'11'!AD10</f>
        <v>0</v>
      </c>
      <c r="M7" s="86">
        <f>'12'!AD10</f>
        <v>0</v>
      </c>
      <c r="N7" s="86">
        <f>'13'!AD10</f>
        <v>0</v>
      </c>
      <c r="O7" s="86">
        <f>'14'!AD10</f>
        <v>0.91666666666666663</v>
      </c>
      <c r="P7" s="86">
        <f>'15'!AD10</f>
        <v>0.91666666666666663</v>
      </c>
      <c r="Q7" s="86"/>
      <c r="R7" s="86"/>
      <c r="S7" s="86">
        <f>'18'!AD10</f>
        <v>1.0028887000849618</v>
      </c>
      <c r="T7" s="86">
        <f>'19'!AD11</f>
        <v>1</v>
      </c>
      <c r="U7" s="86">
        <f>'20'!AD10+'20'!AD11</f>
        <v>0.95833333333333337</v>
      </c>
      <c r="V7" s="86">
        <f>'21'!AD10</f>
        <v>1</v>
      </c>
      <c r="W7" s="86">
        <f>'22'!AD10</f>
        <v>1</v>
      </c>
      <c r="X7" s="86"/>
      <c r="Y7" s="86"/>
      <c r="Z7" s="86">
        <f>'25'!AD10</f>
        <v>1</v>
      </c>
      <c r="AA7" s="86">
        <f>'26'!AD10</f>
        <v>1</v>
      </c>
      <c r="AB7" s="86">
        <f>'27'!AD10</f>
        <v>0.91666666666666663</v>
      </c>
      <c r="AC7" s="86">
        <f>'28'!AD10</f>
        <v>1</v>
      </c>
      <c r="AD7" s="86"/>
      <c r="AE7" s="86"/>
      <c r="AF7" s="87"/>
      <c r="AG7" s="88">
        <f t="shared" si="0"/>
        <v>0.38254364405065333</v>
      </c>
    </row>
    <row r="8" spans="1:33" ht="21.75" customHeight="1">
      <c r="A8" s="118" t="s">
        <v>65</v>
      </c>
      <c r="B8" s="113"/>
      <c r="C8" s="113"/>
      <c r="D8" s="86"/>
      <c r="E8" s="86"/>
      <c r="F8" s="86"/>
      <c r="G8" s="86"/>
      <c r="H8" s="86"/>
      <c r="I8" s="86"/>
      <c r="J8" s="86"/>
      <c r="K8" s="86"/>
      <c r="L8" s="86">
        <f>'11'!AD11</f>
        <v>0.16666666666666666</v>
      </c>
      <c r="M8" s="86">
        <f>'12'!AD11</f>
        <v>1</v>
      </c>
      <c r="N8" s="86">
        <f>'13'!AD11</f>
        <v>0.20833333333333334</v>
      </c>
      <c r="O8" s="86">
        <f>'14'!AD11</f>
        <v>0</v>
      </c>
      <c r="P8" s="86">
        <f>'15'!AD11</f>
        <v>0</v>
      </c>
      <c r="Q8" s="86"/>
      <c r="R8" s="86"/>
      <c r="S8" s="86">
        <f>'18'!AD11</f>
        <v>0</v>
      </c>
      <c r="T8" s="86">
        <f>'19'!AD12</f>
        <v>0.95833333333333337</v>
      </c>
      <c r="U8" s="86">
        <f>'20'!AD12</f>
        <v>1</v>
      </c>
      <c r="V8" s="86">
        <f>'21'!AD11+'21'!AD12</f>
        <v>0.54166666666666674</v>
      </c>
      <c r="W8" s="86">
        <f>'22'!AD11</f>
        <v>0.875</v>
      </c>
      <c r="X8" s="86"/>
      <c r="Y8" s="86"/>
      <c r="Z8" s="86">
        <f>'25'!AD11</f>
        <v>0.75</v>
      </c>
      <c r="AA8" s="86">
        <f>'26'!AD11</f>
        <v>0</v>
      </c>
      <c r="AB8" s="86">
        <f>'27'!AD11</f>
        <v>0.75</v>
      </c>
      <c r="AC8" s="86">
        <f>'28'!AD11</f>
        <v>0.75</v>
      </c>
      <c r="AD8" s="86"/>
      <c r="AE8" s="86"/>
      <c r="AF8" s="87"/>
      <c r="AG8" s="88">
        <f t="shared" si="0"/>
        <v>0.25</v>
      </c>
    </row>
    <row r="9" spans="1:33" ht="21.75" customHeight="1">
      <c r="A9" s="118" t="s">
        <v>66</v>
      </c>
      <c r="B9" s="113"/>
      <c r="C9" s="113"/>
      <c r="D9" s="86"/>
      <c r="E9" s="86"/>
      <c r="F9" s="86"/>
      <c r="G9" s="86"/>
      <c r="H9" s="86"/>
      <c r="I9" s="86"/>
      <c r="J9" s="86"/>
      <c r="K9" s="86"/>
      <c r="L9" s="86">
        <f>'11'!AD12</f>
        <v>0.16666666666666666</v>
      </c>
      <c r="M9" s="86">
        <f>'12'!AD12</f>
        <v>1</v>
      </c>
      <c r="N9" s="86">
        <f>'13'!AD12</f>
        <v>0.29166666666666669</v>
      </c>
      <c r="O9" s="86">
        <f>'14'!AD12</f>
        <v>0</v>
      </c>
      <c r="P9" s="86">
        <f>'15'!AD12</f>
        <v>0</v>
      </c>
      <c r="Q9" s="86"/>
      <c r="R9" s="86"/>
      <c r="S9" s="86">
        <f>'18'!AD12</f>
        <v>0</v>
      </c>
      <c r="T9" s="86">
        <f>'19'!AD13</f>
        <v>0.16666666666666666</v>
      </c>
      <c r="U9" s="86">
        <f>'20'!AD13+'20'!AD14</f>
        <v>0.625</v>
      </c>
      <c r="V9" s="86">
        <f>'21'!AD13</f>
        <v>0.54166666666666663</v>
      </c>
      <c r="W9" s="86">
        <f>'22'!AD12</f>
        <v>1</v>
      </c>
      <c r="X9" s="86"/>
      <c r="Y9" s="86"/>
      <c r="Z9" s="86">
        <f>'25'!AD12</f>
        <v>1</v>
      </c>
      <c r="AA9" s="86">
        <f>'26'!AD12</f>
        <v>0.58333333333333337</v>
      </c>
      <c r="AB9" s="86">
        <f>'27'!AD12</f>
        <v>0.625</v>
      </c>
      <c r="AC9" s="86">
        <f>'28'!AD12</f>
        <v>0</v>
      </c>
      <c r="AD9" s="86"/>
      <c r="AE9" s="86"/>
      <c r="AF9" s="87"/>
      <c r="AG9" s="88">
        <f t="shared" si="0"/>
        <v>0.21428571428571425</v>
      </c>
    </row>
    <row r="10" spans="1:33" ht="21.75" customHeight="1">
      <c r="A10" s="118" t="s">
        <v>67</v>
      </c>
      <c r="B10" s="113"/>
      <c r="C10" s="113"/>
      <c r="D10" s="86"/>
      <c r="E10" s="86"/>
      <c r="F10" s="86"/>
      <c r="G10" s="86"/>
      <c r="H10" s="86"/>
      <c r="I10" s="86"/>
      <c r="J10" s="86"/>
      <c r="K10" s="86"/>
      <c r="L10" s="86">
        <f>'11'!AD13</f>
        <v>0.83333333333333337</v>
      </c>
      <c r="M10" s="86">
        <f>'12'!AD13</f>
        <v>0.34679089026915111</v>
      </c>
      <c r="N10" s="86">
        <f>'13'!AD13</f>
        <v>0.875</v>
      </c>
      <c r="O10" s="86">
        <f>'14'!AD13</f>
        <v>0</v>
      </c>
      <c r="P10" s="86">
        <f>'15'!AD13</f>
        <v>0</v>
      </c>
      <c r="Q10" s="86"/>
      <c r="R10" s="86"/>
      <c r="S10" s="86">
        <f>'18'!AD13</f>
        <v>0</v>
      </c>
      <c r="T10" s="86">
        <f>'19'!AD14</f>
        <v>0</v>
      </c>
      <c r="U10" s="86">
        <f>'20'!AD15</f>
        <v>0</v>
      </c>
      <c r="V10" s="86">
        <f>'21'!AD14</f>
        <v>0</v>
      </c>
      <c r="W10" s="86">
        <f>'22'!AD13</f>
        <v>0.83333333333333337</v>
      </c>
      <c r="X10" s="86"/>
      <c r="Y10" s="86"/>
      <c r="Z10" s="86">
        <f>'25'!AD13+'25'!AD14</f>
        <v>0.5</v>
      </c>
      <c r="AA10" s="86">
        <f>'26'!AD13</f>
        <v>0.375</v>
      </c>
      <c r="AB10" s="86">
        <f>'27'!AD13</f>
        <v>0</v>
      </c>
      <c r="AC10" s="86">
        <f>'28'!AD13</f>
        <v>0.16666666666666666</v>
      </c>
      <c r="AD10" s="86"/>
      <c r="AE10" s="86"/>
      <c r="AF10" s="87"/>
      <c r="AG10" s="88">
        <f t="shared" si="0"/>
        <v>0.14036157941437444</v>
      </c>
    </row>
    <row r="11" spans="1:33" ht="21.75" customHeight="1">
      <c r="A11" s="126" t="s">
        <v>68</v>
      </c>
      <c r="B11" s="127"/>
      <c r="C11" s="127"/>
      <c r="D11" s="128"/>
      <c r="E11" s="128"/>
      <c r="F11" s="128"/>
      <c r="G11" s="128"/>
      <c r="H11" s="128"/>
      <c r="I11" s="128"/>
      <c r="J11" s="128"/>
      <c r="K11" s="128"/>
      <c r="L11" s="128">
        <f>'11'!AD14</f>
        <v>0</v>
      </c>
      <c r="M11" s="128">
        <f>'12'!AD14</f>
        <v>0</v>
      </c>
      <c r="N11" s="128">
        <f>'13'!AD14</f>
        <v>0</v>
      </c>
      <c r="O11" s="128">
        <f>'14'!AD14</f>
        <v>0</v>
      </c>
      <c r="P11" s="128">
        <f>'15'!AD14</f>
        <v>0</v>
      </c>
      <c r="Q11" s="128"/>
      <c r="R11" s="128"/>
      <c r="S11" s="128">
        <f>'18'!AD14</f>
        <v>0</v>
      </c>
      <c r="T11" s="128">
        <f>'19'!AD15</f>
        <v>0</v>
      </c>
      <c r="U11" s="128">
        <f>'20'!AD16</f>
        <v>0.66666666666666663</v>
      </c>
      <c r="V11" s="128">
        <f>'21'!AD15</f>
        <v>0</v>
      </c>
      <c r="W11" s="128">
        <f>'22'!AD14</f>
        <v>0.95833333333333337</v>
      </c>
      <c r="X11" s="128"/>
      <c r="Y11" s="128"/>
      <c r="Z11" s="128">
        <f>'25'!AD15</f>
        <v>1</v>
      </c>
      <c r="AA11" s="128">
        <f>'26'!AD14</f>
        <v>1</v>
      </c>
      <c r="AB11" s="128">
        <f>'27'!AD14</f>
        <v>1</v>
      </c>
      <c r="AC11" s="128">
        <f>'28'!AD14</f>
        <v>1</v>
      </c>
      <c r="AD11" s="128"/>
      <c r="AE11" s="128"/>
      <c r="AF11" s="129"/>
      <c r="AG11" s="130">
        <f t="shared" si="0"/>
        <v>0.20089285714285715</v>
      </c>
    </row>
    <row r="12" spans="1:33" ht="21.75" customHeight="1">
      <c r="A12" s="117" t="s">
        <v>69</v>
      </c>
      <c r="B12" s="112"/>
      <c r="C12" s="112"/>
      <c r="D12" s="83"/>
      <c r="E12" s="83"/>
      <c r="F12" s="83"/>
      <c r="G12" s="83"/>
      <c r="H12" s="83"/>
      <c r="I12" s="83"/>
      <c r="J12" s="83"/>
      <c r="K12" s="83"/>
      <c r="L12" s="83">
        <f>'11'!AD15</f>
        <v>0</v>
      </c>
      <c r="M12" s="83">
        <f>'12'!AD15</f>
        <v>0</v>
      </c>
      <c r="N12" s="83">
        <f>'13'!AD15</f>
        <v>0</v>
      </c>
      <c r="O12" s="83">
        <f>'14'!AD15</f>
        <v>0</v>
      </c>
      <c r="P12" s="83">
        <f>'15'!AD15</f>
        <v>0</v>
      </c>
      <c r="Q12" s="83"/>
      <c r="R12" s="83"/>
      <c r="S12" s="83">
        <f>'18'!AD15</f>
        <v>0</v>
      </c>
      <c r="T12" s="83">
        <f>'19'!AD16</f>
        <v>0</v>
      </c>
      <c r="U12" s="83">
        <f>'20'!AD17</f>
        <v>0.66666666666666663</v>
      </c>
      <c r="V12" s="83">
        <f>'21'!AD16</f>
        <v>0.58333333333333337</v>
      </c>
      <c r="W12" s="83">
        <f>'22'!AD15</f>
        <v>0.66666666666666663</v>
      </c>
      <c r="X12" s="83"/>
      <c r="Y12" s="83"/>
      <c r="Z12" s="83">
        <f>'25'!AD16</f>
        <v>0.79166666666666663</v>
      </c>
      <c r="AA12" s="83">
        <f>'26'!AD15+'26'!AD16</f>
        <v>0.91666666666666663</v>
      </c>
      <c r="AB12" s="83">
        <f>'27'!AD15</f>
        <v>0.20833333333333334</v>
      </c>
      <c r="AC12" s="83">
        <f>'28'!AD15</f>
        <v>0.25</v>
      </c>
      <c r="AD12" s="83"/>
      <c r="AE12" s="83"/>
      <c r="AF12" s="84"/>
      <c r="AG12" s="85">
        <f t="shared" si="0"/>
        <v>0.14583333333333331</v>
      </c>
    </row>
    <row r="13" spans="1:33" ht="21.75" customHeight="1">
      <c r="A13" s="117" t="s">
        <v>70</v>
      </c>
      <c r="B13" s="112"/>
      <c r="C13" s="112"/>
      <c r="D13" s="83"/>
      <c r="E13" s="83"/>
      <c r="F13" s="83"/>
      <c r="G13" s="83"/>
      <c r="H13" s="83"/>
      <c r="I13" s="83"/>
      <c r="J13" s="83"/>
      <c r="K13" s="83"/>
      <c r="L13" s="83">
        <f>'11'!AD16</f>
        <v>0.95833333333333337</v>
      </c>
      <c r="M13" s="83">
        <f>'12'!AD16</f>
        <v>0.95833333333333337</v>
      </c>
      <c r="N13" s="83">
        <f>'13'!AD16</f>
        <v>0.79166666666666663</v>
      </c>
      <c r="O13" s="83">
        <f>'14'!AD16</f>
        <v>0</v>
      </c>
      <c r="P13" s="83">
        <f>'15'!AD16</f>
        <v>0</v>
      </c>
      <c r="Q13" s="83"/>
      <c r="R13" s="83"/>
      <c r="S13" s="83">
        <f>'18'!AD16</f>
        <v>0</v>
      </c>
      <c r="T13" s="83">
        <f>'19'!AD17</f>
        <v>0</v>
      </c>
      <c r="U13" s="83">
        <f>'20'!AD18</f>
        <v>0.5</v>
      </c>
      <c r="V13" s="83">
        <f>'21'!AD17</f>
        <v>0</v>
      </c>
      <c r="W13" s="83">
        <f>'22'!AD16</f>
        <v>1</v>
      </c>
      <c r="X13" s="83"/>
      <c r="Y13" s="83"/>
      <c r="Z13" s="83">
        <f>'25'!AD17</f>
        <v>1</v>
      </c>
      <c r="AA13" s="83">
        <f>'26'!AD17</f>
        <v>0.20833333333333334</v>
      </c>
      <c r="AB13" s="83">
        <f>'27'!AD16</f>
        <v>0</v>
      </c>
      <c r="AC13" s="83">
        <f>'28'!AD16+'28'!AD17</f>
        <v>0.95833333333333337</v>
      </c>
      <c r="AD13" s="83"/>
      <c r="AE13" s="83"/>
      <c r="AF13" s="84"/>
      <c r="AG13" s="85">
        <f t="shared" si="0"/>
        <v>0.22767857142857142</v>
      </c>
    </row>
    <row r="14" spans="1:33" ht="21.75" customHeight="1">
      <c r="A14" s="117" t="s">
        <v>71</v>
      </c>
      <c r="B14" s="112"/>
      <c r="C14" s="112"/>
      <c r="D14" s="83"/>
      <c r="E14" s="83"/>
      <c r="F14" s="83"/>
      <c r="G14" s="83"/>
      <c r="H14" s="83"/>
      <c r="I14" s="83"/>
      <c r="J14" s="83"/>
      <c r="K14" s="83"/>
      <c r="L14" s="83">
        <f>'11'!AD17+'11'!AD18</f>
        <v>0.91666666666666663</v>
      </c>
      <c r="M14" s="83">
        <f>'12'!AD17</f>
        <v>0</v>
      </c>
      <c r="N14" s="83">
        <f>'13'!AD17</f>
        <v>0.875</v>
      </c>
      <c r="O14" s="83">
        <f>'14'!AD17</f>
        <v>0</v>
      </c>
      <c r="P14" s="83">
        <f>'15'!AD17</f>
        <v>0</v>
      </c>
      <c r="Q14" s="83"/>
      <c r="R14" s="83"/>
      <c r="S14" s="83">
        <f>'18'!AD17</f>
        <v>0</v>
      </c>
      <c r="T14" s="83">
        <f>'19'!AD18</f>
        <v>0</v>
      </c>
      <c r="U14" s="83">
        <f>'20'!AD19</f>
        <v>0</v>
      </c>
      <c r="V14" s="83">
        <f>'21'!AD18</f>
        <v>0</v>
      </c>
      <c r="W14" s="83">
        <f>'22'!AD17</f>
        <v>0</v>
      </c>
      <c r="X14" s="83"/>
      <c r="Y14" s="83"/>
      <c r="Z14" s="83">
        <f>'25'!AD18</f>
        <v>0</v>
      </c>
      <c r="AA14" s="83">
        <f>'26'!AD18</f>
        <v>0.875</v>
      </c>
      <c r="AB14" s="83">
        <f>'27'!AD17+'27'!AD18</f>
        <v>0.91666666666666674</v>
      </c>
      <c r="AC14" s="83">
        <f>'28'!AD18</f>
        <v>1</v>
      </c>
      <c r="AD14" s="83"/>
      <c r="AE14" s="83"/>
      <c r="AF14" s="84"/>
      <c r="AG14" s="85">
        <f t="shared" si="0"/>
        <v>0.16369047619047619</v>
      </c>
    </row>
    <row r="15" spans="1:33" ht="21.75" customHeight="1">
      <c r="A15" s="118" t="s">
        <v>72</v>
      </c>
      <c r="B15" s="113"/>
      <c r="C15" s="113"/>
      <c r="D15" s="86"/>
      <c r="E15" s="86"/>
      <c r="F15" s="86"/>
      <c r="G15" s="86"/>
      <c r="H15" s="86"/>
      <c r="I15" s="86"/>
      <c r="J15" s="86"/>
      <c r="K15" s="86"/>
      <c r="L15" s="86">
        <f>'11'!AD19+'11'!AD20</f>
        <v>0.91666666666666663</v>
      </c>
      <c r="M15" s="86">
        <f>'12'!AD18</f>
        <v>1</v>
      </c>
      <c r="N15" s="86">
        <f>'13'!AD18</f>
        <v>0.16666666666666666</v>
      </c>
      <c r="O15" s="86">
        <f>'14'!AD18</f>
        <v>0.79166666666666663</v>
      </c>
      <c r="P15" s="86">
        <f>'15'!AD18</f>
        <v>1</v>
      </c>
      <c r="Q15" s="86"/>
      <c r="R15" s="86"/>
      <c r="S15" s="86">
        <f>'18'!AD18</f>
        <v>1</v>
      </c>
      <c r="T15" s="86">
        <f>'19'!AD19</f>
        <v>1</v>
      </c>
      <c r="U15" s="86">
        <f>'20'!AD20</f>
        <v>1</v>
      </c>
      <c r="V15" s="86">
        <f>'21'!AD19</f>
        <v>1</v>
      </c>
      <c r="W15" s="86">
        <f>'22'!AD18</f>
        <v>1</v>
      </c>
      <c r="X15" s="86"/>
      <c r="Y15" s="86"/>
      <c r="Z15" s="86">
        <f>'25'!AD19</f>
        <v>0</v>
      </c>
      <c r="AA15" s="86">
        <f>'26'!AD19</f>
        <v>0</v>
      </c>
      <c r="AB15" s="86">
        <f>'27'!AD19</f>
        <v>0.66666666666666663</v>
      </c>
      <c r="AC15" s="86">
        <f>'28'!AD19</f>
        <v>1</v>
      </c>
      <c r="AD15" s="86"/>
      <c r="AE15" s="86"/>
      <c r="AF15" s="87"/>
      <c r="AG15" s="88">
        <f t="shared" si="0"/>
        <v>0.37648809523809523</v>
      </c>
    </row>
    <row r="16" spans="1:33" ht="21.75" customHeight="1">
      <c r="A16" s="118" t="s">
        <v>73</v>
      </c>
      <c r="B16" s="113"/>
      <c r="C16" s="113"/>
      <c r="D16" s="86"/>
      <c r="E16" s="86"/>
      <c r="F16" s="86"/>
      <c r="G16" s="86"/>
      <c r="H16" s="86"/>
      <c r="I16" s="86"/>
      <c r="J16" s="86"/>
      <c r="K16" s="86"/>
      <c r="L16" s="86">
        <f>'11'!AD21</f>
        <v>0</v>
      </c>
      <c r="M16" s="86">
        <f>'12'!AD19</f>
        <v>0</v>
      </c>
      <c r="N16" s="86">
        <f>'13'!AD19</f>
        <v>0.58333333333333337</v>
      </c>
      <c r="O16" s="86">
        <f>'14'!AD19</f>
        <v>0.29166666666666669</v>
      </c>
      <c r="P16" s="86">
        <f>'15'!AD19</f>
        <v>0.91666666666666663</v>
      </c>
      <c r="Q16" s="86"/>
      <c r="R16" s="86"/>
      <c r="S16" s="86">
        <f>'18'!AD19+'18'!AD20+'18'!AD21</f>
        <v>0.95833333333333326</v>
      </c>
      <c r="T16" s="86">
        <f>'19'!AD20</f>
        <v>1</v>
      </c>
      <c r="U16" s="86">
        <f>'20'!AD21</f>
        <v>1</v>
      </c>
      <c r="V16" s="86">
        <f>'21'!AD20</f>
        <v>1</v>
      </c>
      <c r="W16" s="86">
        <f>'22'!AD19</f>
        <v>1</v>
      </c>
      <c r="X16" s="86"/>
      <c r="Y16" s="86"/>
      <c r="Z16" s="86">
        <f>'25'!AD20</f>
        <v>1</v>
      </c>
      <c r="AA16" s="86">
        <f>'26'!AD20</f>
        <v>1</v>
      </c>
      <c r="AB16" s="86">
        <f>'27'!AD20+'27'!AD21</f>
        <v>0.5</v>
      </c>
      <c r="AC16" s="86">
        <f>'28'!AD20</f>
        <v>0.91666666666666663</v>
      </c>
      <c r="AD16" s="86"/>
      <c r="AE16" s="86"/>
      <c r="AF16" s="87"/>
      <c r="AG16" s="88">
        <f t="shared" si="0"/>
        <v>0.36309523809523808</v>
      </c>
    </row>
    <row r="17" spans="1:33" ht="21.75" customHeight="1" thickBot="1">
      <c r="A17" s="119" t="s">
        <v>111</v>
      </c>
      <c r="B17" s="114"/>
      <c r="C17" s="114"/>
      <c r="D17" s="89"/>
      <c r="E17" s="89"/>
      <c r="F17" s="89"/>
      <c r="G17" s="89"/>
      <c r="H17" s="89"/>
      <c r="I17" s="89"/>
      <c r="J17" s="89"/>
      <c r="K17" s="89"/>
      <c r="L17" s="89">
        <f>'11'!AD22</f>
        <v>0</v>
      </c>
      <c r="M17" s="89">
        <f>'12'!AD20</f>
        <v>0.58333333333333337</v>
      </c>
      <c r="N17" s="89">
        <f>'13'!AD20</f>
        <v>1</v>
      </c>
      <c r="O17" s="89">
        <f>'14'!AD20</f>
        <v>0.66666666666666663</v>
      </c>
      <c r="P17" s="89">
        <f>'15'!AD20</f>
        <v>0.625</v>
      </c>
      <c r="Q17" s="89"/>
      <c r="R17" s="89"/>
      <c r="S17" s="89">
        <f>'18'!AD22</f>
        <v>0.54166666666666663</v>
      </c>
      <c r="T17" s="89">
        <f>'19'!AD21</f>
        <v>0</v>
      </c>
      <c r="U17" s="89">
        <f>'20'!AD22</f>
        <v>0</v>
      </c>
      <c r="V17" s="89">
        <f>'21'!AD21</f>
        <v>0</v>
      </c>
      <c r="W17" s="89">
        <f>'22'!AD20</f>
        <v>0</v>
      </c>
      <c r="X17" s="89"/>
      <c r="Y17" s="89"/>
      <c r="Z17" s="89">
        <f>'25'!AD21</f>
        <v>0</v>
      </c>
      <c r="AA17" s="89">
        <f>'26'!AD21</f>
        <v>0</v>
      </c>
      <c r="AB17" s="89">
        <f>'27'!AD22</f>
        <v>0.54166666666666663</v>
      </c>
      <c r="AC17" s="89">
        <f>'28'!AD21</f>
        <v>0</v>
      </c>
      <c r="AD17" s="89"/>
      <c r="AE17" s="89"/>
      <c r="AF17" s="90"/>
      <c r="AG17" s="91">
        <f t="shared" si="0"/>
        <v>0.14136904761904762</v>
      </c>
    </row>
    <row r="18" spans="1:33" s="92" customFormat="1" ht="21.75" customHeight="1">
      <c r="A18" s="96" t="s">
        <v>105</v>
      </c>
      <c r="B18" s="100"/>
      <c r="C18" s="100"/>
      <c r="D18" s="101"/>
      <c r="E18" s="101"/>
      <c r="F18" s="101"/>
      <c r="G18" s="101"/>
      <c r="H18" s="101"/>
      <c r="I18" s="101"/>
      <c r="J18" s="101"/>
      <c r="K18" s="101"/>
      <c r="L18" s="101">
        <f>'11'!AD23</f>
        <v>0.2638888888888889</v>
      </c>
      <c r="M18" s="101">
        <f>'12'!AD21</f>
        <v>0.32589717046238786</v>
      </c>
      <c r="N18" s="101">
        <f>'13'!AD21</f>
        <v>0.31944444444444442</v>
      </c>
      <c r="O18" s="101">
        <f>'14'!AD21</f>
        <v>0.17777777777777776</v>
      </c>
      <c r="P18" s="101">
        <f>'15'!AD21</f>
        <v>0.2722222222222222</v>
      </c>
      <c r="Q18" s="101"/>
      <c r="R18" s="101"/>
      <c r="S18" s="101">
        <f>'18'!AD23</f>
        <v>0.34463702445010858</v>
      </c>
      <c r="T18" s="101">
        <f>'19'!AD22</f>
        <v>0.37222222222222229</v>
      </c>
      <c r="U18" s="101">
        <f>'20'!AD23</f>
        <v>0.48888888888888893</v>
      </c>
      <c r="V18" s="101">
        <f>'21'!AD22</f>
        <v>0.36944444444444441</v>
      </c>
      <c r="W18" s="101">
        <f>'22'!AD21</f>
        <v>0.6</v>
      </c>
      <c r="X18" s="101"/>
      <c r="Y18" s="101"/>
      <c r="Z18" s="101">
        <f>'25'!AD22</f>
        <v>0.50555555555555554</v>
      </c>
      <c r="AA18" s="101">
        <f>'26'!AD22</f>
        <v>0.45277777777777778</v>
      </c>
      <c r="AB18" s="101">
        <f>'27'!AD23</f>
        <v>0.45277777777777778</v>
      </c>
      <c r="AC18" s="101">
        <f>'28'!AD22</f>
        <v>0.52777777777777779</v>
      </c>
      <c r="AD18" s="101"/>
      <c r="AE18" s="101"/>
      <c r="AF18" s="102"/>
      <c r="AG18" s="105">
        <f t="shared" si="0"/>
        <v>0.19547542759608119</v>
      </c>
    </row>
    <row r="19" spans="1:33" ht="21.75" customHeight="1" thickBot="1">
      <c r="A19" s="75" t="s">
        <v>109</v>
      </c>
      <c r="B19" s="76">
        <v>0.7</v>
      </c>
      <c r="C19" s="77">
        <v>0.7</v>
      </c>
      <c r="D19" s="77">
        <v>0.7</v>
      </c>
      <c r="E19" s="77">
        <v>0.7</v>
      </c>
      <c r="F19" s="77">
        <v>0.7</v>
      </c>
      <c r="G19" s="77">
        <v>0.7</v>
      </c>
      <c r="H19" s="77">
        <v>0.7</v>
      </c>
      <c r="I19" s="77">
        <v>0.7</v>
      </c>
      <c r="J19" s="77">
        <v>0.7</v>
      </c>
      <c r="K19" s="77">
        <v>0.7</v>
      </c>
      <c r="L19" s="77">
        <v>0.7</v>
      </c>
      <c r="M19" s="77">
        <v>0.7</v>
      </c>
      <c r="N19" s="77">
        <v>0.7</v>
      </c>
      <c r="O19" s="77">
        <v>0.7</v>
      </c>
      <c r="P19" s="77">
        <v>0.7</v>
      </c>
      <c r="Q19" s="77">
        <v>0.7</v>
      </c>
      <c r="R19" s="77">
        <v>0.7</v>
      </c>
      <c r="S19" s="77">
        <v>0.7</v>
      </c>
      <c r="T19" s="77">
        <v>0.7</v>
      </c>
      <c r="U19" s="77">
        <v>0.7</v>
      </c>
      <c r="V19" s="77">
        <v>0.7</v>
      </c>
      <c r="W19" s="77">
        <v>0.7</v>
      </c>
      <c r="X19" s="77">
        <v>0.7</v>
      </c>
      <c r="Y19" s="77">
        <v>0.7</v>
      </c>
      <c r="Z19" s="77">
        <v>0.7</v>
      </c>
      <c r="AA19" s="77">
        <v>0.7</v>
      </c>
      <c r="AB19" s="77">
        <v>0.7</v>
      </c>
      <c r="AC19" s="77">
        <v>0.7</v>
      </c>
      <c r="AD19" s="77">
        <v>0.7</v>
      </c>
      <c r="AE19" s="77">
        <v>0.7</v>
      </c>
      <c r="AF19" s="78">
        <v>0.7</v>
      </c>
      <c r="AG19" s="79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ACBD-CCE2-4D20-A9AE-939244EC3EFB}">
  <sheetPr>
    <pageSetUpPr fitToPage="1"/>
  </sheetPr>
  <dimension ref="A1:AF88"/>
  <sheetViews>
    <sheetView zoomScale="72" zoomScaleNormal="72" zoomScaleSheetLayoutView="70" workbookViewId="0">
      <selection activeCell="F80" sqref="F80:J8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307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219" t="s">
        <v>17</v>
      </c>
      <c r="L5" s="219" t="s">
        <v>18</v>
      </c>
      <c r="M5" s="219" t="s">
        <v>19</v>
      </c>
      <c r="N5" s="21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17" si="0">L6</f>
        <v>0</v>
      </c>
      <c r="L6" s="15"/>
      <c r="M6" s="16">
        <f t="shared" ref="M6:M22" si="1">L6-N6</f>
        <v>0</v>
      </c>
      <c r="N6" s="16">
        <v>0</v>
      </c>
      <c r="O6" s="62" t="str">
        <f t="shared" ref="O6:O23" si="2">IF(L6=0,"0",N6/L6)</f>
        <v>0</v>
      </c>
      <c r="P6" s="42" t="str">
        <f t="shared" ref="P6:P22" si="3">IF(L6=0,"0",(24-Q6))</f>
        <v>0</v>
      </c>
      <c r="Q6" s="43">
        <f t="shared" ref="Q6:Q22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9">
        <f t="shared" ref="AE6:AE22" si="8">$AD$23</f>
        <v>0.48888888888888893</v>
      </c>
      <c r="AF6" s="93">
        <f t="shared" ref="AF6:AF22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0.48888888888888893</v>
      </c>
      <c r="AF7" s="93">
        <f t="shared" si="9"/>
        <v>2</v>
      </c>
    </row>
    <row r="8" spans="1:32" ht="27" customHeight="1">
      <c r="A8" s="108">
        <v>3</v>
      </c>
      <c r="B8" s="11" t="s">
        <v>57</v>
      </c>
      <c r="C8" s="37" t="s">
        <v>180</v>
      </c>
      <c r="D8" s="55" t="s">
        <v>120</v>
      </c>
      <c r="E8" s="57" t="s">
        <v>278</v>
      </c>
      <c r="F8" s="33" t="s">
        <v>179</v>
      </c>
      <c r="G8" s="36">
        <v>1</v>
      </c>
      <c r="H8" s="38">
        <v>24</v>
      </c>
      <c r="I8" s="7">
        <v>29000</v>
      </c>
      <c r="J8" s="5">
        <v>1810</v>
      </c>
      <c r="K8" s="15">
        <f>L8+3139</f>
        <v>4949</v>
      </c>
      <c r="L8" s="15">
        <f>1810</f>
        <v>1810</v>
      </c>
      <c r="M8" s="16">
        <f t="shared" si="1"/>
        <v>1810</v>
      </c>
      <c r="N8" s="16">
        <v>0</v>
      </c>
      <c r="O8" s="62">
        <f t="shared" si="2"/>
        <v>0</v>
      </c>
      <c r="P8" s="42">
        <f t="shared" si="3"/>
        <v>8</v>
      </c>
      <c r="Q8" s="43">
        <f t="shared" si="4"/>
        <v>16</v>
      </c>
      <c r="R8" s="7">
        <v>16</v>
      </c>
      <c r="S8" s="6"/>
      <c r="T8" s="17"/>
      <c r="U8" s="17"/>
      <c r="V8" s="18"/>
      <c r="W8" s="19"/>
      <c r="X8" s="17"/>
      <c r="Y8" s="20"/>
      <c r="Z8" s="20"/>
      <c r="AA8" s="21"/>
      <c r="AB8" s="8">
        <f t="shared" si="5"/>
        <v>1</v>
      </c>
      <c r="AC8" s="9">
        <f t="shared" si="6"/>
        <v>0.33333333333333331</v>
      </c>
      <c r="AD8" s="10">
        <f t="shared" si="7"/>
        <v>0.33333333333333331</v>
      </c>
      <c r="AE8" s="39">
        <f t="shared" si="8"/>
        <v>0.48888888888888893</v>
      </c>
      <c r="AF8" s="93">
        <f t="shared" si="9"/>
        <v>3</v>
      </c>
    </row>
    <row r="9" spans="1:32" ht="27" customHeight="1">
      <c r="A9" s="109">
        <v>4</v>
      </c>
      <c r="B9" s="11" t="s">
        <v>57</v>
      </c>
      <c r="C9" s="11" t="s">
        <v>114</v>
      </c>
      <c r="D9" s="55" t="s">
        <v>117</v>
      </c>
      <c r="E9" s="57" t="s">
        <v>241</v>
      </c>
      <c r="F9" s="33" t="s">
        <v>162</v>
      </c>
      <c r="G9" s="36">
        <v>1</v>
      </c>
      <c r="H9" s="38">
        <v>24</v>
      </c>
      <c r="I9" s="7">
        <v>2000</v>
      </c>
      <c r="J9" s="14">
        <v>2762</v>
      </c>
      <c r="K9" s="15">
        <f>L9</f>
        <v>2762</v>
      </c>
      <c r="L9" s="15">
        <f>2762</f>
        <v>2762</v>
      </c>
      <c r="M9" s="16">
        <f t="shared" si="1"/>
        <v>2762</v>
      </c>
      <c r="N9" s="16">
        <v>0</v>
      </c>
      <c r="O9" s="62">
        <f t="shared" si="2"/>
        <v>0</v>
      </c>
      <c r="P9" s="42">
        <f t="shared" si="3"/>
        <v>14</v>
      </c>
      <c r="Q9" s="43">
        <f t="shared" si="4"/>
        <v>10</v>
      </c>
      <c r="R9" s="7"/>
      <c r="S9" s="6"/>
      <c r="T9" s="17"/>
      <c r="U9" s="17"/>
      <c r="V9" s="18"/>
      <c r="W9" s="19">
        <v>10</v>
      </c>
      <c r="X9" s="17"/>
      <c r="Y9" s="20"/>
      <c r="Z9" s="20"/>
      <c r="AA9" s="21"/>
      <c r="AB9" s="8">
        <f t="shared" si="5"/>
        <v>1</v>
      </c>
      <c r="AC9" s="9">
        <f t="shared" si="6"/>
        <v>0.58333333333333337</v>
      </c>
      <c r="AD9" s="10">
        <f t="shared" si="7"/>
        <v>0.58333333333333337</v>
      </c>
      <c r="AE9" s="39">
        <f t="shared" si="8"/>
        <v>0.48888888888888893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119</v>
      </c>
      <c r="D10" s="55" t="s">
        <v>158</v>
      </c>
      <c r="E10" s="57" t="s">
        <v>141</v>
      </c>
      <c r="F10" s="12" t="s">
        <v>116</v>
      </c>
      <c r="G10" s="12">
        <v>1</v>
      </c>
      <c r="H10" s="13">
        <v>20</v>
      </c>
      <c r="I10" s="7">
        <v>5000</v>
      </c>
      <c r="J10" s="14">
        <v>2570</v>
      </c>
      <c r="K10" s="15">
        <f>L10+7898</f>
        <v>10468</v>
      </c>
      <c r="L10" s="15">
        <f>2570</f>
        <v>2570</v>
      </c>
      <c r="M10" s="16">
        <f t="shared" si="1"/>
        <v>2570</v>
      </c>
      <c r="N10" s="16">
        <v>0</v>
      </c>
      <c r="O10" s="62">
        <f t="shared" si="2"/>
        <v>0</v>
      </c>
      <c r="P10" s="42">
        <f t="shared" si="3"/>
        <v>6</v>
      </c>
      <c r="Q10" s="43">
        <f t="shared" si="4"/>
        <v>18</v>
      </c>
      <c r="R10" s="7"/>
      <c r="S10" s="6"/>
      <c r="T10" s="17"/>
      <c r="U10" s="17"/>
      <c r="V10" s="18"/>
      <c r="W10" s="19">
        <v>18</v>
      </c>
      <c r="X10" s="17"/>
      <c r="Y10" s="20"/>
      <c r="Z10" s="20"/>
      <c r="AA10" s="21"/>
      <c r="AB10" s="8">
        <f t="shared" si="5"/>
        <v>1</v>
      </c>
      <c r="AC10" s="9">
        <f t="shared" si="6"/>
        <v>0.25</v>
      </c>
      <c r="AD10" s="10">
        <f t="shared" si="7"/>
        <v>0.25</v>
      </c>
      <c r="AE10" s="39">
        <f t="shared" si="8"/>
        <v>0.48888888888888893</v>
      </c>
      <c r="AF10" s="93">
        <f t="shared" si="9"/>
        <v>5</v>
      </c>
    </row>
    <row r="11" spans="1:32" ht="27" customHeight="1">
      <c r="A11" s="109">
        <v>5</v>
      </c>
      <c r="B11" s="11" t="s">
        <v>57</v>
      </c>
      <c r="C11" s="11" t="s">
        <v>180</v>
      </c>
      <c r="D11" s="55" t="s">
        <v>167</v>
      </c>
      <c r="E11" s="57" t="s">
        <v>296</v>
      </c>
      <c r="F11" s="12" t="s">
        <v>169</v>
      </c>
      <c r="G11" s="12">
        <v>1</v>
      </c>
      <c r="H11" s="13">
        <v>20</v>
      </c>
      <c r="I11" s="7">
        <v>30000</v>
      </c>
      <c r="J11" s="14">
        <v>3953</v>
      </c>
      <c r="K11" s="15">
        <f>L11</f>
        <v>3953</v>
      </c>
      <c r="L11" s="15">
        <f>3271+682</f>
        <v>3953</v>
      </c>
      <c r="M11" s="16">
        <f t="shared" ref="M11" si="10">L11-N11</f>
        <v>3953</v>
      </c>
      <c r="N11" s="16">
        <v>0</v>
      </c>
      <c r="O11" s="62">
        <f t="shared" ref="O11" si="11">IF(L11=0,"0",N11/L11)</f>
        <v>0</v>
      </c>
      <c r="P11" s="42">
        <f t="shared" ref="P11" si="12">IF(L11=0,"0",(24-Q11))</f>
        <v>17</v>
      </c>
      <c r="Q11" s="43">
        <f t="shared" ref="Q11" si="13">SUM(R11:AA11)</f>
        <v>7</v>
      </c>
      <c r="R11" s="7"/>
      <c r="S11" s="6"/>
      <c r="T11" s="17">
        <v>7</v>
      </c>
      <c r="U11" s="17"/>
      <c r="V11" s="18"/>
      <c r="W11" s="19"/>
      <c r="X11" s="17"/>
      <c r="Y11" s="20"/>
      <c r="Z11" s="20"/>
      <c r="AA11" s="21"/>
      <c r="AB11" s="8">
        <f t="shared" ref="AB11" si="14">IF(J11=0,"0",(L11/J11))</f>
        <v>1</v>
      </c>
      <c r="AC11" s="9">
        <f t="shared" ref="AC11" si="15">IF(P11=0,"0",(P11/24))</f>
        <v>0.70833333333333337</v>
      </c>
      <c r="AD11" s="10">
        <f t="shared" ref="AD11" si="16">AC11*AB11*(1-O11)</f>
        <v>0.70833333333333337</v>
      </c>
      <c r="AE11" s="39">
        <f t="shared" si="8"/>
        <v>0.48888888888888893</v>
      </c>
      <c r="AF11" s="93">
        <f t="shared" ref="AF11" si="17">A11</f>
        <v>5</v>
      </c>
    </row>
    <row r="12" spans="1:32" ht="27" customHeight="1">
      <c r="A12" s="109">
        <v>6</v>
      </c>
      <c r="B12" s="11" t="s">
        <v>57</v>
      </c>
      <c r="C12" s="11" t="s">
        <v>119</v>
      </c>
      <c r="D12" s="55" t="s">
        <v>220</v>
      </c>
      <c r="E12" s="57" t="s">
        <v>239</v>
      </c>
      <c r="F12" s="12" t="s">
        <v>125</v>
      </c>
      <c r="G12" s="12">
        <v>2</v>
      </c>
      <c r="H12" s="13">
        <v>24</v>
      </c>
      <c r="I12" s="7">
        <v>60000</v>
      </c>
      <c r="J12" s="14">
        <v>11952</v>
      </c>
      <c r="K12" s="15">
        <f>L12+11216</f>
        <v>23168</v>
      </c>
      <c r="L12" s="15">
        <f>3118*2+2858*2</f>
        <v>11952</v>
      </c>
      <c r="M12" s="16">
        <f t="shared" si="1"/>
        <v>11952</v>
      </c>
      <c r="N12" s="16">
        <v>0</v>
      </c>
      <c r="O12" s="62">
        <f t="shared" si="2"/>
        <v>0</v>
      </c>
      <c r="P12" s="42">
        <f t="shared" si="3"/>
        <v>24</v>
      </c>
      <c r="Q12" s="43">
        <f t="shared" si="4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5"/>
        <v>1</v>
      </c>
      <c r="AC12" s="9">
        <f t="shared" si="6"/>
        <v>1</v>
      </c>
      <c r="AD12" s="10">
        <f t="shared" si="7"/>
        <v>1</v>
      </c>
      <c r="AE12" s="39">
        <f t="shared" si="8"/>
        <v>0.48888888888888893</v>
      </c>
      <c r="AF12" s="93">
        <f t="shared" si="9"/>
        <v>6</v>
      </c>
    </row>
    <row r="13" spans="1:32" ht="27" customHeight="1">
      <c r="A13" s="109">
        <v>7</v>
      </c>
      <c r="B13" s="11" t="s">
        <v>57</v>
      </c>
      <c r="C13" s="11" t="s">
        <v>180</v>
      </c>
      <c r="D13" s="55" t="s">
        <v>135</v>
      </c>
      <c r="E13" s="57" t="s">
        <v>295</v>
      </c>
      <c r="F13" s="33" t="s">
        <v>290</v>
      </c>
      <c r="G13" s="36">
        <v>1</v>
      </c>
      <c r="H13" s="38">
        <v>20</v>
      </c>
      <c r="I13" s="7">
        <v>200</v>
      </c>
      <c r="J13" s="14">
        <v>220</v>
      </c>
      <c r="K13" s="15">
        <f>L13</f>
        <v>220</v>
      </c>
      <c r="L13" s="15">
        <v>220</v>
      </c>
      <c r="M13" s="16">
        <f t="shared" si="1"/>
        <v>220</v>
      </c>
      <c r="N13" s="16">
        <v>0</v>
      </c>
      <c r="O13" s="62">
        <f t="shared" si="2"/>
        <v>0</v>
      </c>
      <c r="P13" s="42">
        <f t="shared" si="3"/>
        <v>3</v>
      </c>
      <c r="Q13" s="43">
        <f t="shared" si="4"/>
        <v>21</v>
      </c>
      <c r="R13" s="7"/>
      <c r="S13" s="6"/>
      <c r="T13" s="17"/>
      <c r="U13" s="17"/>
      <c r="V13" s="18"/>
      <c r="W13" s="19">
        <v>21</v>
      </c>
      <c r="X13" s="17"/>
      <c r="Y13" s="20"/>
      <c r="Z13" s="20"/>
      <c r="AA13" s="21"/>
      <c r="AB13" s="8">
        <f t="shared" si="5"/>
        <v>1</v>
      </c>
      <c r="AC13" s="9">
        <f t="shared" si="6"/>
        <v>0.125</v>
      </c>
      <c r="AD13" s="10">
        <f t="shared" si="7"/>
        <v>0.125</v>
      </c>
      <c r="AE13" s="39">
        <f t="shared" si="8"/>
        <v>0.48888888888888893</v>
      </c>
      <c r="AF13" s="93">
        <f t="shared" si="9"/>
        <v>7</v>
      </c>
    </row>
    <row r="14" spans="1:32" ht="27" customHeight="1">
      <c r="A14" s="109">
        <v>7</v>
      </c>
      <c r="B14" s="11" t="s">
        <v>57</v>
      </c>
      <c r="C14" s="11" t="s">
        <v>114</v>
      </c>
      <c r="D14" s="55" t="s">
        <v>308</v>
      </c>
      <c r="E14" s="57" t="s">
        <v>226</v>
      </c>
      <c r="F14" s="33" t="s">
        <v>290</v>
      </c>
      <c r="G14" s="36">
        <v>1</v>
      </c>
      <c r="H14" s="38">
        <v>20</v>
      </c>
      <c r="I14" s="7">
        <v>2000</v>
      </c>
      <c r="J14" s="14">
        <v>2210</v>
      </c>
      <c r="K14" s="15">
        <f>L14</f>
        <v>2210</v>
      </c>
      <c r="L14" s="15">
        <f>2210</f>
        <v>2210</v>
      </c>
      <c r="M14" s="16">
        <f t="shared" ref="M14" si="18">L14-N14</f>
        <v>2210</v>
      </c>
      <c r="N14" s="16">
        <v>0</v>
      </c>
      <c r="O14" s="62">
        <f t="shared" ref="O14" si="19">IF(L14=0,"0",N14/L14)</f>
        <v>0</v>
      </c>
      <c r="P14" s="42">
        <f t="shared" ref="P14" si="20">IF(L14=0,"0",(24-Q14))</f>
        <v>12</v>
      </c>
      <c r="Q14" s="43">
        <f t="shared" ref="Q14" si="21">SUM(R14:AA14)</f>
        <v>12</v>
      </c>
      <c r="R14" s="7"/>
      <c r="S14" s="6"/>
      <c r="T14" s="17"/>
      <c r="U14" s="17"/>
      <c r="V14" s="18"/>
      <c r="W14" s="19">
        <v>12</v>
      </c>
      <c r="X14" s="17"/>
      <c r="Y14" s="20"/>
      <c r="Z14" s="20"/>
      <c r="AA14" s="21"/>
      <c r="AB14" s="8">
        <f t="shared" ref="AB14" si="22">IF(J14=0,"0",(L14/J14))</f>
        <v>1</v>
      </c>
      <c r="AC14" s="9">
        <f t="shared" ref="AC14" si="23">IF(P14=0,"0",(P14/24))</f>
        <v>0.5</v>
      </c>
      <c r="AD14" s="10">
        <f t="shared" ref="AD14" si="24">AC14*AB14*(1-O14)</f>
        <v>0.5</v>
      </c>
      <c r="AE14" s="39">
        <f t="shared" si="8"/>
        <v>0.48888888888888893</v>
      </c>
      <c r="AF14" s="93">
        <f t="shared" ref="AF14" si="25">A14</f>
        <v>7</v>
      </c>
    </row>
    <row r="15" spans="1:32" ht="27" customHeight="1">
      <c r="A15" s="109">
        <v>8</v>
      </c>
      <c r="B15" s="11"/>
      <c r="C15" s="11"/>
      <c r="D15" s="55"/>
      <c r="E15" s="57"/>
      <c r="F15" s="33"/>
      <c r="G15" s="36"/>
      <c r="H15" s="38"/>
      <c r="I15" s="7"/>
      <c r="J15" s="14"/>
      <c r="K15" s="15"/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24</v>
      </c>
      <c r="R15" s="7"/>
      <c r="S15" s="6"/>
      <c r="T15" s="17"/>
      <c r="U15" s="17"/>
      <c r="V15" s="18"/>
      <c r="W15" s="19"/>
      <c r="X15" s="17"/>
      <c r="Y15" s="20"/>
      <c r="Z15" s="20"/>
      <c r="AA15" s="21">
        <v>24</v>
      </c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0.48888888888888893</v>
      </c>
      <c r="AF15" s="93">
        <f t="shared" si="9"/>
        <v>8</v>
      </c>
    </row>
    <row r="16" spans="1:32" ht="27" customHeight="1">
      <c r="A16" s="125">
        <v>9</v>
      </c>
      <c r="B16" s="11" t="s">
        <v>57</v>
      </c>
      <c r="C16" s="37" t="s">
        <v>114</v>
      </c>
      <c r="D16" s="55" t="s">
        <v>175</v>
      </c>
      <c r="E16" s="57" t="s">
        <v>224</v>
      </c>
      <c r="F16" s="33" t="s">
        <v>177</v>
      </c>
      <c r="G16" s="36">
        <v>1</v>
      </c>
      <c r="H16" s="38">
        <v>22</v>
      </c>
      <c r="I16" s="7">
        <v>2000</v>
      </c>
      <c r="J16" s="5">
        <v>2452</v>
      </c>
      <c r="K16" s="15">
        <f t="shared" si="0"/>
        <v>2452</v>
      </c>
      <c r="L16" s="15">
        <f>541+1911</f>
        <v>2452</v>
      </c>
      <c r="M16" s="16">
        <f t="shared" si="1"/>
        <v>2452</v>
      </c>
      <c r="N16" s="16">
        <v>0</v>
      </c>
      <c r="O16" s="62">
        <f t="shared" si="2"/>
        <v>0</v>
      </c>
      <c r="P16" s="42">
        <f t="shared" si="3"/>
        <v>16</v>
      </c>
      <c r="Q16" s="43">
        <f t="shared" si="4"/>
        <v>8</v>
      </c>
      <c r="R16" s="7"/>
      <c r="S16" s="6"/>
      <c r="T16" s="17"/>
      <c r="U16" s="17"/>
      <c r="V16" s="18"/>
      <c r="W16" s="19">
        <v>8</v>
      </c>
      <c r="X16" s="17"/>
      <c r="Y16" s="20"/>
      <c r="Z16" s="20"/>
      <c r="AA16" s="21"/>
      <c r="AB16" s="8">
        <f t="shared" si="5"/>
        <v>1</v>
      </c>
      <c r="AC16" s="9">
        <f t="shared" si="6"/>
        <v>0.66666666666666663</v>
      </c>
      <c r="AD16" s="10">
        <f t="shared" si="7"/>
        <v>0.66666666666666663</v>
      </c>
      <c r="AE16" s="39">
        <f t="shared" si="8"/>
        <v>0.48888888888888893</v>
      </c>
      <c r="AF16" s="93">
        <f t="shared" si="9"/>
        <v>9</v>
      </c>
    </row>
    <row r="17" spans="1:32" ht="27" customHeight="1">
      <c r="A17" s="108">
        <v>10</v>
      </c>
      <c r="B17" s="11" t="s">
        <v>57</v>
      </c>
      <c r="C17" s="37" t="s">
        <v>119</v>
      </c>
      <c r="D17" s="55" t="s">
        <v>135</v>
      </c>
      <c r="E17" s="57" t="s">
        <v>145</v>
      </c>
      <c r="F17" s="12" t="s">
        <v>125</v>
      </c>
      <c r="G17" s="12">
        <v>2</v>
      </c>
      <c r="H17" s="13">
        <v>20</v>
      </c>
      <c r="I17" s="34">
        <v>12000</v>
      </c>
      <c r="J17" s="14">
        <v>6606</v>
      </c>
      <c r="K17" s="15">
        <f t="shared" si="0"/>
        <v>6606</v>
      </c>
      <c r="L17" s="15">
        <f>3303*2</f>
        <v>6606</v>
      </c>
      <c r="M17" s="16">
        <f t="shared" si="1"/>
        <v>6606</v>
      </c>
      <c r="N17" s="16">
        <v>0</v>
      </c>
      <c r="O17" s="62">
        <f t="shared" si="2"/>
        <v>0</v>
      </c>
      <c r="P17" s="42">
        <f t="shared" si="3"/>
        <v>16</v>
      </c>
      <c r="Q17" s="43">
        <f t="shared" si="4"/>
        <v>8</v>
      </c>
      <c r="R17" s="7"/>
      <c r="S17" s="6"/>
      <c r="T17" s="17">
        <v>8</v>
      </c>
      <c r="U17" s="17"/>
      <c r="V17" s="18"/>
      <c r="W17" s="19"/>
      <c r="X17" s="17"/>
      <c r="Y17" s="20"/>
      <c r="Z17" s="20"/>
      <c r="AA17" s="21"/>
      <c r="AB17" s="8">
        <f t="shared" si="5"/>
        <v>1</v>
      </c>
      <c r="AC17" s="9">
        <f t="shared" si="6"/>
        <v>0.66666666666666663</v>
      </c>
      <c r="AD17" s="10">
        <f t="shared" si="7"/>
        <v>0.66666666666666663</v>
      </c>
      <c r="AE17" s="39">
        <f t="shared" si="8"/>
        <v>0.48888888888888893</v>
      </c>
      <c r="AF17" s="93">
        <f t="shared" si="9"/>
        <v>10</v>
      </c>
    </row>
    <row r="18" spans="1:32" ht="27" customHeight="1">
      <c r="A18" s="108">
        <v>11</v>
      </c>
      <c r="B18" s="11" t="s">
        <v>57</v>
      </c>
      <c r="C18" s="11" t="s">
        <v>114</v>
      </c>
      <c r="D18" s="55" t="s">
        <v>167</v>
      </c>
      <c r="E18" s="57" t="s">
        <v>246</v>
      </c>
      <c r="F18" s="12" t="s">
        <v>169</v>
      </c>
      <c r="G18" s="12">
        <v>1</v>
      </c>
      <c r="H18" s="13">
        <v>20</v>
      </c>
      <c r="I18" s="7">
        <v>2000</v>
      </c>
      <c r="J18" s="14">
        <v>2319</v>
      </c>
      <c r="K18" s="15">
        <f>L18</f>
        <v>2319</v>
      </c>
      <c r="L18" s="15">
        <f>732+1587</f>
        <v>2319</v>
      </c>
      <c r="M18" s="16">
        <f t="shared" si="1"/>
        <v>2319</v>
      </c>
      <c r="N18" s="16">
        <v>0</v>
      </c>
      <c r="O18" s="62">
        <f t="shared" si="2"/>
        <v>0</v>
      </c>
      <c r="P18" s="42">
        <f t="shared" si="3"/>
        <v>12</v>
      </c>
      <c r="Q18" s="43">
        <f t="shared" si="4"/>
        <v>12</v>
      </c>
      <c r="R18" s="7"/>
      <c r="S18" s="6"/>
      <c r="T18" s="17"/>
      <c r="U18" s="17"/>
      <c r="V18" s="18"/>
      <c r="W18" s="19">
        <v>12</v>
      </c>
      <c r="X18" s="17"/>
      <c r="Y18" s="20"/>
      <c r="Z18" s="20"/>
      <c r="AA18" s="21"/>
      <c r="AB18" s="8">
        <f t="shared" si="5"/>
        <v>1</v>
      </c>
      <c r="AC18" s="9">
        <f t="shared" si="6"/>
        <v>0.5</v>
      </c>
      <c r="AD18" s="10">
        <f t="shared" si="7"/>
        <v>0.5</v>
      </c>
      <c r="AE18" s="39">
        <f t="shared" si="8"/>
        <v>0.48888888888888893</v>
      </c>
      <c r="AF18" s="93">
        <f t="shared" si="9"/>
        <v>11</v>
      </c>
    </row>
    <row r="19" spans="1:32" ht="27" customHeight="1">
      <c r="A19" s="108">
        <v>12</v>
      </c>
      <c r="B19" s="11"/>
      <c r="C19" s="37"/>
      <c r="D19" s="55"/>
      <c r="E19" s="57"/>
      <c r="F19" s="12"/>
      <c r="G19" s="12"/>
      <c r="H19" s="13"/>
      <c r="I19" s="34"/>
      <c r="J19" s="14"/>
      <c r="K19" s="15"/>
      <c r="L19" s="15"/>
      <c r="M19" s="16">
        <f t="shared" si="1"/>
        <v>0</v>
      </c>
      <c r="N19" s="16">
        <v>0</v>
      </c>
      <c r="O19" s="62" t="str">
        <f t="shared" si="2"/>
        <v>0</v>
      </c>
      <c r="P19" s="42" t="str">
        <f t="shared" si="3"/>
        <v>0</v>
      </c>
      <c r="Q19" s="43">
        <f t="shared" si="4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 t="str">
        <f t="shared" si="5"/>
        <v>0</v>
      </c>
      <c r="AC19" s="9">
        <f t="shared" si="6"/>
        <v>0</v>
      </c>
      <c r="AD19" s="10">
        <f t="shared" si="7"/>
        <v>0</v>
      </c>
      <c r="AE19" s="39">
        <f t="shared" si="8"/>
        <v>0.48888888888888893</v>
      </c>
      <c r="AF19" s="93">
        <f t="shared" si="9"/>
        <v>12</v>
      </c>
    </row>
    <row r="20" spans="1:32" ht="27" customHeight="1">
      <c r="A20" s="109">
        <v>13</v>
      </c>
      <c r="B20" s="11" t="s">
        <v>57</v>
      </c>
      <c r="C20" s="37" t="s">
        <v>119</v>
      </c>
      <c r="D20" s="55" t="s">
        <v>117</v>
      </c>
      <c r="E20" s="57" t="s">
        <v>209</v>
      </c>
      <c r="F20" s="33" t="s">
        <v>124</v>
      </c>
      <c r="G20" s="36">
        <v>2</v>
      </c>
      <c r="H20" s="38">
        <v>25</v>
      </c>
      <c r="I20" s="7">
        <v>60000</v>
      </c>
      <c r="J20" s="5">
        <v>10364</v>
      </c>
      <c r="K20" s="15">
        <f>L20+7486+10058+10374+10126</f>
        <v>48408</v>
      </c>
      <c r="L20" s="15">
        <f>2752*2+2430*2</f>
        <v>10364</v>
      </c>
      <c r="M20" s="16">
        <f t="shared" si="1"/>
        <v>10364</v>
      </c>
      <c r="N20" s="16">
        <v>0</v>
      </c>
      <c r="O20" s="62">
        <f t="shared" si="2"/>
        <v>0</v>
      </c>
      <c r="P20" s="42">
        <f t="shared" si="3"/>
        <v>24</v>
      </c>
      <c r="Q20" s="43">
        <f t="shared" si="4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9">
        <f t="shared" si="8"/>
        <v>0.48888888888888893</v>
      </c>
      <c r="AF20" s="93">
        <f t="shared" si="9"/>
        <v>13</v>
      </c>
    </row>
    <row r="21" spans="1:32" ht="27" customHeight="1">
      <c r="A21" s="109">
        <v>14</v>
      </c>
      <c r="B21" s="11" t="s">
        <v>57</v>
      </c>
      <c r="C21" s="37" t="s">
        <v>180</v>
      </c>
      <c r="D21" s="55" t="s">
        <v>117</v>
      </c>
      <c r="E21" s="57" t="s">
        <v>274</v>
      </c>
      <c r="F21" s="12" t="s">
        <v>162</v>
      </c>
      <c r="G21" s="36">
        <v>1</v>
      </c>
      <c r="H21" s="38">
        <v>24</v>
      </c>
      <c r="I21" s="7">
        <v>30000</v>
      </c>
      <c r="J21" s="5">
        <v>4916</v>
      </c>
      <c r="K21" s="15">
        <f>L21+3291+5129</f>
        <v>13336</v>
      </c>
      <c r="L21" s="15">
        <f>2761+2155</f>
        <v>4916</v>
      </c>
      <c r="M21" s="16">
        <f t="shared" si="1"/>
        <v>4916</v>
      </c>
      <c r="N21" s="16">
        <v>0</v>
      </c>
      <c r="O21" s="62">
        <f t="shared" si="2"/>
        <v>0</v>
      </c>
      <c r="P21" s="42">
        <f t="shared" si="3"/>
        <v>24</v>
      </c>
      <c r="Q21" s="43">
        <f t="shared" si="4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5"/>
        <v>1</v>
      </c>
      <c r="AC21" s="9">
        <f t="shared" si="6"/>
        <v>1</v>
      </c>
      <c r="AD21" s="10">
        <f>AC21*AB21*(1-O21)</f>
        <v>1</v>
      </c>
      <c r="AE21" s="39">
        <f t="shared" si="8"/>
        <v>0.48888888888888893</v>
      </c>
      <c r="AF21" s="93">
        <f t="shared" si="9"/>
        <v>14</v>
      </c>
    </row>
    <row r="22" spans="1:32" ht="27" customHeight="1" thickBot="1">
      <c r="A22" s="109">
        <v>15</v>
      </c>
      <c r="B22" s="11" t="s">
        <v>57</v>
      </c>
      <c r="C22" s="11" t="s">
        <v>115</v>
      </c>
      <c r="D22" s="55"/>
      <c r="E22" s="56" t="s">
        <v>126</v>
      </c>
      <c r="F22" s="12" t="s">
        <v>116</v>
      </c>
      <c r="G22" s="12">
        <v>4</v>
      </c>
      <c r="H22" s="38">
        <v>20</v>
      </c>
      <c r="I22" s="7">
        <v>500000</v>
      </c>
      <c r="J22" s="14">
        <v>35376</v>
      </c>
      <c r="K22" s="15">
        <f>L22+27008+76128+41848+38820+35376</f>
        <v>219180</v>
      </c>
      <c r="L22" s="15"/>
      <c r="M22" s="16">
        <f t="shared" si="1"/>
        <v>0</v>
      </c>
      <c r="N22" s="16">
        <v>0</v>
      </c>
      <c r="O22" s="62" t="str">
        <f t="shared" si="2"/>
        <v>0</v>
      </c>
      <c r="P22" s="42" t="str">
        <f t="shared" si="3"/>
        <v>0</v>
      </c>
      <c r="Q22" s="43">
        <f t="shared" si="4"/>
        <v>24</v>
      </c>
      <c r="R22" s="7"/>
      <c r="S22" s="6"/>
      <c r="T22" s="17"/>
      <c r="U22" s="17"/>
      <c r="V22" s="18">
        <v>24</v>
      </c>
      <c r="W22" s="19"/>
      <c r="X22" s="17"/>
      <c r="Y22" s="20"/>
      <c r="Z22" s="20"/>
      <c r="AA22" s="21"/>
      <c r="AB22" s="8">
        <f t="shared" si="5"/>
        <v>0</v>
      </c>
      <c r="AC22" s="9">
        <f t="shared" si="6"/>
        <v>0</v>
      </c>
      <c r="AD22" s="10">
        <f t="shared" si="7"/>
        <v>0</v>
      </c>
      <c r="AE22" s="39">
        <f t="shared" si="8"/>
        <v>0.48888888888888893</v>
      </c>
      <c r="AF22" s="93">
        <f t="shared" si="9"/>
        <v>15</v>
      </c>
    </row>
    <row r="23" spans="1:32" ht="31.5" customHeight="1" thickBot="1">
      <c r="A23" s="312" t="s">
        <v>34</v>
      </c>
      <c r="B23" s="313"/>
      <c r="C23" s="313"/>
      <c r="D23" s="313"/>
      <c r="E23" s="313"/>
      <c r="F23" s="313"/>
      <c r="G23" s="313"/>
      <c r="H23" s="314"/>
      <c r="I23" s="25">
        <f t="shared" ref="I23:N23" si="26">SUM(I6:I22)</f>
        <v>734200</v>
      </c>
      <c r="J23" s="22">
        <f t="shared" si="26"/>
        <v>87510</v>
      </c>
      <c r="K23" s="23">
        <f t="shared" si="26"/>
        <v>340031</v>
      </c>
      <c r="L23" s="24">
        <f t="shared" si="26"/>
        <v>52134</v>
      </c>
      <c r="M23" s="23">
        <f t="shared" si="26"/>
        <v>52134</v>
      </c>
      <c r="N23" s="24">
        <f t="shared" si="26"/>
        <v>0</v>
      </c>
      <c r="O23" s="44">
        <f t="shared" si="2"/>
        <v>0</v>
      </c>
      <c r="P23" s="45">
        <f t="shared" ref="P23:AA23" si="27">SUM(P6:P22)</f>
        <v>176</v>
      </c>
      <c r="Q23" s="46">
        <f t="shared" si="27"/>
        <v>232</v>
      </c>
      <c r="R23" s="26">
        <f t="shared" si="27"/>
        <v>40</v>
      </c>
      <c r="S23" s="27">
        <f t="shared" si="27"/>
        <v>0</v>
      </c>
      <c r="T23" s="27">
        <f t="shared" si="27"/>
        <v>15</v>
      </c>
      <c r="U23" s="27">
        <f t="shared" si="27"/>
        <v>0</v>
      </c>
      <c r="V23" s="28">
        <f t="shared" si="27"/>
        <v>24</v>
      </c>
      <c r="W23" s="29">
        <f t="shared" si="27"/>
        <v>129</v>
      </c>
      <c r="X23" s="30">
        <f t="shared" si="27"/>
        <v>0</v>
      </c>
      <c r="Y23" s="30">
        <f t="shared" si="27"/>
        <v>0</v>
      </c>
      <c r="Z23" s="30">
        <f t="shared" si="27"/>
        <v>0</v>
      </c>
      <c r="AA23" s="30">
        <f t="shared" si="27"/>
        <v>24</v>
      </c>
      <c r="AB23" s="31">
        <f>SUM(AB6:AB22)/15</f>
        <v>0.8</v>
      </c>
      <c r="AC23" s="4">
        <f>SUM(AC6:AC22)/15</f>
        <v>0.48888888888888893</v>
      </c>
      <c r="AD23" s="4">
        <f>SUM(AD6:AD22)/15</f>
        <v>0.48888888888888893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315" t="s">
        <v>45</v>
      </c>
      <c r="B50" s="315"/>
      <c r="C50" s="315"/>
      <c r="D50" s="315"/>
      <c r="E50" s="315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316" t="s">
        <v>309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19" t="s">
        <v>311</v>
      </c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1"/>
    </row>
    <row r="52" spans="1:32" ht="27" customHeight="1">
      <c r="A52" s="322" t="s">
        <v>2</v>
      </c>
      <c r="B52" s="323"/>
      <c r="C52" s="220" t="s">
        <v>46</v>
      </c>
      <c r="D52" s="220" t="s">
        <v>47</v>
      </c>
      <c r="E52" s="220" t="s">
        <v>108</v>
      </c>
      <c r="F52" s="323" t="s">
        <v>107</v>
      </c>
      <c r="G52" s="323"/>
      <c r="H52" s="323"/>
      <c r="I52" s="323"/>
      <c r="J52" s="323"/>
      <c r="K52" s="323"/>
      <c r="L52" s="323"/>
      <c r="M52" s="324"/>
      <c r="N52" s="73" t="s">
        <v>112</v>
      </c>
      <c r="O52" s="220" t="s">
        <v>46</v>
      </c>
      <c r="P52" s="325" t="s">
        <v>47</v>
      </c>
      <c r="Q52" s="326"/>
      <c r="R52" s="325" t="s">
        <v>38</v>
      </c>
      <c r="S52" s="327"/>
      <c r="T52" s="327"/>
      <c r="U52" s="326"/>
      <c r="V52" s="325" t="s">
        <v>48</v>
      </c>
      <c r="W52" s="327"/>
      <c r="X52" s="327"/>
      <c r="Y52" s="327"/>
      <c r="Z52" s="327"/>
      <c r="AA52" s="327"/>
      <c r="AB52" s="327"/>
      <c r="AC52" s="327"/>
      <c r="AD52" s="328"/>
    </row>
    <row r="53" spans="1:32" ht="27" customHeight="1">
      <c r="A53" s="339" t="s">
        <v>180</v>
      </c>
      <c r="B53" s="340"/>
      <c r="C53" s="222" t="s">
        <v>199</v>
      </c>
      <c r="D53" s="222" t="s">
        <v>266</v>
      </c>
      <c r="E53" s="222" t="s">
        <v>295</v>
      </c>
      <c r="F53" s="341" t="s">
        <v>131</v>
      </c>
      <c r="G53" s="342"/>
      <c r="H53" s="342"/>
      <c r="I53" s="342"/>
      <c r="J53" s="342"/>
      <c r="K53" s="342"/>
      <c r="L53" s="342"/>
      <c r="M53" s="343"/>
      <c r="N53" s="221" t="s">
        <v>180</v>
      </c>
      <c r="O53" s="124" t="s">
        <v>276</v>
      </c>
      <c r="P53" s="340" t="s">
        <v>220</v>
      </c>
      <c r="Q53" s="340"/>
      <c r="R53" s="340" t="s">
        <v>221</v>
      </c>
      <c r="S53" s="340"/>
      <c r="T53" s="340"/>
      <c r="U53" s="340"/>
      <c r="V53" s="346" t="s">
        <v>236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114</v>
      </c>
      <c r="B54" s="340"/>
      <c r="C54" s="222" t="s">
        <v>276</v>
      </c>
      <c r="D54" s="222" t="s">
        <v>117</v>
      </c>
      <c r="E54" s="222" t="s">
        <v>241</v>
      </c>
      <c r="F54" s="341" t="s">
        <v>131</v>
      </c>
      <c r="G54" s="342"/>
      <c r="H54" s="342"/>
      <c r="I54" s="342"/>
      <c r="J54" s="342"/>
      <c r="K54" s="342"/>
      <c r="L54" s="342"/>
      <c r="M54" s="343"/>
      <c r="N54" s="221" t="s">
        <v>114</v>
      </c>
      <c r="O54" s="124" t="s">
        <v>183</v>
      </c>
      <c r="P54" s="340" t="s">
        <v>164</v>
      </c>
      <c r="Q54" s="340"/>
      <c r="R54" s="340" t="s">
        <v>312</v>
      </c>
      <c r="S54" s="340"/>
      <c r="T54" s="340"/>
      <c r="U54" s="340"/>
      <c r="V54" s="346" t="s">
        <v>131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114</v>
      </c>
      <c r="B55" s="340"/>
      <c r="C55" s="222" t="s">
        <v>199</v>
      </c>
      <c r="D55" s="222" t="s">
        <v>164</v>
      </c>
      <c r="E55" s="222" t="s">
        <v>226</v>
      </c>
      <c r="F55" s="341" t="s">
        <v>131</v>
      </c>
      <c r="G55" s="342"/>
      <c r="H55" s="342"/>
      <c r="I55" s="342"/>
      <c r="J55" s="342"/>
      <c r="K55" s="342"/>
      <c r="L55" s="342"/>
      <c r="M55" s="343"/>
      <c r="N55" s="221" t="s">
        <v>180</v>
      </c>
      <c r="O55" s="124" t="s">
        <v>199</v>
      </c>
      <c r="P55" s="340" t="s">
        <v>220</v>
      </c>
      <c r="Q55" s="340"/>
      <c r="R55" s="340" t="s">
        <v>313</v>
      </c>
      <c r="S55" s="340"/>
      <c r="T55" s="340"/>
      <c r="U55" s="340"/>
      <c r="V55" s="346" t="s">
        <v>131</v>
      </c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 t="s">
        <v>114</v>
      </c>
      <c r="B56" s="340"/>
      <c r="C56" s="222" t="s">
        <v>297</v>
      </c>
      <c r="D56" s="222" t="s">
        <v>175</v>
      </c>
      <c r="E56" s="222" t="s">
        <v>224</v>
      </c>
      <c r="F56" s="341" t="s">
        <v>131</v>
      </c>
      <c r="G56" s="342"/>
      <c r="H56" s="342"/>
      <c r="I56" s="342"/>
      <c r="J56" s="342"/>
      <c r="K56" s="342"/>
      <c r="L56" s="342"/>
      <c r="M56" s="343"/>
      <c r="N56" s="221"/>
      <c r="O56" s="124"/>
      <c r="P56" s="344"/>
      <c r="Q56" s="345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 t="s">
        <v>114</v>
      </c>
      <c r="B57" s="340"/>
      <c r="C57" s="222" t="s">
        <v>186</v>
      </c>
      <c r="D57" s="222" t="s">
        <v>167</v>
      </c>
      <c r="E57" s="222" t="s">
        <v>246</v>
      </c>
      <c r="F57" s="341" t="s">
        <v>131</v>
      </c>
      <c r="G57" s="342"/>
      <c r="H57" s="342"/>
      <c r="I57" s="342"/>
      <c r="J57" s="342"/>
      <c r="K57" s="342"/>
      <c r="L57" s="342"/>
      <c r="M57" s="343"/>
      <c r="N57" s="221"/>
      <c r="O57" s="124"/>
      <c r="P57" s="340"/>
      <c r="Q57" s="340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 t="s">
        <v>180</v>
      </c>
      <c r="B58" s="340"/>
      <c r="C58" s="222" t="s">
        <v>118</v>
      </c>
      <c r="D58" s="222" t="s">
        <v>167</v>
      </c>
      <c r="E58" s="222" t="s">
        <v>296</v>
      </c>
      <c r="F58" s="341" t="s">
        <v>131</v>
      </c>
      <c r="G58" s="342"/>
      <c r="H58" s="342"/>
      <c r="I58" s="342"/>
      <c r="J58" s="342"/>
      <c r="K58" s="342"/>
      <c r="L58" s="342"/>
      <c r="M58" s="343"/>
      <c r="N58" s="221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 t="s">
        <v>119</v>
      </c>
      <c r="B59" s="340"/>
      <c r="C59" s="222" t="s">
        <v>310</v>
      </c>
      <c r="D59" s="222" t="s">
        <v>135</v>
      </c>
      <c r="E59" s="222" t="s">
        <v>145</v>
      </c>
      <c r="F59" s="341" t="s">
        <v>131</v>
      </c>
      <c r="G59" s="342"/>
      <c r="H59" s="342"/>
      <c r="I59" s="342"/>
      <c r="J59" s="342"/>
      <c r="K59" s="342"/>
      <c r="L59" s="342"/>
      <c r="M59" s="343"/>
      <c r="N59" s="221"/>
      <c r="O59" s="124"/>
      <c r="P59" s="344"/>
      <c r="Q59" s="345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</row>
    <row r="60" spans="1:32" ht="27" customHeight="1">
      <c r="A60" s="339"/>
      <c r="B60" s="340"/>
      <c r="C60" s="222"/>
      <c r="D60" s="222"/>
      <c r="E60" s="222"/>
      <c r="F60" s="346"/>
      <c r="G60" s="346"/>
      <c r="H60" s="346"/>
      <c r="I60" s="346"/>
      <c r="J60" s="346"/>
      <c r="K60" s="346"/>
      <c r="L60" s="346"/>
      <c r="M60" s="347"/>
      <c r="N60" s="221"/>
      <c r="O60" s="124"/>
      <c r="P60" s="344"/>
      <c r="Q60" s="345"/>
      <c r="R60" s="340"/>
      <c r="S60" s="340"/>
      <c r="T60" s="340"/>
      <c r="U60" s="340"/>
      <c r="V60" s="346"/>
      <c r="W60" s="346"/>
      <c r="X60" s="346"/>
      <c r="Y60" s="346"/>
      <c r="Z60" s="346"/>
      <c r="AA60" s="346"/>
      <c r="AB60" s="346"/>
      <c r="AC60" s="346"/>
      <c r="AD60" s="347"/>
    </row>
    <row r="61" spans="1:32" ht="27" customHeight="1">
      <c r="A61" s="339"/>
      <c r="B61" s="340"/>
      <c r="C61" s="222"/>
      <c r="D61" s="222"/>
      <c r="E61" s="222"/>
      <c r="F61" s="341"/>
      <c r="G61" s="342"/>
      <c r="H61" s="342"/>
      <c r="I61" s="342"/>
      <c r="J61" s="342"/>
      <c r="K61" s="342"/>
      <c r="L61" s="342"/>
      <c r="M61" s="343"/>
      <c r="N61" s="221"/>
      <c r="O61" s="124"/>
      <c r="P61" s="340"/>
      <c r="Q61" s="340"/>
      <c r="R61" s="340"/>
      <c r="S61" s="340"/>
      <c r="T61" s="340"/>
      <c r="U61" s="340"/>
      <c r="V61" s="346"/>
      <c r="W61" s="346"/>
      <c r="X61" s="346"/>
      <c r="Y61" s="346"/>
      <c r="Z61" s="346"/>
      <c r="AA61" s="346"/>
      <c r="AB61" s="346"/>
      <c r="AC61" s="346"/>
      <c r="AD61" s="347"/>
      <c r="AF61" s="93">
        <f>8*3000</f>
        <v>24000</v>
      </c>
    </row>
    <row r="62" spans="1:32" ht="27" customHeight="1" thickBot="1">
      <c r="A62" s="348"/>
      <c r="B62" s="349"/>
      <c r="C62" s="224"/>
      <c r="D62" s="224"/>
      <c r="E62" s="224"/>
      <c r="F62" s="350"/>
      <c r="G62" s="350"/>
      <c r="H62" s="350"/>
      <c r="I62" s="350"/>
      <c r="J62" s="350"/>
      <c r="K62" s="350"/>
      <c r="L62" s="350"/>
      <c r="M62" s="351"/>
      <c r="N62" s="223"/>
      <c r="O62" s="120"/>
      <c r="P62" s="349"/>
      <c r="Q62" s="349"/>
      <c r="R62" s="349"/>
      <c r="S62" s="349"/>
      <c r="T62" s="349"/>
      <c r="U62" s="349"/>
      <c r="V62" s="352"/>
      <c r="W62" s="352"/>
      <c r="X62" s="352"/>
      <c r="Y62" s="352"/>
      <c r="Z62" s="352"/>
      <c r="AA62" s="352"/>
      <c r="AB62" s="352"/>
      <c r="AC62" s="352"/>
      <c r="AD62" s="353"/>
      <c r="AF62" s="93">
        <f>16*3000</f>
        <v>48000</v>
      </c>
    </row>
    <row r="63" spans="1:32" ht="27.75" thickBot="1">
      <c r="A63" s="354" t="s">
        <v>314</v>
      </c>
      <c r="B63" s="354"/>
      <c r="C63" s="354"/>
      <c r="D63" s="354"/>
      <c r="E63" s="354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355" t="s">
        <v>113</v>
      </c>
      <c r="B64" s="356"/>
      <c r="C64" s="225" t="s">
        <v>2</v>
      </c>
      <c r="D64" s="225" t="s">
        <v>37</v>
      </c>
      <c r="E64" s="225" t="s">
        <v>3</v>
      </c>
      <c r="F64" s="356" t="s">
        <v>110</v>
      </c>
      <c r="G64" s="356"/>
      <c r="H64" s="356"/>
      <c r="I64" s="356"/>
      <c r="J64" s="356"/>
      <c r="K64" s="356" t="s">
        <v>39</v>
      </c>
      <c r="L64" s="356"/>
      <c r="M64" s="225" t="s">
        <v>40</v>
      </c>
      <c r="N64" s="356" t="s">
        <v>41</v>
      </c>
      <c r="O64" s="356"/>
      <c r="P64" s="357" t="s">
        <v>42</v>
      </c>
      <c r="Q64" s="358"/>
      <c r="R64" s="357" t="s">
        <v>43</v>
      </c>
      <c r="S64" s="359"/>
      <c r="T64" s="359"/>
      <c r="U64" s="359"/>
      <c r="V64" s="359"/>
      <c r="W64" s="359"/>
      <c r="X64" s="359"/>
      <c r="Y64" s="359"/>
      <c r="Z64" s="359"/>
      <c r="AA64" s="358"/>
      <c r="AB64" s="356" t="s">
        <v>44</v>
      </c>
      <c r="AC64" s="356"/>
      <c r="AD64" s="360"/>
      <c r="AF64" s="93">
        <f>SUM(AF61:AF63)</f>
        <v>96000</v>
      </c>
    </row>
    <row r="65" spans="1:32" ht="25.5" customHeight="1">
      <c r="A65" s="361">
        <v>1</v>
      </c>
      <c r="B65" s="362"/>
      <c r="C65" s="123" t="s">
        <v>119</v>
      </c>
      <c r="D65" s="228"/>
      <c r="E65" s="226" t="s">
        <v>193</v>
      </c>
      <c r="F65" s="363" t="s">
        <v>315</v>
      </c>
      <c r="G65" s="364"/>
      <c r="H65" s="364"/>
      <c r="I65" s="364"/>
      <c r="J65" s="364"/>
      <c r="K65" s="364" t="s">
        <v>125</v>
      </c>
      <c r="L65" s="364"/>
      <c r="M65" s="54" t="s">
        <v>225</v>
      </c>
      <c r="N65" s="364">
        <v>12</v>
      </c>
      <c r="O65" s="364"/>
      <c r="P65" s="365">
        <v>100</v>
      </c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2</v>
      </c>
      <c r="B66" s="362"/>
      <c r="C66" s="123" t="s">
        <v>119</v>
      </c>
      <c r="D66" s="228"/>
      <c r="E66" s="226" t="s">
        <v>117</v>
      </c>
      <c r="F66" s="363" t="s">
        <v>316</v>
      </c>
      <c r="G66" s="364"/>
      <c r="H66" s="364"/>
      <c r="I66" s="364"/>
      <c r="J66" s="364"/>
      <c r="K66" s="364" t="s">
        <v>162</v>
      </c>
      <c r="L66" s="364"/>
      <c r="M66" s="54" t="s">
        <v>225</v>
      </c>
      <c r="N66" s="364">
        <v>8</v>
      </c>
      <c r="O66" s="364"/>
      <c r="P66" s="365">
        <v>50</v>
      </c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3</v>
      </c>
      <c r="B67" s="362"/>
      <c r="C67" s="123"/>
      <c r="D67" s="228"/>
      <c r="E67" s="226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4</v>
      </c>
      <c r="B68" s="362"/>
      <c r="C68" s="123"/>
      <c r="D68" s="228"/>
      <c r="E68" s="226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5</v>
      </c>
      <c r="B69" s="362"/>
      <c r="C69" s="123"/>
      <c r="D69" s="228"/>
      <c r="E69" s="226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6</v>
      </c>
      <c r="B70" s="362"/>
      <c r="C70" s="123"/>
      <c r="D70" s="228"/>
      <c r="E70" s="226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5.5" customHeight="1">
      <c r="A71" s="361">
        <v>7</v>
      </c>
      <c r="B71" s="362"/>
      <c r="C71" s="123"/>
      <c r="D71" s="228"/>
      <c r="E71" s="226"/>
      <c r="F71" s="363"/>
      <c r="G71" s="364"/>
      <c r="H71" s="364"/>
      <c r="I71" s="364"/>
      <c r="J71" s="364"/>
      <c r="K71" s="364"/>
      <c r="L71" s="364"/>
      <c r="M71" s="54"/>
      <c r="N71" s="364"/>
      <c r="O71" s="364"/>
      <c r="P71" s="365"/>
      <c r="Q71" s="365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64"/>
      <c r="AC71" s="364"/>
      <c r="AD71" s="366"/>
      <c r="AF71" s="53"/>
    </row>
    <row r="72" spans="1:32" ht="25.5" customHeight="1">
      <c r="A72" s="361">
        <v>8</v>
      </c>
      <c r="B72" s="362"/>
      <c r="C72" s="123"/>
      <c r="D72" s="228"/>
      <c r="E72" s="226"/>
      <c r="F72" s="363"/>
      <c r="G72" s="364"/>
      <c r="H72" s="364"/>
      <c r="I72" s="364"/>
      <c r="J72" s="364"/>
      <c r="K72" s="364"/>
      <c r="L72" s="364"/>
      <c r="M72" s="54"/>
      <c r="N72" s="364"/>
      <c r="O72" s="364"/>
      <c r="P72" s="365"/>
      <c r="Q72" s="365"/>
      <c r="R72" s="346"/>
      <c r="S72" s="346"/>
      <c r="T72" s="346"/>
      <c r="U72" s="346"/>
      <c r="V72" s="346"/>
      <c r="W72" s="346"/>
      <c r="X72" s="346"/>
      <c r="Y72" s="346"/>
      <c r="Z72" s="346"/>
      <c r="AA72" s="346"/>
      <c r="AB72" s="364"/>
      <c r="AC72" s="364"/>
      <c r="AD72" s="366"/>
      <c r="AF72" s="53"/>
    </row>
    <row r="73" spans="1:32" ht="26.25" customHeight="1" thickBot="1">
      <c r="A73" s="367" t="s">
        <v>317</v>
      </c>
      <c r="B73" s="367"/>
      <c r="C73" s="367"/>
      <c r="D73" s="367"/>
      <c r="E73" s="36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68" t="s">
        <v>113</v>
      </c>
      <c r="B74" s="369"/>
      <c r="C74" s="227" t="s">
        <v>2</v>
      </c>
      <c r="D74" s="227" t="s">
        <v>37</v>
      </c>
      <c r="E74" s="227" t="s">
        <v>3</v>
      </c>
      <c r="F74" s="369" t="s">
        <v>38</v>
      </c>
      <c r="G74" s="369"/>
      <c r="H74" s="369"/>
      <c r="I74" s="369"/>
      <c r="J74" s="369"/>
      <c r="K74" s="370" t="s">
        <v>58</v>
      </c>
      <c r="L74" s="371"/>
      <c r="M74" s="371"/>
      <c r="N74" s="371"/>
      <c r="O74" s="371"/>
      <c r="P74" s="371"/>
      <c r="Q74" s="371"/>
      <c r="R74" s="371"/>
      <c r="S74" s="372"/>
      <c r="T74" s="369" t="s">
        <v>49</v>
      </c>
      <c r="U74" s="369"/>
      <c r="V74" s="370" t="s">
        <v>50</v>
      </c>
      <c r="W74" s="372"/>
      <c r="X74" s="371" t="s">
        <v>51</v>
      </c>
      <c r="Y74" s="371"/>
      <c r="Z74" s="371"/>
      <c r="AA74" s="371"/>
      <c r="AB74" s="371"/>
      <c r="AC74" s="371"/>
      <c r="AD74" s="373"/>
      <c r="AF74" s="53"/>
    </row>
    <row r="75" spans="1:32" ht="33.75" customHeight="1">
      <c r="A75" s="382">
        <v>1</v>
      </c>
      <c r="B75" s="383"/>
      <c r="C75" s="229" t="s">
        <v>114</v>
      </c>
      <c r="D75" s="229"/>
      <c r="E75" s="71" t="s">
        <v>122</v>
      </c>
      <c r="F75" s="384" t="s">
        <v>121</v>
      </c>
      <c r="G75" s="385"/>
      <c r="H75" s="385"/>
      <c r="I75" s="385"/>
      <c r="J75" s="386"/>
      <c r="K75" s="387" t="s">
        <v>123</v>
      </c>
      <c r="L75" s="388"/>
      <c r="M75" s="388"/>
      <c r="N75" s="388"/>
      <c r="O75" s="388"/>
      <c r="P75" s="388"/>
      <c r="Q75" s="388"/>
      <c r="R75" s="388"/>
      <c r="S75" s="389"/>
      <c r="T75" s="390">
        <v>43384</v>
      </c>
      <c r="U75" s="391"/>
      <c r="V75" s="392"/>
      <c r="W75" s="392"/>
      <c r="X75" s="393"/>
      <c r="Y75" s="393"/>
      <c r="Z75" s="393"/>
      <c r="AA75" s="393"/>
      <c r="AB75" s="393"/>
      <c r="AC75" s="393"/>
      <c r="AD75" s="394"/>
      <c r="AF75" s="53"/>
    </row>
    <row r="76" spans="1:32" ht="30" customHeight="1">
      <c r="A76" s="374">
        <f>A75+1</f>
        <v>2</v>
      </c>
      <c r="B76" s="375"/>
      <c r="C76" s="228"/>
      <c r="D76" s="228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ref="A77:A83" si="28">A76+1</f>
        <v>3</v>
      </c>
      <c r="B77" s="375"/>
      <c r="C77" s="228"/>
      <c r="D77" s="228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28"/>
        <v>4</v>
      </c>
      <c r="B78" s="375"/>
      <c r="C78" s="228"/>
      <c r="D78" s="228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28"/>
        <v>5</v>
      </c>
      <c r="B79" s="375"/>
      <c r="C79" s="228"/>
      <c r="D79" s="228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28"/>
        <v>6</v>
      </c>
      <c r="B80" s="375"/>
      <c r="C80" s="228"/>
      <c r="D80" s="228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28"/>
        <v>7</v>
      </c>
      <c r="B81" s="375"/>
      <c r="C81" s="228"/>
      <c r="D81" s="228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0" customHeight="1">
      <c r="A82" s="374">
        <f t="shared" si="28"/>
        <v>8</v>
      </c>
      <c r="B82" s="375"/>
      <c r="C82" s="228"/>
      <c r="D82" s="228"/>
      <c r="E82" s="35"/>
      <c r="F82" s="375"/>
      <c r="G82" s="375"/>
      <c r="H82" s="375"/>
      <c r="I82" s="375"/>
      <c r="J82" s="375"/>
      <c r="K82" s="376"/>
      <c r="L82" s="377"/>
      <c r="M82" s="377"/>
      <c r="N82" s="377"/>
      <c r="O82" s="377"/>
      <c r="P82" s="377"/>
      <c r="Q82" s="377"/>
      <c r="R82" s="377"/>
      <c r="S82" s="378"/>
      <c r="T82" s="379"/>
      <c r="U82" s="379"/>
      <c r="V82" s="379"/>
      <c r="W82" s="379"/>
      <c r="X82" s="380"/>
      <c r="Y82" s="380"/>
      <c r="Z82" s="380"/>
      <c r="AA82" s="380"/>
      <c r="AB82" s="380"/>
      <c r="AC82" s="380"/>
      <c r="AD82" s="381"/>
      <c r="AF82" s="53"/>
    </row>
    <row r="83" spans="1:32" ht="30" customHeight="1">
      <c r="A83" s="374">
        <f t="shared" si="28"/>
        <v>9</v>
      </c>
      <c r="B83" s="375"/>
      <c r="C83" s="228"/>
      <c r="D83" s="228"/>
      <c r="E83" s="35"/>
      <c r="F83" s="375"/>
      <c r="G83" s="375"/>
      <c r="H83" s="375"/>
      <c r="I83" s="375"/>
      <c r="J83" s="375"/>
      <c r="K83" s="376"/>
      <c r="L83" s="377"/>
      <c r="M83" s="377"/>
      <c r="N83" s="377"/>
      <c r="O83" s="377"/>
      <c r="P83" s="377"/>
      <c r="Q83" s="377"/>
      <c r="R83" s="377"/>
      <c r="S83" s="378"/>
      <c r="T83" s="379"/>
      <c r="U83" s="379"/>
      <c r="V83" s="379"/>
      <c r="W83" s="379"/>
      <c r="X83" s="380"/>
      <c r="Y83" s="380"/>
      <c r="Z83" s="380"/>
      <c r="AA83" s="380"/>
      <c r="AB83" s="380"/>
      <c r="AC83" s="380"/>
      <c r="AD83" s="381"/>
      <c r="AF83" s="53"/>
    </row>
    <row r="84" spans="1:32" ht="36" thickBot="1">
      <c r="A84" s="367" t="s">
        <v>318</v>
      </c>
      <c r="B84" s="367"/>
      <c r="C84" s="367"/>
      <c r="D84" s="367"/>
      <c r="E84" s="36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68" t="s">
        <v>113</v>
      </c>
      <c r="B85" s="369"/>
      <c r="C85" s="395" t="s">
        <v>52</v>
      </c>
      <c r="D85" s="395"/>
      <c r="E85" s="395" t="s">
        <v>53</v>
      </c>
      <c r="F85" s="395"/>
      <c r="G85" s="395"/>
      <c r="H85" s="395"/>
      <c r="I85" s="395"/>
      <c r="J85" s="395"/>
      <c r="K85" s="395" t="s">
        <v>54</v>
      </c>
      <c r="L85" s="395"/>
      <c r="M85" s="395"/>
      <c r="N85" s="395"/>
      <c r="O85" s="395"/>
      <c r="P85" s="395"/>
      <c r="Q85" s="395"/>
      <c r="R85" s="395"/>
      <c r="S85" s="395"/>
      <c r="T85" s="395" t="s">
        <v>55</v>
      </c>
      <c r="U85" s="395"/>
      <c r="V85" s="395" t="s">
        <v>56</v>
      </c>
      <c r="W85" s="395"/>
      <c r="X85" s="395"/>
      <c r="Y85" s="395" t="s">
        <v>51</v>
      </c>
      <c r="Z85" s="395"/>
      <c r="AA85" s="395"/>
      <c r="AB85" s="395"/>
      <c r="AC85" s="395"/>
      <c r="AD85" s="396"/>
      <c r="AF85" s="53"/>
    </row>
    <row r="86" spans="1:32" ht="30.75" customHeight="1">
      <c r="A86" s="382">
        <v>1</v>
      </c>
      <c r="B86" s="383"/>
      <c r="C86" s="397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8"/>
      <c r="W86" s="398"/>
      <c r="X86" s="398"/>
      <c r="Y86" s="399"/>
      <c r="Z86" s="399"/>
      <c r="AA86" s="399"/>
      <c r="AB86" s="399"/>
      <c r="AC86" s="399"/>
      <c r="AD86" s="400"/>
      <c r="AF86" s="53"/>
    </row>
    <row r="87" spans="1:32" ht="30.75" customHeight="1">
      <c r="A87" s="374">
        <v>2</v>
      </c>
      <c r="B87" s="375"/>
      <c r="C87" s="408"/>
      <c r="D87" s="408"/>
      <c r="E87" s="408"/>
      <c r="F87" s="408"/>
      <c r="G87" s="408"/>
      <c r="H87" s="408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9"/>
      <c r="U87" s="409"/>
      <c r="V87" s="410"/>
      <c r="W87" s="410"/>
      <c r="X87" s="410"/>
      <c r="Y87" s="401"/>
      <c r="Z87" s="401"/>
      <c r="AA87" s="401"/>
      <c r="AB87" s="401"/>
      <c r="AC87" s="401"/>
      <c r="AD87" s="402"/>
      <c r="AF87" s="53"/>
    </row>
    <row r="88" spans="1:32" ht="30.75" customHeight="1" thickBot="1">
      <c r="A88" s="403">
        <v>3</v>
      </c>
      <c r="B88" s="404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05"/>
      <c r="O88" s="405"/>
      <c r="P88" s="405"/>
      <c r="Q88" s="405"/>
      <c r="R88" s="405"/>
      <c r="S88" s="405"/>
      <c r="T88" s="405"/>
      <c r="U88" s="405"/>
      <c r="V88" s="405"/>
      <c r="W88" s="405"/>
      <c r="X88" s="405"/>
      <c r="Y88" s="406"/>
      <c r="Z88" s="406"/>
      <c r="AA88" s="406"/>
      <c r="AB88" s="406"/>
      <c r="AC88" s="406"/>
      <c r="AD88" s="407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0DE1-0A77-4242-8B14-F7E9056137FA}">
  <sheetPr>
    <pageSetUpPr fitToPage="1"/>
  </sheetPr>
  <dimension ref="A1:AF87"/>
  <sheetViews>
    <sheetView zoomScale="72" zoomScaleNormal="72" zoomScaleSheetLayoutView="70" workbookViewId="0">
      <selection activeCell="L18" sqref="L1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319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240" t="s">
        <v>17</v>
      </c>
      <c r="L5" s="240" t="s">
        <v>18</v>
      </c>
      <c r="M5" s="240" t="s">
        <v>19</v>
      </c>
      <c r="N5" s="24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7" si="0">L6</f>
        <v>0</v>
      </c>
      <c r="L6" s="15"/>
      <c r="M6" s="16">
        <f t="shared" ref="M6:M21" si="1">L6-N6</f>
        <v>0</v>
      </c>
      <c r="N6" s="16">
        <v>0</v>
      </c>
      <c r="O6" s="62" t="str">
        <f t="shared" ref="O6:O22" si="2">IF(L6=0,"0",N6/L6)</f>
        <v>0</v>
      </c>
      <c r="P6" s="42" t="str">
        <f t="shared" ref="P6:P21" si="3">IF(L6=0,"0",(24-Q6))</f>
        <v>0</v>
      </c>
      <c r="Q6" s="43">
        <f t="shared" ref="Q6:Q21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9">
        <f t="shared" ref="AE6:AE21" si="8">$AD$22</f>
        <v>0.36944444444444441</v>
      </c>
      <c r="AF6" s="93">
        <f t="shared" ref="AF6:AF21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0.36944444444444441</v>
      </c>
      <c r="AF7" s="93">
        <f t="shared" si="9"/>
        <v>2</v>
      </c>
    </row>
    <row r="8" spans="1:32" ht="27" customHeight="1">
      <c r="A8" s="108">
        <v>3</v>
      </c>
      <c r="B8" s="11" t="s">
        <v>57</v>
      </c>
      <c r="C8" s="37" t="s">
        <v>180</v>
      </c>
      <c r="D8" s="55" t="s">
        <v>120</v>
      </c>
      <c r="E8" s="57" t="s">
        <v>278</v>
      </c>
      <c r="F8" s="33" t="s">
        <v>179</v>
      </c>
      <c r="G8" s="36">
        <v>1</v>
      </c>
      <c r="H8" s="38">
        <v>24</v>
      </c>
      <c r="I8" s="7">
        <v>29000</v>
      </c>
      <c r="J8" s="5">
        <v>1810</v>
      </c>
      <c r="K8" s="15">
        <f>L8+3139+1810</f>
        <v>4949</v>
      </c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>
        <v>24</v>
      </c>
      <c r="S8" s="6"/>
      <c r="T8" s="17"/>
      <c r="U8" s="17"/>
      <c r="V8" s="18"/>
      <c r="W8" s="19"/>
      <c r="X8" s="17"/>
      <c r="Y8" s="20"/>
      <c r="Z8" s="20"/>
      <c r="AA8" s="21"/>
      <c r="AB8" s="8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0.36944444444444441</v>
      </c>
      <c r="AF8" s="93">
        <f t="shared" si="9"/>
        <v>3</v>
      </c>
    </row>
    <row r="9" spans="1:32" ht="27" customHeight="1">
      <c r="A9" s="109">
        <v>4</v>
      </c>
      <c r="B9" s="11" t="s">
        <v>57</v>
      </c>
      <c r="C9" s="11" t="s">
        <v>180</v>
      </c>
      <c r="D9" s="55" t="s">
        <v>220</v>
      </c>
      <c r="E9" s="57" t="s">
        <v>221</v>
      </c>
      <c r="F9" s="33" t="s">
        <v>222</v>
      </c>
      <c r="G9" s="36">
        <v>1</v>
      </c>
      <c r="H9" s="38">
        <v>24</v>
      </c>
      <c r="I9" s="7">
        <v>31000</v>
      </c>
      <c r="J9" s="14">
        <v>4382</v>
      </c>
      <c r="K9" s="15">
        <f>L9</f>
        <v>4382</v>
      </c>
      <c r="L9" s="15">
        <f>1359+3023</f>
        <v>4382</v>
      </c>
      <c r="M9" s="16">
        <f t="shared" si="1"/>
        <v>4382</v>
      </c>
      <c r="N9" s="16">
        <v>0</v>
      </c>
      <c r="O9" s="62">
        <f t="shared" si="2"/>
        <v>0</v>
      </c>
      <c r="P9" s="42">
        <f t="shared" si="3"/>
        <v>21</v>
      </c>
      <c r="Q9" s="43">
        <f t="shared" si="4"/>
        <v>3</v>
      </c>
      <c r="R9" s="7"/>
      <c r="S9" s="6">
        <v>3</v>
      </c>
      <c r="T9" s="17"/>
      <c r="U9" s="17"/>
      <c r="V9" s="18"/>
      <c r="W9" s="19"/>
      <c r="X9" s="17"/>
      <c r="Y9" s="20"/>
      <c r="Z9" s="20"/>
      <c r="AA9" s="21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9">
        <f t="shared" si="8"/>
        <v>0.36944444444444441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180</v>
      </c>
      <c r="D10" s="55" t="s">
        <v>167</v>
      </c>
      <c r="E10" s="57" t="s">
        <v>296</v>
      </c>
      <c r="F10" s="12" t="s">
        <v>169</v>
      </c>
      <c r="G10" s="12">
        <v>1</v>
      </c>
      <c r="H10" s="13">
        <v>20</v>
      </c>
      <c r="I10" s="7">
        <v>30000</v>
      </c>
      <c r="J10" s="14">
        <v>6257</v>
      </c>
      <c r="K10" s="15">
        <f>L10+3953</f>
        <v>10210</v>
      </c>
      <c r="L10" s="15">
        <f>2994+3263</f>
        <v>6257</v>
      </c>
      <c r="M10" s="16">
        <f t="shared" si="1"/>
        <v>6257</v>
      </c>
      <c r="N10" s="16">
        <v>0</v>
      </c>
      <c r="O10" s="62">
        <f t="shared" si="2"/>
        <v>0</v>
      </c>
      <c r="P10" s="42">
        <f t="shared" si="3"/>
        <v>24</v>
      </c>
      <c r="Q10" s="43">
        <f t="shared" si="4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5"/>
        <v>1</v>
      </c>
      <c r="AC10" s="9">
        <f t="shared" si="6"/>
        <v>1</v>
      </c>
      <c r="AD10" s="10">
        <f t="shared" si="7"/>
        <v>1</v>
      </c>
      <c r="AE10" s="39">
        <f t="shared" si="8"/>
        <v>0.36944444444444441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119</v>
      </c>
      <c r="D11" s="55" t="s">
        <v>220</v>
      </c>
      <c r="E11" s="57" t="s">
        <v>239</v>
      </c>
      <c r="F11" s="12" t="s">
        <v>125</v>
      </c>
      <c r="G11" s="12">
        <v>2</v>
      </c>
      <c r="H11" s="13">
        <v>24</v>
      </c>
      <c r="I11" s="7">
        <v>60000</v>
      </c>
      <c r="J11" s="14">
        <v>3488</v>
      </c>
      <c r="K11" s="15">
        <f>L11+11216+11952</f>
        <v>26656</v>
      </c>
      <c r="L11" s="15">
        <f>1744*2</f>
        <v>3488</v>
      </c>
      <c r="M11" s="16">
        <f t="shared" si="1"/>
        <v>3488</v>
      </c>
      <c r="N11" s="16">
        <v>0</v>
      </c>
      <c r="O11" s="62">
        <f t="shared" si="2"/>
        <v>0</v>
      </c>
      <c r="P11" s="42">
        <f t="shared" si="3"/>
        <v>6</v>
      </c>
      <c r="Q11" s="43">
        <f t="shared" si="4"/>
        <v>18</v>
      </c>
      <c r="R11" s="7"/>
      <c r="S11" s="6"/>
      <c r="T11" s="17"/>
      <c r="U11" s="17"/>
      <c r="V11" s="18"/>
      <c r="W11" s="19">
        <v>18</v>
      </c>
      <c r="X11" s="17"/>
      <c r="Y11" s="20"/>
      <c r="Z11" s="20"/>
      <c r="AA11" s="21"/>
      <c r="AB11" s="8">
        <f t="shared" si="5"/>
        <v>1</v>
      </c>
      <c r="AC11" s="9">
        <f t="shared" si="6"/>
        <v>0.25</v>
      </c>
      <c r="AD11" s="10">
        <f t="shared" si="7"/>
        <v>0.25</v>
      </c>
      <c r="AE11" s="39">
        <f t="shared" si="8"/>
        <v>0.36944444444444441</v>
      </c>
      <c r="AF11" s="93">
        <f t="shared" si="9"/>
        <v>6</v>
      </c>
    </row>
    <row r="12" spans="1:32" ht="27" customHeight="1">
      <c r="A12" s="109">
        <v>6</v>
      </c>
      <c r="B12" s="11" t="s">
        <v>57</v>
      </c>
      <c r="C12" s="11" t="s">
        <v>114</v>
      </c>
      <c r="D12" s="55" t="s">
        <v>308</v>
      </c>
      <c r="E12" s="57" t="s">
        <v>312</v>
      </c>
      <c r="F12" s="12" t="s">
        <v>166</v>
      </c>
      <c r="G12" s="12">
        <v>1</v>
      </c>
      <c r="H12" s="13">
        <v>24</v>
      </c>
      <c r="I12" s="7">
        <v>4000</v>
      </c>
      <c r="J12" s="14">
        <v>1388</v>
      </c>
      <c r="K12" s="15">
        <f>L12</f>
        <v>1388</v>
      </c>
      <c r="L12" s="15">
        <f>1388</f>
        <v>1388</v>
      </c>
      <c r="M12" s="16">
        <f t="shared" ref="M12" si="10">L12-N12</f>
        <v>1388</v>
      </c>
      <c r="N12" s="16">
        <v>0</v>
      </c>
      <c r="O12" s="62">
        <f t="shared" ref="O12" si="11">IF(L12=0,"0",N12/L12)</f>
        <v>0</v>
      </c>
      <c r="P12" s="42">
        <f t="shared" ref="P12" si="12">IF(L12=0,"0",(24-Q12))</f>
        <v>7</v>
      </c>
      <c r="Q12" s="43">
        <f t="shared" ref="Q12" si="13">SUM(R12:AA12)</f>
        <v>17</v>
      </c>
      <c r="R12" s="7"/>
      <c r="S12" s="6">
        <v>17</v>
      </c>
      <c r="T12" s="17"/>
      <c r="U12" s="17"/>
      <c r="V12" s="18"/>
      <c r="W12" s="19"/>
      <c r="X12" s="17"/>
      <c r="Y12" s="20"/>
      <c r="Z12" s="20"/>
      <c r="AA12" s="21"/>
      <c r="AB12" s="8">
        <f t="shared" ref="AB12" si="14">IF(J12=0,"0",(L12/J12))</f>
        <v>1</v>
      </c>
      <c r="AC12" s="9">
        <f t="shared" ref="AC12" si="15">IF(P12=0,"0",(P12/24))</f>
        <v>0.29166666666666669</v>
      </c>
      <c r="AD12" s="10">
        <f t="shared" ref="AD12" si="16">AC12*AB12*(1-O12)</f>
        <v>0.29166666666666669</v>
      </c>
      <c r="AE12" s="39">
        <f t="shared" si="8"/>
        <v>0.36944444444444441</v>
      </c>
      <c r="AF12" s="93">
        <f t="shared" ref="AF12" si="17">A12</f>
        <v>6</v>
      </c>
    </row>
    <row r="13" spans="1:32" ht="27" customHeight="1">
      <c r="A13" s="109">
        <v>7</v>
      </c>
      <c r="B13" s="11" t="s">
        <v>57</v>
      </c>
      <c r="C13" s="11" t="s">
        <v>180</v>
      </c>
      <c r="D13" s="55" t="s">
        <v>220</v>
      </c>
      <c r="E13" s="57" t="s">
        <v>313</v>
      </c>
      <c r="F13" s="33" t="s">
        <v>222</v>
      </c>
      <c r="G13" s="36">
        <v>1</v>
      </c>
      <c r="H13" s="38">
        <v>20</v>
      </c>
      <c r="I13" s="7">
        <v>1000</v>
      </c>
      <c r="J13" s="14">
        <v>2570</v>
      </c>
      <c r="K13" s="15">
        <f>L13</f>
        <v>2570</v>
      </c>
      <c r="L13" s="15">
        <f>911+1659</f>
        <v>2570</v>
      </c>
      <c r="M13" s="16">
        <f t="shared" si="1"/>
        <v>2570</v>
      </c>
      <c r="N13" s="16">
        <v>0</v>
      </c>
      <c r="O13" s="62">
        <f t="shared" si="2"/>
        <v>0</v>
      </c>
      <c r="P13" s="42">
        <f t="shared" si="3"/>
        <v>13</v>
      </c>
      <c r="Q13" s="43">
        <f t="shared" si="4"/>
        <v>11</v>
      </c>
      <c r="R13" s="7">
        <v>5</v>
      </c>
      <c r="S13" s="6">
        <v>4</v>
      </c>
      <c r="T13" s="17">
        <v>2</v>
      </c>
      <c r="U13" s="17"/>
      <c r="V13" s="18"/>
      <c r="W13" s="19"/>
      <c r="X13" s="17"/>
      <c r="Y13" s="20"/>
      <c r="Z13" s="20"/>
      <c r="AA13" s="21"/>
      <c r="AB13" s="8">
        <f t="shared" si="5"/>
        <v>1</v>
      </c>
      <c r="AC13" s="9">
        <f t="shared" si="6"/>
        <v>0.54166666666666663</v>
      </c>
      <c r="AD13" s="10">
        <f t="shared" si="7"/>
        <v>0.54166666666666663</v>
      </c>
      <c r="AE13" s="39">
        <f t="shared" si="8"/>
        <v>0.36944444444444441</v>
      </c>
      <c r="AF13" s="93">
        <f t="shared" si="9"/>
        <v>7</v>
      </c>
    </row>
    <row r="14" spans="1:32" ht="27" customHeight="1">
      <c r="A14" s="109">
        <v>8</v>
      </c>
      <c r="B14" s="11"/>
      <c r="C14" s="11"/>
      <c r="D14" s="55"/>
      <c r="E14" s="57"/>
      <c r="F14" s="33"/>
      <c r="G14" s="36"/>
      <c r="H14" s="38"/>
      <c r="I14" s="7"/>
      <c r="J14" s="14"/>
      <c r="K14" s="15"/>
      <c r="L14" s="15"/>
      <c r="M14" s="16">
        <f t="shared" si="1"/>
        <v>0</v>
      </c>
      <c r="N14" s="16">
        <v>0</v>
      </c>
      <c r="O14" s="62" t="str">
        <f t="shared" si="2"/>
        <v>0</v>
      </c>
      <c r="P14" s="42" t="str">
        <f t="shared" si="3"/>
        <v>0</v>
      </c>
      <c r="Q14" s="43">
        <f t="shared" si="4"/>
        <v>24</v>
      </c>
      <c r="R14" s="7"/>
      <c r="S14" s="6"/>
      <c r="T14" s="17"/>
      <c r="U14" s="17"/>
      <c r="V14" s="18"/>
      <c r="W14" s="19"/>
      <c r="X14" s="17"/>
      <c r="Y14" s="20"/>
      <c r="Z14" s="20"/>
      <c r="AA14" s="21">
        <v>24</v>
      </c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9">
        <f t="shared" si="8"/>
        <v>0.36944444444444441</v>
      </c>
      <c r="AF14" s="93">
        <f t="shared" si="9"/>
        <v>8</v>
      </c>
    </row>
    <row r="15" spans="1:32" ht="27" customHeight="1">
      <c r="A15" s="125">
        <v>9</v>
      </c>
      <c r="B15" s="11" t="s">
        <v>57</v>
      </c>
      <c r="C15" s="37" t="s">
        <v>114</v>
      </c>
      <c r="D15" s="55" t="s">
        <v>175</v>
      </c>
      <c r="E15" s="57" t="s">
        <v>224</v>
      </c>
      <c r="F15" s="33" t="s">
        <v>177</v>
      </c>
      <c r="G15" s="36">
        <v>1</v>
      </c>
      <c r="H15" s="38">
        <v>22</v>
      </c>
      <c r="I15" s="7">
        <v>2000</v>
      </c>
      <c r="J15" s="5">
        <v>2452</v>
      </c>
      <c r="K15" s="15">
        <f>L15+2452</f>
        <v>2452</v>
      </c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8</v>
      </c>
      <c r="R15" s="7"/>
      <c r="S15" s="6"/>
      <c r="T15" s="17"/>
      <c r="U15" s="17"/>
      <c r="V15" s="18"/>
      <c r="W15" s="19">
        <v>8</v>
      </c>
      <c r="X15" s="17"/>
      <c r="Y15" s="20"/>
      <c r="Z15" s="20"/>
      <c r="AA15" s="21"/>
      <c r="AB15" s="8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0.36944444444444441</v>
      </c>
      <c r="AF15" s="93">
        <f t="shared" si="9"/>
        <v>9</v>
      </c>
    </row>
    <row r="16" spans="1:32" ht="27" customHeight="1">
      <c r="A16" s="108">
        <v>10</v>
      </c>
      <c r="B16" s="11" t="s">
        <v>57</v>
      </c>
      <c r="C16" s="37" t="s">
        <v>119</v>
      </c>
      <c r="D16" s="55" t="s">
        <v>135</v>
      </c>
      <c r="E16" s="57" t="s">
        <v>145</v>
      </c>
      <c r="F16" s="12" t="s">
        <v>125</v>
      </c>
      <c r="G16" s="12">
        <v>2</v>
      </c>
      <c r="H16" s="13">
        <v>20</v>
      </c>
      <c r="I16" s="34">
        <v>12000</v>
      </c>
      <c r="J16" s="14">
        <v>6080</v>
      </c>
      <c r="K16" s="15">
        <f>L16+6606</f>
        <v>12686</v>
      </c>
      <c r="L16" s="15">
        <f>3040*2</f>
        <v>6080</v>
      </c>
      <c r="M16" s="16">
        <f t="shared" si="1"/>
        <v>6080</v>
      </c>
      <c r="N16" s="16">
        <v>0</v>
      </c>
      <c r="O16" s="62">
        <f t="shared" si="2"/>
        <v>0</v>
      </c>
      <c r="P16" s="42">
        <f t="shared" si="3"/>
        <v>14</v>
      </c>
      <c r="Q16" s="43">
        <f t="shared" si="4"/>
        <v>10</v>
      </c>
      <c r="R16" s="7"/>
      <c r="S16" s="6"/>
      <c r="T16" s="17"/>
      <c r="U16" s="17"/>
      <c r="V16" s="18"/>
      <c r="W16" s="19">
        <v>10</v>
      </c>
      <c r="X16" s="17"/>
      <c r="Y16" s="20"/>
      <c r="Z16" s="20"/>
      <c r="AA16" s="21"/>
      <c r="AB16" s="8">
        <f t="shared" si="5"/>
        <v>1</v>
      </c>
      <c r="AC16" s="9">
        <f t="shared" si="6"/>
        <v>0.58333333333333337</v>
      </c>
      <c r="AD16" s="10">
        <f t="shared" si="7"/>
        <v>0.58333333333333337</v>
      </c>
      <c r="AE16" s="39">
        <f t="shared" si="8"/>
        <v>0.36944444444444441</v>
      </c>
      <c r="AF16" s="93">
        <f t="shared" si="9"/>
        <v>10</v>
      </c>
    </row>
    <row r="17" spans="1:32" ht="27" customHeight="1">
      <c r="A17" s="108">
        <v>11</v>
      </c>
      <c r="B17" s="11" t="s">
        <v>57</v>
      </c>
      <c r="C17" s="11" t="s">
        <v>114</v>
      </c>
      <c r="D17" s="55" t="s">
        <v>167</v>
      </c>
      <c r="E17" s="57" t="s">
        <v>246</v>
      </c>
      <c r="F17" s="12" t="s">
        <v>169</v>
      </c>
      <c r="G17" s="12">
        <v>1</v>
      </c>
      <c r="H17" s="13">
        <v>20</v>
      </c>
      <c r="I17" s="7">
        <v>2000</v>
      </c>
      <c r="J17" s="14">
        <v>2319</v>
      </c>
      <c r="K17" s="15">
        <f>L17+2319</f>
        <v>2319</v>
      </c>
      <c r="L17" s="15"/>
      <c r="M17" s="16">
        <f t="shared" si="1"/>
        <v>0</v>
      </c>
      <c r="N17" s="16">
        <v>0</v>
      </c>
      <c r="O17" s="62" t="str">
        <f t="shared" si="2"/>
        <v>0</v>
      </c>
      <c r="P17" s="42" t="str">
        <f t="shared" si="3"/>
        <v>0</v>
      </c>
      <c r="Q17" s="43">
        <f t="shared" si="4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5"/>
        <v>0</v>
      </c>
      <c r="AC17" s="9">
        <f t="shared" si="6"/>
        <v>0</v>
      </c>
      <c r="AD17" s="10">
        <f t="shared" si="7"/>
        <v>0</v>
      </c>
      <c r="AE17" s="39">
        <f t="shared" si="8"/>
        <v>0.36944444444444441</v>
      </c>
      <c r="AF17" s="93">
        <f t="shared" si="9"/>
        <v>11</v>
      </c>
    </row>
    <row r="18" spans="1:32" ht="27" customHeight="1">
      <c r="A18" s="108">
        <v>12</v>
      </c>
      <c r="B18" s="11"/>
      <c r="C18" s="37"/>
      <c r="D18" s="55"/>
      <c r="E18" s="57"/>
      <c r="F18" s="12"/>
      <c r="G18" s="12"/>
      <c r="H18" s="13"/>
      <c r="I18" s="34"/>
      <c r="J18" s="14"/>
      <c r="K18" s="15"/>
      <c r="L18" s="15"/>
      <c r="M18" s="16">
        <f t="shared" si="1"/>
        <v>0</v>
      </c>
      <c r="N18" s="16">
        <v>0</v>
      </c>
      <c r="O18" s="62" t="str">
        <f t="shared" si="2"/>
        <v>0</v>
      </c>
      <c r="P18" s="42" t="str">
        <f t="shared" si="3"/>
        <v>0</v>
      </c>
      <c r="Q18" s="43">
        <f t="shared" si="4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 t="str">
        <f t="shared" si="5"/>
        <v>0</v>
      </c>
      <c r="AC18" s="9">
        <f t="shared" si="6"/>
        <v>0</v>
      </c>
      <c r="AD18" s="10">
        <f t="shared" si="7"/>
        <v>0</v>
      </c>
      <c r="AE18" s="39">
        <f t="shared" si="8"/>
        <v>0.36944444444444441</v>
      </c>
      <c r="AF18" s="93">
        <f t="shared" si="9"/>
        <v>12</v>
      </c>
    </row>
    <row r="19" spans="1:32" ht="27" customHeight="1">
      <c r="A19" s="109">
        <v>13</v>
      </c>
      <c r="B19" s="11" t="s">
        <v>57</v>
      </c>
      <c r="C19" s="37" t="s">
        <v>119</v>
      </c>
      <c r="D19" s="55" t="s">
        <v>117</v>
      </c>
      <c r="E19" s="57" t="s">
        <v>209</v>
      </c>
      <c r="F19" s="33" t="s">
        <v>124</v>
      </c>
      <c r="G19" s="36">
        <v>2</v>
      </c>
      <c r="H19" s="38">
        <v>25</v>
      </c>
      <c r="I19" s="7">
        <v>60000</v>
      </c>
      <c r="J19" s="5">
        <v>10550</v>
      </c>
      <c r="K19" s="15">
        <f>L19+7486+10058+10374+10126+10364</f>
        <v>58958</v>
      </c>
      <c r="L19" s="15">
        <f>2771*2+2504*2</f>
        <v>10550</v>
      </c>
      <c r="M19" s="16">
        <f t="shared" si="1"/>
        <v>10550</v>
      </c>
      <c r="N19" s="16">
        <v>0</v>
      </c>
      <c r="O19" s="62">
        <f t="shared" si="2"/>
        <v>0</v>
      </c>
      <c r="P19" s="42">
        <f t="shared" si="3"/>
        <v>24</v>
      </c>
      <c r="Q19" s="43">
        <f t="shared" si="4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9">
        <f t="shared" si="8"/>
        <v>0.36944444444444441</v>
      </c>
      <c r="AF19" s="93">
        <f t="shared" si="9"/>
        <v>13</v>
      </c>
    </row>
    <row r="20" spans="1:32" ht="27" customHeight="1">
      <c r="A20" s="109">
        <v>14</v>
      </c>
      <c r="B20" s="11" t="s">
        <v>57</v>
      </c>
      <c r="C20" s="37" t="s">
        <v>180</v>
      </c>
      <c r="D20" s="55" t="s">
        <v>117</v>
      </c>
      <c r="E20" s="57" t="s">
        <v>274</v>
      </c>
      <c r="F20" s="12" t="s">
        <v>162</v>
      </c>
      <c r="G20" s="36">
        <v>1</v>
      </c>
      <c r="H20" s="38">
        <v>24</v>
      </c>
      <c r="I20" s="7">
        <v>30000</v>
      </c>
      <c r="J20" s="5">
        <v>5293</v>
      </c>
      <c r="K20" s="15">
        <f>L20+3291+5129+4916</f>
        <v>18629</v>
      </c>
      <c r="L20" s="15">
        <f>2754+2539</f>
        <v>5293</v>
      </c>
      <c r="M20" s="16">
        <f t="shared" si="1"/>
        <v>5293</v>
      </c>
      <c r="N20" s="16">
        <v>0</v>
      </c>
      <c r="O20" s="62">
        <f t="shared" si="2"/>
        <v>0</v>
      </c>
      <c r="P20" s="42">
        <f t="shared" si="3"/>
        <v>24</v>
      </c>
      <c r="Q20" s="43">
        <f t="shared" si="4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9">
        <f t="shared" si="8"/>
        <v>0.36944444444444441</v>
      </c>
      <c r="AF20" s="93">
        <f t="shared" si="9"/>
        <v>14</v>
      </c>
    </row>
    <row r="21" spans="1:32" ht="27" customHeight="1" thickBot="1">
      <c r="A21" s="109">
        <v>15</v>
      </c>
      <c r="B21" s="11" t="s">
        <v>57</v>
      </c>
      <c r="C21" s="11" t="s">
        <v>115</v>
      </c>
      <c r="D21" s="55"/>
      <c r="E21" s="56" t="s">
        <v>126</v>
      </c>
      <c r="F21" s="12" t="s">
        <v>116</v>
      </c>
      <c r="G21" s="12">
        <v>4</v>
      </c>
      <c r="H21" s="38">
        <v>20</v>
      </c>
      <c r="I21" s="7">
        <v>500000</v>
      </c>
      <c r="J21" s="14">
        <v>35376</v>
      </c>
      <c r="K21" s="15">
        <f>L21+27008+76128+41848+38820+35376</f>
        <v>219180</v>
      </c>
      <c r="L21" s="15"/>
      <c r="M21" s="16">
        <f t="shared" si="1"/>
        <v>0</v>
      </c>
      <c r="N21" s="16">
        <v>0</v>
      </c>
      <c r="O21" s="62" t="str">
        <f t="shared" si="2"/>
        <v>0</v>
      </c>
      <c r="P21" s="42" t="str">
        <f t="shared" si="3"/>
        <v>0</v>
      </c>
      <c r="Q21" s="43">
        <f t="shared" si="4"/>
        <v>24</v>
      </c>
      <c r="R21" s="7"/>
      <c r="S21" s="6"/>
      <c r="T21" s="17"/>
      <c r="U21" s="17"/>
      <c r="V21" s="18">
        <v>24</v>
      </c>
      <c r="W21" s="19"/>
      <c r="X21" s="17"/>
      <c r="Y21" s="20"/>
      <c r="Z21" s="20"/>
      <c r="AA21" s="21"/>
      <c r="AB21" s="8">
        <f t="shared" si="5"/>
        <v>0</v>
      </c>
      <c r="AC21" s="9">
        <f t="shared" si="6"/>
        <v>0</v>
      </c>
      <c r="AD21" s="10">
        <f t="shared" si="7"/>
        <v>0</v>
      </c>
      <c r="AE21" s="39">
        <f t="shared" si="8"/>
        <v>0.36944444444444441</v>
      </c>
      <c r="AF21" s="93">
        <f t="shared" si="9"/>
        <v>15</v>
      </c>
    </row>
    <row r="22" spans="1:32" ht="31.5" customHeight="1" thickBot="1">
      <c r="A22" s="312" t="s">
        <v>34</v>
      </c>
      <c r="B22" s="313"/>
      <c r="C22" s="313"/>
      <c r="D22" s="313"/>
      <c r="E22" s="313"/>
      <c r="F22" s="313"/>
      <c r="G22" s="313"/>
      <c r="H22" s="314"/>
      <c r="I22" s="25">
        <f t="shared" ref="I22:N22" si="18">SUM(I6:I21)</f>
        <v>761000</v>
      </c>
      <c r="J22" s="22">
        <f t="shared" si="18"/>
        <v>81965</v>
      </c>
      <c r="K22" s="23">
        <f t="shared" si="18"/>
        <v>364379</v>
      </c>
      <c r="L22" s="24">
        <f t="shared" si="18"/>
        <v>40008</v>
      </c>
      <c r="M22" s="23">
        <f t="shared" si="18"/>
        <v>40008</v>
      </c>
      <c r="N22" s="24">
        <f t="shared" si="18"/>
        <v>0</v>
      </c>
      <c r="O22" s="44">
        <f t="shared" si="2"/>
        <v>0</v>
      </c>
      <c r="P22" s="45">
        <f t="shared" ref="P22:AA22" si="19">SUM(P6:P21)</f>
        <v>133</v>
      </c>
      <c r="Q22" s="46">
        <f t="shared" si="19"/>
        <v>235</v>
      </c>
      <c r="R22" s="26">
        <f t="shared" si="19"/>
        <v>53</v>
      </c>
      <c r="S22" s="27">
        <f t="shared" si="19"/>
        <v>24</v>
      </c>
      <c r="T22" s="27">
        <f t="shared" si="19"/>
        <v>2</v>
      </c>
      <c r="U22" s="27">
        <f t="shared" si="19"/>
        <v>0</v>
      </c>
      <c r="V22" s="28">
        <f t="shared" si="19"/>
        <v>24</v>
      </c>
      <c r="W22" s="29">
        <f t="shared" si="19"/>
        <v>108</v>
      </c>
      <c r="X22" s="30">
        <f t="shared" si="19"/>
        <v>0</v>
      </c>
      <c r="Y22" s="30">
        <f t="shared" si="19"/>
        <v>0</v>
      </c>
      <c r="Z22" s="30">
        <f t="shared" si="19"/>
        <v>0</v>
      </c>
      <c r="AA22" s="30">
        <f t="shared" si="19"/>
        <v>24</v>
      </c>
      <c r="AB22" s="31">
        <f>SUM(AB6:AB21)/15</f>
        <v>0.53333333333333333</v>
      </c>
      <c r="AC22" s="4">
        <f>SUM(AC6:AC21)/15</f>
        <v>0.36944444444444441</v>
      </c>
      <c r="AD22" s="4">
        <f>SUM(AD6:AD21)/15</f>
        <v>0.36944444444444441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15" t="s">
        <v>45</v>
      </c>
      <c r="B49" s="315"/>
      <c r="C49" s="315"/>
      <c r="D49" s="315"/>
      <c r="E49" s="31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16" t="s">
        <v>320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19" t="s">
        <v>323</v>
      </c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1"/>
    </row>
    <row r="51" spans="1:32" ht="27" customHeight="1">
      <c r="A51" s="322" t="s">
        <v>2</v>
      </c>
      <c r="B51" s="323"/>
      <c r="C51" s="239" t="s">
        <v>46</v>
      </c>
      <c r="D51" s="239" t="s">
        <v>47</v>
      </c>
      <c r="E51" s="239" t="s">
        <v>108</v>
      </c>
      <c r="F51" s="323" t="s">
        <v>107</v>
      </c>
      <c r="G51" s="323"/>
      <c r="H51" s="323"/>
      <c r="I51" s="323"/>
      <c r="J51" s="323"/>
      <c r="K51" s="323"/>
      <c r="L51" s="323"/>
      <c r="M51" s="324"/>
      <c r="N51" s="73" t="s">
        <v>112</v>
      </c>
      <c r="O51" s="239" t="s">
        <v>46</v>
      </c>
      <c r="P51" s="325" t="s">
        <v>47</v>
      </c>
      <c r="Q51" s="326"/>
      <c r="R51" s="325" t="s">
        <v>38</v>
      </c>
      <c r="S51" s="327"/>
      <c r="T51" s="327"/>
      <c r="U51" s="326"/>
      <c r="V51" s="325" t="s">
        <v>48</v>
      </c>
      <c r="W51" s="327"/>
      <c r="X51" s="327"/>
      <c r="Y51" s="327"/>
      <c r="Z51" s="327"/>
      <c r="AA51" s="327"/>
      <c r="AB51" s="327"/>
      <c r="AC51" s="327"/>
      <c r="AD51" s="328"/>
    </row>
    <row r="52" spans="1:32" ht="27" customHeight="1">
      <c r="A52" s="339" t="s">
        <v>180</v>
      </c>
      <c r="B52" s="340"/>
      <c r="C52" s="236" t="s">
        <v>199</v>
      </c>
      <c r="D52" s="236" t="s">
        <v>220</v>
      </c>
      <c r="E52" s="236" t="s">
        <v>313</v>
      </c>
      <c r="F52" s="341" t="s">
        <v>321</v>
      </c>
      <c r="G52" s="342"/>
      <c r="H52" s="342"/>
      <c r="I52" s="342"/>
      <c r="J52" s="342"/>
      <c r="K52" s="342"/>
      <c r="L52" s="342"/>
      <c r="M52" s="343"/>
      <c r="N52" s="235" t="s">
        <v>180</v>
      </c>
      <c r="O52" s="124" t="s">
        <v>199</v>
      </c>
      <c r="P52" s="340" t="s">
        <v>220</v>
      </c>
      <c r="Q52" s="340"/>
      <c r="R52" s="340" t="s">
        <v>313</v>
      </c>
      <c r="S52" s="340"/>
      <c r="T52" s="340"/>
      <c r="U52" s="340"/>
      <c r="V52" s="346" t="s">
        <v>236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114</v>
      </c>
      <c r="B53" s="340"/>
      <c r="C53" s="236" t="s">
        <v>183</v>
      </c>
      <c r="D53" s="236" t="s">
        <v>164</v>
      </c>
      <c r="E53" s="236" t="s">
        <v>312</v>
      </c>
      <c r="F53" s="341" t="s">
        <v>322</v>
      </c>
      <c r="G53" s="342"/>
      <c r="H53" s="342"/>
      <c r="I53" s="342"/>
      <c r="J53" s="342"/>
      <c r="K53" s="342"/>
      <c r="L53" s="342"/>
      <c r="M53" s="343"/>
      <c r="N53" s="235" t="s">
        <v>114</v>
      </c>
      <c r="O53" s="124" t="s">
        <v>183</v>
      </c>
      <c r="P53" s="340" t="s">
        <v>164</v>
      </c>
      <c r="Q53" s="340"/>
      <c r="R53" s="340" t="s">
        <v>312</v>
      </c>
      <c r="S53" s="340"/>
      <c r="T53" s="340"/>
      <c r="U53" s="340"/>
      <c r="V53" s="346" t="s">
        <v>236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180</v>
      </c>
      <c r="B54" s="340"/>
      <c r="C54" s="236" t="s">
        <v>276</v>
      </c>
      <c r="D54" s="236" t="s">
        <v>220</v>
      </c>
      <c r="E54" s="236" t="s">
        <v>221</v>
      </c>
      <c r="F54" s="341" t="s">
        <v>236</v>
      </c>
      <c r="G54" s="342"/>
      <c r="H54" s="342"/>
      <c r="I54" s="342"/>
      <c r="J54" s="342"/>
      <c r="K54" s="342"/>
      <c r="L54" s="342"/>
      <c r="M54" s="343"/>
      <c r="N54" s="235" t="s">
        <v>114</v>
      </c>
      <c r="O54" s="124" t="s">
        <v>184</v>
      </c>
      <c r="P54" s="340" t="s">
        <v>164</v>
      </c>
      <c r="Q54" s="340"/>
      <c r="R54" s="340" t="s">
        <v>324</v>
      </c>
      <c r="S54" s="340"/>
      <c r="T54" s="340"/>
      <c r="U54" s="340"/>
      <c r="V54" s="346" t="s">
        <v>131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/>
      <c r="B55" s="340"/>
      <c r="C55" s="236"/>
      <c r="D55" s="236"/>
      <c r="E55" s="236"/>
      <c r="F55" s="341"/>
      <c r="G55" s="342"/>
      <c r="H55" s="342"/>
      <c r="I55" s="342"/>
      <c r="J55" s="342"/>
      <c r="K55" s="342"/>
      <c r="L55" s="342"/>
      <c r="M55" s="343"/>
      <c r="N55" s="235" t="s">
        <v>180</v>
      </c>
      <c r="O55" s="124" t="s">
        <v>297</v>
      </c>
      <c r="P55" s="344" t="s">
        <v>120</v>
      </c>
      <c r="Q55" s="345"/>
      <c r="R55" s="340" t="s">
        <v>278</v>
      </c>
      <c r="S55" s="340"/>
      <c r="T55" s="340"/>
      <c r="U55" s="340"/>
      <c r="V55" s="346" t="s">
        <v>131</v>
      </c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/>
      <c r="B56" s="340"/>
      <c r="C56" s="236"/>
      <c r="D56" s="236"/>
      <c r="E56" s="236"/>
      <c r="F56" s="341"/>
      <c r="G56" s="342"/>
      <c r="H56" s="342"/>
      <c r="I56" s="342"/>
      <c r="J56" s="342"/>
      <c r="K56" s="342"/>
      <c r="L56" s="342"/>
      <c r="M56" s="343"/>
      <c r="N56" s="235" t="s">
        <v>114</v>
      </c>
      <c r="O56" s="124" t="s">
        <v>186</v>
      </c>
      <c r="P56" s="340" t="s">
        <v>122</v>
      </c>
      <c r="Q56" s="340"/>
      <c r="R56" s="340" t="s">
        <v>185</v>
      </c>
      <c r="S56" s="340"/>
      <c r="T56" s="340"/>
      <c r="U56" s="340"/>
      <c r="V56" s="346" t="s">
        <v>131</v>
      </c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236"/>
      <c r="D57" s="236"/>
      <c r="E57" s="236"/>
      <c r="F57" s="341"/>
      <c r="G57" s="342"/>
      <c r="H57" s="342"/>
      <c r="I57" s="342"/>
      <c r="J57" s="342"/>
      <c r="K57" s="342"/>
      <c r="L57" s="342"/>
      <c r="M57" s="343"/>
      <c r="N57" s="235" t="s">
        <v>325</v>
      </c>
      <c r="O57" s="124" t="s">
        <v>310</v>
      </c>
      <c r="P57" s="344"/>
      <c r="Q57" s="345"/>
      <c r="R57" s="340" t="s">
        <v>326</v>
      </c>
      <c r="S57" s="340"/>
      <c r="T57" s="340"/>
      <c r="U57" s="340"/>
      <c r="V57" s="346" t="s">
        <v>131</v>
      </c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236"/>
      <c r="D58" s="236"/>
      <c r="E58" s="236"/>
      <c r="F58" s="341"/>
      <c r="G58" s="342"/>
      <c r="H58" s="342"/>
      <c r="I58" s="342"/>
      <c r="J58" s="342"/>
      <c r="K58" s="342"/>
      <c r="L58" s="342"/>
      <c r="M58" s="343"/>
      <c r="N58" s="235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236"/>
      <c r="D59" s="236"/>
      <c r="E59" s="236"/>
      <c r="F59" s="346"/>
      <c r="G59" s="346"/>
      <c r="H59" s="346"/>
      <c r="I59" s="346"/>
      <c r="J59" s="346"/>
      <c r="K59" s="346"/>
      <c r="L59" s="346"/>
      <c r="M59" s="347"/>
      <c r="N59" s="235"/>
      <c r="O59" s="124"/>
      <c r="P59" s="344"/>
      <c r="Q59" s="345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</row>
    <row r="60" spans="1:32" ht="27" customHeight="1">
      <c r="A60" s="339"/>
      <c r="B60" s="340"/>
      <c r="C60" s="236"/>
      <c r="D60" s="236"/>
      <c r="E60" s="236"/>
      <c r="F60" s="341"/>
      <c r="G60" s="342"/>
      <c r="H60" s="342"/>
      <c r="I60" s="342"/>
      <c r="J60" s="342"/>
      <c r="K60" s="342"/>
      <c r="L60" s="342"/>
      <c r="M60" s="343"/>
      <c r="N60" s="235"/>
      <c r="O60" s="124"/>
      <c r="P60" s="340"/>
      <c r="Q60" s="340"/>
      <c r="R60" s="340"/>
      <c r="S60" s="340"/>
      <c r="T60" s="340"/>
      <c r="U60" s="340"/>
      <c r="V60" s="346"/>
      <c r="W60" s="346"/>
      <c r="X60" s="346"/>
      <c r="Y60" s="346"/>
      <c r="Z60" s="346"/>
      <c r="AA60" s="346"/>
      <c r="AB60" s="346"/>
      <c r="AC60" s="346"/>
      <c r="AD60" s="347"/>
      <c r="AF60" s="93">
        <f>8*3000</f>
        <v>24000</v>
      </c>
    </row>
    <row r="61" spans="1:32" ht="27" customHeight="1" thickBot="1">
      <c r="A61" s="348"/>
      <c r="B61" s="349"/>
      <c r="C61" s="238"/>
      <c r="D61" s="238"/>
      <c r="E61" s="238"/>
      <c r="F61" s="350"/>
      <c r="G61" s="350"/>
      <c r="H61" s="350"/>
      <c r="I61" s="350"/>
      <c r="J61" s="350"/>
      <c r="K61" s="350"/>
      <c r="L61" s="350"/>
      <c r="M61" s="351"/>
      <c r="N61" s="237"/>
      <c r="O61" s="120"/>
      <c r="P61" s="349"/>
      <c r="Q61" s="349"/>
      <c r="R61" s="349"/>
      <c r="S61" s="349"/>
      <c r="T61" s="349"/>
      <c r="U61" s="349"/>
      <c r="V61" s="352"/>
      <c r="W61" s="352"/>
      <c r="X61" s="352"/>
      <c r="Y61" s="352"/>
      <c r="Z61" s="352"/>
      <c r="AA61" s="352"/>
      <c r="AB61" s="352"/>
      <c r="AC61" s="352"/>
      <c r="AD61" s="353"/>
      <c r="AF61" s="93">
        <f>16*3000</f>
        <v>48000</v>
      </c>
    </row>
    <row r="62" spans="1:32" ht="27.75" thickBot="1">
      <c r="A62" s="354" t="s">
        <v>327</v>
      </c>
      <c r="B62" s="354"/>
      <c r="C62" s="354"/>
      <c r="D62" s="354"/>
      <c r="E62" s="35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55" t="s">
        <v>113</v>
      </c>
      <c r="B63" s="356"/>
      <c r="C63" s="234" t="s">
        <v>2</v>
      </c>
      <c r="D63" s="234" t="s">
        <v>37</v>
      </c>
      <c r="E63" s="234" t="s">
        <v>3</v>
      </c>
      <c r="F63" s="356" t="s">
        <v>110</v>
      </c>
      <c r="G63" s="356"/>
      <c r="H63" s="356"/>
      <c r="I63" s="356"/>
      <c r="J63" s="356"/>
      <c r="K63" s="356" t="s">
        <v>39</v>
      </c>
      <c r="L63" s="356"/>
      <c r="M63" s="234" t="s">
        <v>40</v>
      </c>
      <c r="N63" s="356" t="s">
        <v>41</v>
      </c>
      <c r="O63" s="356"/>
      <c r="P63" s="357" t="s">
        <v>42</v>
      </c>
      <c r="Q63" s="358"/>
      <c r="R63" s="357" t="s">
        <v>43</v>
      </c>
      <c r="S63" s="359"/>
      <c r="T63" s="359"/>
      <c r="U63" s="359"/>
      <c r="V63" s="359"/>
      <c r="W63" s="359"/>
      <c r="X63" s="359"/>
      <c r="Y63" s="359"/>
      <c r="Z63" s="359"/>
      <c r="AA63" s="358"/>
      <c r="AB63" s="356" t="s">
        <v>44</v>
      </c>
      <c r="AC63" s="356"/>
      <c r="AD63" s="360"/>
      <c r="AF63" s="93">
        <f>SUM(AF60:AF62)</f>
        <v>96000</v>
      </c>
    </row>
    <row r="64" spans="1:32" ht="25.5" customHeight="1">
      <c r="A64" s="361">
        <v>1</v>
      </c>
      <c r="B64" s="362"/>
      <c r="C64" s="123" t="s">
        <v>119</v>
      </c>
      <c r="D64" s="230"/>
      <c r="E64" s="233" t="s">
        <v>198</v>
      </c>
      <c r="F64" s="363" t="s">
        <v>328</v>
      </c>
      <c r="G64" s="364"/>
      <c r="H64" s="364"/>
      <c r="I64" s="364"/>
      <c r="J64" s="364"/>
      <c r="K64" s="364" t="s">
        <v>124</v>
      </c>
      <c r="L64" s="364"/>
      <c r="M64" s="54" t="s">
        <v>225</v>
      </c>
      <c r="N64" s="364">
        <v>7</v>
      </c>
      <c r="O64" s="364"/>
      <c r="P64" s="365">
        <v>50</v>
      </c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2</v>
      </c>
      <c r="B65" s="362"/>
      <c r="C65" s="123" t="s">
        <v>119</v>
      </c>
      <c r="D65" s="230"/>
      <c r="E65" s="233" t="s">
        <v>329</v>
      </c>
      <c r="F65" s="363" t="s">
        <v>330</v>
      </c>
      <c r="G65" s="364"/>
      <c r="H65" s="364"/>
      <c r="I65" s="364"/>
      <c r="J65" s="364"/>
      <c r="K65" s="364" t="s">
        <v>125</v>
      </c>
      <c r="L65" s="364"/>
      <c r="M65" s="54" t="s">
        <v>225</v>
      </c>
      <c r="N65" s="364">
        <v>12</v>
      </c>
      <c r="O65" s="364"/>
      <c r="P65" s="365">
        <v>50</v>
      </c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3</v>
      </c>
      <c r="B66" s="362"/>
      <c r="C66" s="123" t="s">
        <v>114</v>
      </c>
      <c r="D66" s="230"/>
      <c r="E66" s="233" t="s">
        <v>267</v>
      </c>
      <c r="F66" s="363" t="s">
        <v>265</v>
      </c>
      <c r="G66" s="364"/>
      <c r="H66" s="364"/>
      <c r="I66" s="364"/>
      <c r="J66" s="364"/>
      <c r="K66" s="364" t="s">
        <v>169</v>
      </c>
      <c r="L66" s="364"/>
      <c r="M66" s="54" t="s">
        <v>268</v>
      </c>
      <c r="N66" s="364">
        <v>8</v>
      </c>
      <c r="O66" s="364"/>
      <c r="P66" s="365">
        <v>100</v>
      </c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4</v>
      </c>
      <c r="B67" s="362"/>
      <c r="C67" s="123" t="s">
        <v>304</v>
      </c>
      <c r="D67" s="230"/>
      <c r="E67" s="233"/>
      <c r="F67" s="363" t="s">
        <v>301</v>
      </c>
      <c r="G67" s="364"/>
      <c r="H67" s="364"/>
      <c r="I67" s="364"/>
      <c r="J67" s="364"/>
      <c r="K67" s="364" t="s">
        <v>302</v>
      </c>
      <c r="L67" s="364"/>
      <c r="M67" s="54" t="s">
        <v>225</v>
      </c>
      <c r="N67" s="364">
        <v>9</v>
      </c>
      <c r="O67" s="364"/>
      <c r="P67" s="365"/>
      <c r="Q67" s="365"/>
      <c r="R67" s="346" t="s">
        <v>331</v>
      </c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5</v>
      </c>
      <c r="B68" s="362"/>
      <c r="C68" s="123" t="s">
        <v>304</v>
      </c>
      <c r="D68" s="230"/>
      <c r="E68" s="233"/>
      <c r="F68" s="363" t="s">
        <v>301</v>
      </c>
      <c r="G68" s="364"/>
      <c r="H68" s="364"/>
      <c r="I68" s="364"/>
      <c r="J68" s="364"/>
      <c r="K68" s="364" t="s">
        <v>302</v>
      </c>
      <c r="L68" s="364"/>
      <c r="M68" s="54" t="s">
        <v>225</v>
      </c>
      <c r="N68" s="364">
        <v>11</v>
      </c>
      <c r="O68" s="364"/>
      <c r="P68" s="365">
        <v>50</v>
      </c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6</v>
      </c>
      <c r="B69" s="362"/>
      <c r="C69" s="123" t="s">
        <v>114</v>
      </c>
      <c r="D69" s="230"/>
      <c r="E69" s="233" t="s">
        <v>332</v>
      </c>
      <c r="F69" s="363" t="s">
        <v>333</v>
      </c>
      <c r="G69" s="364"/>
      <c r="H69" s="364"/>
      <c r="I69" s="364"/>
      <c r="J69" s="364"/>
      <c r="K69" s="364">
        <v>7301</v>
      </c>
      <c r="L69" s="364"/>
      <c r="M69" s="54" t="s">
        <v>225</v>
      </c>
      <c r="N69" s="364">
        <v>8</v>
      </c>
      <c r="O69" s="364"/>
      <c r="P69" s="365">
        <v>50</v>
      </c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7</v>
      </c>
      <c r="B70" s="362"/>
      <c r="C70" s="123"/>
      <c r="D70" s="230"/>
      <c r="E70" s="233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5.5" customHeight="1">
      <c r="A71" s="361">
        <v>8</v>
      </c>
      <c r="B71" s="362"/>
      <c r="C71" s="123"/>
      <c r="D71" s="230"/>
      <c r="E71" s="233"/>
      <c r="F71" s="363"/>
      <c r="G71" s="364"/>
      <c r="H71" s="364"/>
      <c r="I71" s="364"/>
      <c r="J71" s="364"/>
      <c r="K71" s="364"/>
      <c r="L71" s="364"/>
      <c r="M71" s="54"/>
      <c r="N71" s="364"/>
      <c r="O71" s="364"/>
      <c r="P71" s="365"/>
      <c r="Q71" s="365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64"/>
      <c r="AC71" s="364"/>
      <c r="AD71" s="366"/>
      <c r="AF71" s="53"/>
    </row>
    <row r="72" spans="1:32" ht="26.25" customHeight="1" thickBot="1">
      <c r="A72" s="367" t="s">
        <v>334</v>
      </c>
      <c r="B72" s="367"/>
      <c r="C72" s="367"/>
      <c r="D72" s="367"/>
      <c r="E72" s="36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8" t="s">
        <v>113</v>
      </c>
      <c r="B73" s="369"/>
      <c r="C73" s="232" t="s">
        <v>2</v>
      </c>
      <c r="D73" s="232" t="s">
        <v>37</v>
      </c>
      <c r="E73" s="232" t="s">
        <v>3</v>
      </c>
      <c r="F73" s="369" t="s">
        <v>38</v>
      </c>
      <c r="G73" s="369"/>
      <c r="H73" s="369"/>
      <c r="I73" s="369"/>
      <c r="J73" s="369"/>
      <c r="K73" s="370" t="s">
        <v>58</v>
      </c>
      <c r="L73" s="371"/>
      <c r="M73" s="371"/>
      <c r="N73" s="371"/>
      <c r="O73" s="371"/>
      <c r="P73" s="371"/>
      <c r="Q73" s="371"/>
      <c r="R73" s="371"/>
      <c r="S73" s="372"/>
      <c r="T73" s="369" t="s">
        <v>49</v>
      </c>
      <c r="U73" s="369"/>
      <c r="V73" s="370" t="s">
        <v>50</v>
      </c>
      <c r="W73" s="372"/>
      <c r="X73" s="371" t="s">
        <v>51</v>
      </c>
      <c r="Y73" s="371"/>
      <c r="Z73" s="371"/>
      <c r="AA73" s="371"/>
      <c r="AB73" s="371"/>
      <c r="AC73" s="371"/>
      <c r="AD73" s="373"/>
      <c r="AF73" s="53"/>
    </row>
    <row r="74" spans="1:32" ht="33.75" customHeight="1">
      <c r="A74" s="382">
        <v>1</v>
      </c>
      <c r="B74" s="383"/>
      <c r="C74" s="231" t="s">
        <v>114</v>
      </c>
      <c r="D74" s="231"/>
      <c r="E74" s="71" t="s">
        <v>122</v>
      </c>
      <c r="F74" s="384" t="s">
        <v>121</v>
      </c>
      <c r="G74" s="385"/>
      <c r="H74" s="385"/>
      <c r="I74" s="385"/>
      <c r="J74" s="386"/>
      <c r="K74" s="387" t="s">
        <v>123</v>
      </c>
      <c r="L74" s="388"/>
      <c r="M74" s="388"/>
      <c r="N74" s="388"/>
      <c r="O74" s="388"/>
      <c r="P74" s="388"/>
      <c r="Q74" s="388"/>
      <c r="R74" s="388"/>
      <c r="S74" s="389"/>
      <c r="T74" s="390">
        <v>43384</v>
      </c>
      <c r="U74" s="391"/>
      <c r="V74" s="392"/>
      <c r="W74" s="392"/>
      <c r="X74" s="393"/>
      <c r="Y74" s="393"/>
      <c r="Z74" s="393"/>
      <c r="AA74" s="393"/>
      <c r="AB74" s="393"/>
      <c r="AC74" s="393"/>
      <c r="AD74" s="394"/>
      <c r="AF74" s="53"/>
    </row>
    <row r="75" spans="1:32" ht="30" customHeight="1">
      <c r="A75" s="374">
        <f>A74+1</f>
        <v>2</v>
      </c>
      <c r="B75" s="375"/>
      <c r="C75" s="230"/>
      <c r="D75" s="230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ref="A76:A82" si="20">A75+1</f>
        <v>3</v>
      </c>
      <c r="B76" s="375"/>
      <c r="C76" s="230"/>
      <c r="D76" s="230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20"/>
        <v>4</v>
      </c>
      <c r="B77" s="375"/>
      <c r="C77" s="230"/>
      <c r="D77" s="230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20"/>
        <v>5</v>
      </c>
      <c r="B78" s="375"/>
      <c r="C78" s="230"/>
      <c r="D78" s="230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20"/>
        <v>6</v>
      </c>
      <c r="B79" s="375"/>
      <c r="C79" s="230"/>
      <c r="D79" s="230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20"/>
        <v>7</v>
      </c>
      <c r="B80" s="375"/>
      <c r="C80" s="230"/>
      <c r="D80" s="230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20"/>
        <v>8</v>
      </c>
      <c r="B81" s="375"/>
      <c r="C81" s="230"/>
      <c r="D81" s="230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0" customHeight="1">
      <c r="A82" s="374">
        <f t="shared" si="20"/>
        <v>9</v>
      </c>
      <c r="B82" s="375"/>
      <c r="C82" s="230"/>
      <c r="D82" s="230"/>
      <c r="E82" s="35"/>
      <c r="F82" s="375"/>
      <c r="G82" s="375"/>
      <c r="H82" s="375"/>
      <c r="I82" s="375"/>
      <c r="J82" s="375"/>
      <c r="K82" s="376"/>
      <c r="L82" s="377"/>
      <c r="M82" s="377"/>
      <c r="N82" s="377"/>
      <c r="O82" s="377"/>
      <c r="P82" s="377"/>
      <c r="Q82" s="377"/>
      <c r="R82" s="377"/>
      <c r="S82" s="378"/>
      <c r="T82" s="379"/>
      <c r="U82" s="379"/>
      <c r="V82" s="379"/>
      <c r="W82" s="379"/>
      <c r="X82" s="380"/>
      <c r="Y82" s="380"/>
      <c r="Z82" s="380"/>
      <c r="AA82" s="380"/>
      <c r="AB82" s="380"/>
      <c r="AC82" s="380"/>
      <c r="AD82" s="381"/>
      <c r="AF82" s="53"/>
    </row>
    <row r="83" spans="1:32" ht="36" thickBot="1">
      <c r="A83" s="367" t="s">
        <v>335</v>
      </c>
      <c r="B83" s="367"/>
      <c r="C83" s="367"/>
      <c r="D83" s="367"/>
      <c r="E83" s="36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68" t="s">
        <v>113</v>
      </c>
      <c r="B84" s="369"/>
      <c r="C84" s="395" t="s">
        <v>52</v>
      </c>
      <c r="D84" s="395"/>
      <c r="E84" s="395" t="s">
        <v>53</v>
      </c>
      <c r="F84" s="395"/>
      <c r="G84" s="395"/>
      <c r="H84" s="395"/>
      <c r="I84" s="395"/>
      <c r="J84" s="395"/>
      <c r="K84" s="395" t="s">
        <v>54</v>
      </c>
      <c r="L84" s="395"/>
      <c r="M84" s="395"/>
      <c r="N84" s="395"/>
      <c r="O84" s="395"/>
      <c r="P84" s="395"/>
      <c r="Q84" s="395"/>
      <c r="R84" s="395"/>
      <c r="S84" s="395"/>
      <c r="T84" s="395" t="s">
        <v>55</v>
      </c>
      <c r="U84" s="395"/>
      <c r="V84" s="395" t="s">
        <v>56</v>
      </c>
      <c r="W84" s="395"/>
      <c r="X84" s="395"/>
      <c r="Y84" s="395" t="s">
        <v>51</v>
      </c>
      <c r="Z84" s="395"/>
      <c r="AA84" s="395"/>
      <c r="AB84" s="395"/>
      <c r="AC84" s="395"/>
      <c r="AD84" s="396"/>
      <c r="AF84" s="53"/>
    </row>
    <row r="85" spans="1:32" ht="30.75" customHeight="1">
      <c r="A85" s="382">
        <v>1</v>
      </c>
      <c r="B85" s="383"/>
      <c r="C85" s="397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8"/>
      <c r="W85" s="398"/>
      <c r="X85" s="398"/>
      <c r="Y85" s="399"/>
      <c r="Z85" s="399"/>
      <c r="AA85" s="399"/>
      <c r="AB85" s="399"/>
      <c r="AC85" s="399"/>
      <c r="AD85" s="400"/>
      <c r="AF85" s="53"/>
    </row>
    <row r="86" spans="1:32" ht="30.75" customHeight="1">
      <c r="A86" s="374">
        <v>2</v>
      </c>
      <c r="B86" s="375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9"/>
      <c r="U86" s="409"/>
      <c r="V86" s="410"/>
      <c r="W86" s="410"/>
      <c r="X86" s="410"/>
      <c r="Y86" s="401"/>
      <c r="Z86" s="401"/>
      <c r="AA86" s="401"/>
      <c r="AB86" s="401"/>
      <c r="AC86" s="401"/>
      <c r="AD86" s="402"/>
      <c r="AF86" s="53"/>
    </row>
    <row r="87" spans="1:32" ht="30.75" customHeight="1" thickBot="1">
      <c r="A87" s="403">
        <v>3</v>
      </c>
      <c r="B87" s="404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6"/>
      <c r="Z87" s="406"/>
      <c r="AA87" s="406"/>
      <c r="AB87" s="406"/>
      <c r="AC87" s="406"/>
      <c r="AD87" s="40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B9CD-56CD-4A24-9EAB-8CAF733774FF}">
  <sheetPr>
    <pageSetUpPr fitToPage="1"/>
  </sheetPr>
  <dimension ref="A1:AF86"/>
  <sheetViews>
    <sheetView zoomScale="72" zoomScaleNormal="72" zoomScaleSheetLayoutView="70" workbookViewId="0">
      <selection activeCell="J20" sqref="J2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336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241" t="s">
        <v>17</v>
      </c>
      <c r="L5" s="241" t="s">
        <v>18</v>
      </c>
      <c r="M5" s="241" t="s">
        <v>19</v>
      </c>
      <c r="N5" s="24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7" si="0">L6</f>
        <v>0</v>
      </c>
      <c r="L6" s="15"/>
      <c r="M6" s="16">
        <f t="shared" ref="M6:M20" si="1">L6-N6</f>
        <v>0</v>
      </c>
      <c r="N6" s="16">
        <v>0</v>
      </c>
      <c r="O6" s="62" t="str">
        <f t="shared" ref="O6:O21" si="2">IF(L6=0,"0",N6/L6)</f>
        <v>0</v>
      </c>
      <c r="P6" s="42" t="str">
        <f t="shared" ref="P6:P20" si="3">IF(L6=0,"0",(24-Q6))</f>
        <v>0</v>
      </c>
      <c r="Q6" s="43">
        <f t="shared" ref="Q6:Q20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9">
        <f t="shared" ref="AE6:AE20" si="8">$AD$21</f>
        <v>0.6</v>
      </c>
      <c r="AF6" s="93">
        <f t="shared" ref="AF6:AF20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0.6</v>
      </c>
      <c r="AF7" s="93">
        <f t="shared" si="9"/>
        <v>2</v>
      </c>
    </row>
    <row r="8" spans="1:32" ht="27" customHeight="1">
      <c r="A8" s="108">
        <v>3</v>
      </c>
      <c r="B8" s="11" t="s">
        <v>57</v>
      </c>
      <c r="C8" s="37" t="s">
        <v>180</v>
      </c>
      <c r="D8" s="55" t="s">
        <v>120</v>
      </c>
      <c r="E8" s="57" t="s">
        <v>278</v>
      </c>
      <c r="F8" s="33" t="s">
        <v>179</v>
      </c>
      <c r="G8" s="36">
        <v>1</v>
      </c>
      <c r="H8" s="38">
        <v>24</v>
      </c>
      <c r="I8" s="7">
        <v>29000</v>
      </c>
      <c r="J8" s="5">
        <v>1810</v>
      </c>
      <c r="K8" s="15">
        <f>L8+3139+1810</f>
        <v>4949</v>
      </c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>
        <v>24</v>
      </c>
      <c r="S8" s="6"/>
      <c r="T8" s="17"/>
      <c r="U8" s="17"/>
      <c r="V8" s="18"/>
      <c r="W8" s="19"/>
      <c r="X8" s="17"/>
      <c r="Y8" s="20"/>
      <c r="Z8" s="20"/>
      <c r="AA8" s="21"/>
      <c r="AB8" s="8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0.6</v>
      </c>
      <c r="AF8" s="93">
        <f t="shared" si="9"/>
        <v>3</v>
      </c>
    </row>
    <row r="9" spans="1:32" ht="27" customHeight="1">
      <c r="A9" s="109">
        <v>4</v>
      </c>
      <c r="B9" s="11" t="s">
        <v>57</v>
      </c>
      <c r="C9" s="11" t="s">
        <v>180</v>
      </c>
      <c r="D9" s="55" t="s">
        <v>220</v>
      </c>
      <c r="E9" s="57" t="s">
        <v>221</v>
      </c>
      <c r="F9" s="33" t="s">
        <v>222</v>
      </c>
      <c r="G9" s="36">
        <v>1</v>
      </c>
      <c r="H9" s="38">
        <v>24</v>
      </c>
      <c r="I9" s="7">
        <v>31000</v>
      </c>
      <c r="J9" s="14">
        <v>2780</v>
      </c>
      <c r="K9" s="15">
        <f>L9+4382</f>
        <v>7162</v>
      </c>
      <c r="L9" s="15">
        <f>1045+1735</f>
        <v>2780</v>
      </c>
      <c r="M9" s="16">
        <f t="shared" si="1"/>
        <v>2780</v>
      </c>
      <c r="N9" s="16">
        <v>0</v>
      </c>
      <c r="O9" s="62">
        <f t="shared" si="2"/>
        <v>0</v>
      </c>
      <c r="P9" s="42">
        <f t="shared" si="3"/>
        <v>16</v>
      </c>
      <c r="Q9" s="43">
        <f t="shared" si="4"/>
        <v>8</v>
      </c>
      <c r="R9" s="7"/>
      <c r="S9" s="6">
        <v>8</v>
      </c>
      <c r="T9" s="17"/>
      <c r="U9" s="17"/>
      <c r="V9" s="18"/>
      <c r="W9" s="19"/>
      <c r="X9" s="17"/>
      <c r="Y9" s="20"/>
      <c r="Z9" s="20"/>
      <c r="AA9" s="21"/>
      <c r="AB9" s="8">
        <f t="shared" si="5"/>
        <v>1</v>
      </c>
      <c r="AC9" s="9">
        <f t="shared" si="6"/>
        <v>0.66666666666666663</v>
      </c>
      <c r="AD9" s="10">
        <f t="shared" si="7"/>
        <v>0.66666666666666663</v>
      </c>
      <c r="AE9" s="39">
        <f t="shared" si="8"/>
        <v>0.6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180</v>
      </c>
      <c r="D10" s="55" t="s">
        <v>167</v>
      </c>
      <c r="E10" s="57" t="s">
        <v>296</v>
      </c>
      <c r="F10" s="12" t="s">
        <v>169</v>
      </c>
      <c r="G10" s="12">
        <v>1</v>
      </c>
      <c r="H10" s="13">
        <v>20</v>
      </c>
      <c r="I10" s="7">
        <v>30000</v>
      </c>
      <c r="J10" s="14">
        <v>6291</v>
      </c>
      <c r="K10" s="15">
        <f>L10+3953+6257</f>
        <v>16501</v>
      </c>
      <c r="L10" s="15">
        <f>3345+2946</f>
        <v>6291</v>
      </c>
      <c r="M10" s="16">
        <f t="shared" si="1"/>
        <v>6291</v>
      </c>
      <c r="N10" s="16">
        <v>0</v>
      </c>
      <c r="O10" s="62">
        <f t="shared" si="2"/>
        <v>0</v>
      </c>
      <c r="P10" s="42">
        <f t="shared" si="3"/>
        <v>24</v>
      </c>
      <c r="Q10" s="43">
        <f t="shared" si="4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5"/>
        <v>1</v>
      </c>
      <c r="AC10" s="9">
        <f t="shared" si="6"/>
        <v>1</v>
      </c>
      <c r="AD10" s="10">
        <f t="shared" si="7"/>
        <v>1</v>
      </c>
      <c r="AE10" s="39">
        <f t="shared" si="8"/>
        <v>0.6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114</v>
      </c>
      <c r="D11" s="55" t="s">
        <v>308</v>
      </c>
      <c r="E11" s="57" t="s">
        <v>312</v>
      </c>
      <c r="F11" s="12" t="s">
        <v>166</v>
      </c>
      <c r="G11" s="12">
        <v>1</v>
      </c>
      <c r="H11" s="13">
        <v>24</v>
      </c>
      <c r="I11" s="7">
        <v>4000</v>
      </c>
      <c r="J11" s="14">
        <v>4493</v>
      </c>
      <c r="K11" s="15">
        <f>L11+1388</f>
        <v>5881</v>
      </c>
      <c r="L11" s="15">
        <f>2623+1870</f>
        <v>4493</v>
      </c>
      <c r="M11" s="16">
        <f t="shared" si="1"/>
        <v>4493</v>
      </c>
      <c r="N11" s="16">
        <v>0</v>
      </c>
      <c r="O11" s="62">
        <f t="shared" si="2"/>
        <v>0</v>
      </c>
      <c r="P11" s="42">
        <f t="shared" si="3"/>
        <v>21</v>
      </c>
      <c r="Q11" s="43">
        <f t="shared" si="4"/>
        <v>3</v>
      </c>
      <c r="R11" s="7"/>
      <c r="S11" s="6">
        <v>3</v>
      </c>
      <c r="T11" s="17"/>
      <c r="U11" s="17"/>
      <c r="V11" s="18"/>
      <c r="W11" s="19"/>
      <c r="X11" s="17"/>
      <c r="Y11" s="20"/>
      <c r="Z11" s="20"/>
      <c r="AA11" s="21"/>
      <c r="AB11" s="8">
        <f t="shared" si="5"/>
        <v>1</v>
      </c>
      <c r="AC11" s="9">
        <f t="shared" si="6"/>
        <v>0.875</v>
      </c>
      <c r="AD11" s="10">
        <f t="shared" si="7"/>
        <v>0.875</v>
      </c>
      <c r="AE11" s="39">
        <f t="shared" si="8"/>
        <v>0.6</v>
      </c>
      <c r="AF11" s="93">
        <f t="shared" si="9"/>
        <v>6</v>
      </c>
    </row>
    <row r="12" spans="1:32" ht="27" customHeight="1">
      <c r="A12" s="109">
        <v>7</v>
      </c>
      <c r="B12" s="11" t="s">
        <v>57</v>
      </c>
      <c r="C12" s="11" t="s">
        <v>180</v>
      </c>
      <c r="D12" s="55" t="s">
        <v>220</v>
      </c>
      <c r="E12" s="57" t="s">
        <v>313</v>
      </c>
      <c r="F12" s="33" t="s">
        <v>222</v>
      </c>
      <c r="G12" s="36">
        <v>1</v>
      </c>
      <c r="H12" s="38">
        <v>20</v>
      </c>
      <c r="I12" s="7">
        <v>1000</v>
      </c>
      <c r="J12" s="14">
        <v>4952</v>
      </c>
      <c r="K12" s="15">
        <f>L12+2570</f>
        <v>7522</v>
      </c>
      <c r="L12" s="15">
        <f>2876+2076</f>
        <v>4952</v>
      </c>
      <c r="M12" s="16">
        <f t="shared" si="1"/>
        <v>4952</v>
      </c>
      <c r="N12" s="16">
        <v>0</v>
      </c>
      <c r="O12" s="62">
        <f t="shared" si="2"/>
        <v>0</v>
      </c>
      <c r="P12" s="42">
        <f t="shared" si="3"/>
        <v>24</v>
      </c>
      <c r="Q12" s="43">
        <f t="shared" si="4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5"/>
        <v>1</v>
      </c>
      <c r="AC12" s="9">
        <f t="shared" si="6"/>
        <v>1</v>
      </c>
      <c r="AD12" s="10">
        <f t="shared" si="7"/>
        <v>1</v>
      </c>
      <c r="AE12" s="39">
        <f t="shared" si="8"/>
        <v>0.6</v>
      </c>
      <c r="AF12" s="93">
        <f t="shared" si="9"/>
        <v>7</v>
      </c>
    </row>
    <row r="13" spans="1:32" ht="27" customHeight="1">
      <c r="A13" s="109">
        <v>8</v>
      </c>
      <c r="B13" s="11" t="s">
        <v>57</v>
      </c>
      <c r="C13" s="11" t="s">
        <v>114</v>
      </c>
      <c r="D13" s="55" t="s">
        <v>308</v>
      </c>
      <c r="E13" s="57" t="s">
        <v>324</v>
      </c>
      <c r="F13" s="33" t="s">
        <v>162</v>
      </c>
      <c r="G13" s="36">
        <v>1</v>
      </c>
      <c r="H13" s="38">
        <v>24</v>
      </c>
      <c r="I13" s="7">
        <v>1000</v>
      </c>
      <c r="J13" s="14">
        <v>3707</v>
      </c>
      <c r="K13" s="15">
        <f>L13</f>
        <v>3707</v>
      </c>
      <c r="L13" s="15">
        <f>1501+2206</f>
        <v>3707</v>
      </c>
      <c r="M13" s="16">
        <f t="shared" si="1"/>
        <v>3707</v>
      </c>
      <c r="N13" s="16">
        <v>0</v>
      </c>
      <c r="O13" s="62">
        <f t="shared" si="2"/>
        <v>0</v>
      </c>
      <c r="P13" s="42">
        <f t="shared" si="3"/>
        <v>20</v>
      </c>
      <c r="Q13" s="43">
        <f t="shared" si="4"/>
        <v>4</v>
      </c>
      <c r="R13" s="7"/>
      <c r="S13" s="6"/>
      <c r="T13" s="17">
        <v>4</v>
      </c>
      <c r="U13" s="17"/>
      <c r="V13" s="18"/>
      <c r="W13" s="19"/>
      <c r="X13" s="17"/>
      <c r="Y13" s="20"/>
      <c r="Z13" s="20"/>
      <c r="AA13" s="21"/>
      <c r="AB13" s="8">
        <f t="shared" si="5"/>
        <v>1</v>
      </c>
      <c r="AC13" s="9">
        <f t="shared" si="6"/>
        <v>0.83333333333333337</v>
      </c>
      <c r="AD13" s="10">
        <f t="shared" si="7"/>
        <v>0.83333333333333337</v>
      </c>
      <c r="AE13" s="39">
        <f t="shared" si="8"/>
        <v>0.6</v>
      </c>
      <c r="AF13" s="93">
        <f t="shared" si="9"/>
        <v>8</v>
      </c>
    </row>
    <row r="14" spans="1:32" ht="27" customHeight="1">
      <c r="A14" s="125">
        <v>9</v>
      </c>
      <c r="B14" s="11" t="s">
        <v>57</v>
      </c>
      <c r="C14" s="37" t="s">
        <v>180</v>
      </c>
      <c r="D14" s="55" t="s">
        <v>120</v>
      </c>
      <c r="E14" s="57" t="s">
        <v>278</v>
      </c>
      <c r="F14" s="33" t="s">
        <v>179</v>
      </c>
      <c r="G14" s="36">
        <v>1</v>
      </c>
      <c r="H14" s="38">
        <v>24</v>
      </c>
      <c r="I14" s="7">
        <v>29000</v>
      </c>
      <c r="J14" s="5">
        <v>4248</v>
      </c>
      <c r="K14" s="15">
        <f>L14+3139+1810</f>
        <v>9197</v>
      </c>
      <c r="L14" s="15">
        <f>2483+1765</f>
        <v>4248</v>
      </c>
      <c r="M14" s="16">
        <f t="shared" ref="M14" si="10">L14-N14</f>
        <v>4248</v>
      </c>
      <c r="N14" s="16">
        <v>0</v>
      </c>
      <c r="O14" s="62">
        <f t="shared" ref="O14" si="11">IF(L14=0,"0",N14/L14)</f>
        <v>0</v>
      </c>
      <c r="P14" s="42">
        <f t="shared" ref="P14" si="12">IF(L14=0,"0",(24-Q14))</f>
        <v>23</v>
      </c>
      <c r="Q14" s="43">
        <f t="shared" ref="Q14" si="13">SUM(R14:AA14)</f>
        <v>1</v>
      </c>
      <c r="R14" s="7"/>
      <c r="S14" s="6"/>
      <c r="T14" s="17">
        <v>1</v>
      </c>
      <c r="U14" s="17"/>
      <c r="V14" s="18"/>
      <c r="W14" s="19"/>
      <c r="X14" s="17"/>
      <c r="Y14" s="20"/>
      <c r="Z14" s="20"/>
      <c r="AA14" s="21"/>
      <c r="AB14" s="8">
        <f t="shared" ref="AB14" si="14">IF(J14=0,"0",(L14/J14))</f>
        <v>1</v>
      </c>
      <c r="AC14" s="9">
        <f t="shared" ref="AC14" si="15">IF(P14=0,"0",(P14/24))</f>
        <v>0.95833333333333337</v>
      </c>
      <c r="AD14" s="10">
        <f t="shared" ref="AD14" si="16">AC14*AB14*(1-O14)</f>
        <v>0.95833333333333337</v>
      </c>
      <c r="AE14" s="39">
        <f t="shared" si="8"/>
        <v>0.6</v>
      </c>
      <c r="AF14" s="93">
        <f t="shared" ref="AF14" si="17">A14</f>
        <v>9</v>
      </c>
    </row>
    <row r="15" spans="1:32" ht="27" customHeight="1">
      <c r="A15" s="108">
        <v>10</v>
      </c>
      <c r="B15" s="11" t="s">
        <v>57</v>
      </c>
      <c r="C15" s="37" t="s">
        <v>325</v>
      </c>
      <c r="D15" s="55"/>
      <c r="E15" s="57" t="s">
        <v>326</v>
      </c>
      <c r="F15" s="12" t="s">
        <v>337</v>
      </c>
      <c r="G15" s="12">
        <v>1</v>
      </c>
      <c r="H15" s="13">
        <v>20</v>
      </c>
      <c r="I15" s="34">
        <v>4200</v>
      </c>
      <c r="J15" s="14">
        <v>2571</v>
      </c>
      <c r="K15" s="15">
        <f>L15</f>
        <v>2571</v>
      </c>
      <c r="L15" s="15">
        <f>1850+721</f>
        <v>2571</v>
      </c>
      <c r="M15" s="16">
        <f t="shared" si="1"/>
        <v>2571</v>
      </c>
      <c r="N15" s="16">
        <v>0</v>
      </c>
      <c r="O15" s="62">
        <f t="shared" si="2"/>
        <v>0</v>
      </c>
      <c r="P15" s="42">
        <f t="shared" si="3"/>
        <v>16</v>
      </c>
      <c r="Q15" s="43">
        <f t="shared" si="4"/>
        <v>8</v>
      </c>
      <c r="R15" s="7"/>
      <c r="S15" s="6">
        <v>6</v>
      </c>
      <c r="T15" s="17">
        <v>2</v>
      </c>
      <c r="U15" s="17"/>
      <c r="V15" s="18"/>
      <c r="W15" s="19"/>
      <c r="X15" s="17"/>
      <c r="Y15" s="20"/>
      <c r="Z15" s="20"/>
      <c r="AA15" s="21"/>
      <c r="AB15" s="8">
        <f t="shared" si="5"/>
        <v>1</v>
      </c>
      <c r="AC15" s="9">
        <f t="shared" si="6"/>
        <v>0.66666666666666663</v>
      </c>
      <c r="AD15" s="10">
        <f t="shared" si="7"/>
        <v>0.66666666666666663</v>
      </c>
      <c r="AE15" s="39">
        <f t="shared" si="8"/>
        <v>0.6</v>
      </c>
      <c r="AF15" s="93">
        <f t="shared" si="9"/>
        <v>10</v>
      </c>
    </row>
    <row r="16" spans="1:32" ht="27" customHeight="1">
      <c r="A16" s="108">
        <v>11</v>
      </c>
      <c r="B16" s="11" t="s">
        <v>57</v>
      </c>
      <c r="C16" s="11" t="s">
        <v>114</v>
      </c>
      <c r="D16" s="55" t="s">
        <v>122</v>
      </c>
      <c r="E16" s="57" t="s">
        <v>185</v>
      </c>
      <c r="F16" s="12">
        <v>7301</v>
      </c>
      <c r="G16" s="12">
        <v>1</v>
      </c>
      <c r="H16" s="13">
        <v>24</v>
      </c>
      <c r="I16" s="7">
        <v>4500</v>
      </c>
      <c r="J16" s="14">
        <v>4633</v>
      </c>
      <c r="K16" s="15">
        <f>L16</f>
        <v>4633</v>
      </c>
      <c r="L16" s="15">
        <f>1948+2685</f>
        <v>4633</v>
      </c>
      <c r="M16" s="16">
        <f t="shared" si="1"/>
        <v>4633</v>
      </c>
      <c r="N16" s="16">
        <v>0</v>
      </c>
      <c r="O16" s="62">
        <f t="shared" si="2"/>
        <v>0</v>
      </c>
      <c r="P16" s="42">
        <f t="shared" si="3"/>
        <v>24</v>
      </c>
      <c r="Q16" s="43">
        <f t="shared" si="4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5"/>
        <v>1</v>
      </c>
      <c r="AC16" s="9">
        <f t="shared" si="6"/>
        <v>1</v>
      </c>
      <c r="AD16" s="10">
        <f t="shared" si="7"/>
        <v>1</v>
      </c>
      <c r="AE16" s="39">
        <f t="shared" si="8"/>
        <v>0.6</v>
      </c>
      <c r="AF16" s="93">
        <f t="shared" si="9"/>
        <v>11</v>
      </c>
    </row>
    <row r="17" spans="1:32" ht="27" customHeight="1">
      <c r="A17" s="108">
        <v>12</v>
      </c>
      <c r="B17" s="11"/>
      <c r="C17" s="37"/>
      <c r="D17" s="55"/>
      <c r="E17" s="57"/>
      <c r="F17" s="12"/>
      <c r="G17" s="12"/>
      <c r="H17" s="13"/>
      <c r="I17" s="34"/>
      <c r="J17" s="14"/>
      <c r="K17" s="15"/>
      <c r="L17" s="15"/>
      <c r="M17" s="16">
        <f t="shared" si="1"/>
        <v>0</v>
      </c>
      <c r="N17" s="16">
        <v>0</v>
      </c>
      <c r="O17" s="62" t="str">
        <f t="shared" si="2"/>
        <v>0</v>
      </c>
      <c r="P17" s="42" t="str">
        <f t="shared" si="3"/>
        <v>0</v>
      </c>
      <c r="Q17" s="43">
        <f t="shared" si="4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 t="str">
        <f t="shared" si="5"/>
        <v>0</v>
      </c>
      <c r="AC17" s="9">
        <f t="shared" si="6"/>
        <v>0</v>
      </c>
      <c r="AD17" s="10">
        <f t="shared" si="7"/>
        <v>0</v>
      </c>
      <c r="AE17" s="39">
        <f t="shared" si="8"/>
        <v>0.6</v>
      </c>
      <c r="AF17" s="93">
        <f t="shared" si="9"/>
        <v>12</v>
      </c>
    </row>
    <row r="18" spans="1:32" ht="27" customHeight="1">
      <c r="A18" s="109">
        <v>13</v>
      </c>
      <c r="B18" s="11" t="s">
        <v>57</v>
      </c>
      <c r="C18" s="37" t="s">
        <v>119</v>
      </c>
      <c r="D18" s="55" t="s">
        <v>117</v>
      </c>
      <c r="E18" s="57" t="s">
        <v>209</v>
      </c>
      <c r="F18" s="33" t="s">
        <v>124</v>
      </c>
      <c r="G18" s="36">
        <v>2</v>
      </c>
      <c r="H18" s="38">
        <v>25</v>
      </c>
      <c r="I18" s="7">
        <v>60000</v>
      </c>
      <c r="J18" s="5">
        <v>9838</v>
      </c>
      <c r="K18" s="15">
        <f>L18+7486+10058+10374+10126+10364+10550</f>
        <v>68796</v>
      </c>
      <c r="L18" s="15">
        <f>2502*2+2417*2</f>
        <v>9838</v>
      </c>
      <c r="M18" s="16">
        <f t="shared" si="1"/>
        <v>9838</v>
      </c>
      <c r="N18" s="16">
        <v>0</v>
      </c>
      <c r="O18" s="62">
        <f t="shared" si="2"/>
        <v>0</v>
      </c>
      <c r="P18" s="42">
        <f t="shared" si="3"/>
        <v>24</v>
      </c>
      <c r="Q18" s="43">
        <f t="shared" si="4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9">
        <f t="shared" si="8"/>
        <v>0.6</v>
      </c>
      <c r="AF18" s="93">
        <f t="shared" si="9"/>
        <v>13</v>
      </c>
    </row>
    <row r="19" spans="1:32" ht="27" customHeight="1">
      <c r="A19" s="109">
        <v>14</v>
      </c>
      <c r="B19" s="11" t="s">
        <v>57</v>
      </c>
      <c r="C19" s="37" t="s">
        <v>180</v>
      </c>
      <c r="D19" s="55" t="s">
        <v>117</v>
      </c>
      <c r="E19" s="57" t="s">
        <v>274</v>
      </c>
      <c r="F19" s="12" t="s">
        <v>162</v>
      </c>
      <c r="G19" s="36">
        <v>1</v>
      </c>
      <c r="H19" s="38">
        <v>24</v>
      </c>
      <c r="I19" s="7">
        <v>30000</v>
      </c>
      <c r="J19" s="5">
        <v>4866</v>
      </c>
      <c r="K19" s="15">
        <f>L19+3291+5129+4916+5293</f>
        <v>23495</v>
      </c>
      <c r="L19" s="15">
        <f>2615+2251</f>
        <v>4866</v>
      </c>
      <c r="M19" s="16">
        <f t="shared" si="1"/>
        <v>4866</v>
      </c>
      <c r="N19" s="16">
        <v>0</v>
      </c>
      <c r="O19" s="62">
        <f t="shared" si="2"/>
        <v>0</v>
      </c>
      <c r="P19" s="42">
        <f t="shared" si="3"/>
        <v>24</v>
      </c>
      <c r="Q19" s="43">
        <f t="shared" si="4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9">
        <f t="shared" si="8"/>
        <v>0.6</v>
      </c>
      <c r="AF19" s="93">
        <f t="shared" si="9"/>
        <v>14</v>
      </c>
    </row>
    <row r="20" spans="1:32" ht="27" customHeight="1" thickBot="1">
      <c r="A20" s="109">
        <v>15</v>
      </c>
      <c r="B20" s="11" t="s">
        <v>57</v>
      </c>
      <c r="C20" s="11" t="s">
        <v>115</v>
      </c>
      <c r="D20" s="55"/>
      <c r="E20" s="56" t="s">
        <v>126</v>
      </c>
      <c r="F20" s="12" t="s">
        <v>116</v>
      </c>
      <c r="G20" s="12">
        <v>4</v>
      </c>
      <c r="H20" s="38">
        <v>20</v>
      </c>
      <c r="I20" s="7">
        <v>500000</v>
      </c>
      <c r="J20" s="14">
        <v>35376</v>
      </c>
      <c r="K20" s="15">
        <f>L20+27008+76128+41848+38820+35376</f>
        <v>219180</v>
      </c>
      <c r="L20" s="15"/>
      <c r="M20" s="16">
        <f t="shared" si="1"/>
        <v>0</v>
      </c>
      <c r="N20" s="16">
        <v>0</v>
      </c>
      <c r="O20" s="62" t="str">
        <f t="shared" si="2"/>
        <v>0</v>
      </c>
      <c r="P20" s="42" t="str">
        <f t="shared" si="3"/>
        <v>0</v>
      </c>
      <c r="Q20" s="43">
        <f t="shared" si="4"/>
        <v>24</v>
      </c>
      <c r="R20" s="7"/>
      <c r="S20" s="6"/>
      <c r="T20" s="17"/>
      <c r="U20" s="17"/>
      <c r="V20" s="18">
        <v>24</v>
      </c>
      <c r="W20" s="19"/>
      <c r="X20" s="17"/>
      <c r="Y20" s="20"/>
      <c r="Z20" s="20"/>
      <c r="AA20" s="21"/>
      <c r="AB20" s="8">
        <f t="shared" si="5"/>
        <v>0</v>
      </c>
      <c r="AC20" s="9">
        <f t="shared" si="6"/>
        <v>0</v>
      </c>
      <c r="AD20" s="10">
        <f t="shared" si="7"/>
        <v>0</v>
      </c>
      <c r="AE20" s="39">
        <f t="shared" si="8"/>
        <v>0.6</v>
      </c>
      <c r="AF20" s="93">
        <f t="shared" si="9"/>
        <v>15</v>
      </c>
    </row>
    <row r="21" spans="1:32" ht="31.5" customHeight="1" thickBot="1">
      <c r="A21" s="312" t="s">
        <v>34</v>
      </c>
      <c r="B21" s="313"/>
      <c r="C21" s="313"/>
      <c r="D21" s="313"/>
      <c r="E21" s="313"/>
      <c r="F21" s="313"/>
      <c r="G21" s="313"/>
      <c r="H21" s="314"/>
      <c r="I21" s="25">
        <f t="shared" ref="I21:N21" si="18">SUM(I6:I20)</f>
        <v>723700</v>
      </c>
      <c r="J21" s="22">
        <f t="shared" si="18"/>
        <v>85565</v>
      </c>
      <c r="K21" s="23">
        <f t="shared" si="18"/>
        <v>373594</v>
      </c>
      <c r="L21" s="24">
        <f t="shared" si="18"/>
        <v>48379</v>
      </c>
      <c r="M21" s="23">
        <f t="shared" si="18"/>
        <v>48379</v>
      </c>
      <c r="N21" s="24">
        <f t="shared" si="18"/>
        <v>0</v>
      </c>
      <c r="O21" s="44">
        <f t="shared" si="2"/>
        <v>0</v>
      </c>
      <c r="P21" s="45">
        <f t="shared" ref="P21:AA21" si="19">SUM(P6:P20)</f>
        <v>216</v>
      </c>
      <c r="Q21" s="46">
        <f t="shared" si="19"/>
        <v>144</v>
      </c>
      <c r="R21" s="26">
        <f t="shared" si="19"/>
        <v>48</v>
      </c>
      <c r="S21" s="27">
        <f t="shared" si="19"/>
        <v>17</v>
      </c>
      <c r="T21" s="27">
        <f t="shared" si="19"/>
        <v>7</v>
      </c>
      <c r="U21" s="27">
        <f t="shared" si="19"/>
        <v>0</v>
      </c>
      <c r="V21" s="28">
        <f t="shared" si="19"/>
        <v>24</v>
      </c>
      <c r="W21" s="29">
        <f t="shared" si="19"/>
        <v>48</v>
      </c>
      <c r="X21" s="30">
        <f t="shared" si="19"/>
        <v>0</v>
      </c>
      <c r="Y21" s="30">
        <f t="shared" si="19"/>
        <v>0</v>
      </c>
      <c r="Z21" s="30">
        <f t="shared" si="19"/>
        <v>0</v>
      </c>
      <c r="AA21" s="30">
        <f t="shared" si="19"/>
        <v>0</v>
      </c>
      <c r="AB21" s="31">
        <f>SUM(AB6:AB20)/15</f>
        <v>0.66666666666666663</v>
      </c>
      <c r="AC21" s="4">
        <f>SUM(AC6:AC20)/15</f>
        <v>0.6</v>
      </c>
      <c r="AD21" s="4">
        <f>SUM(AD6:AD20)/15</f>
        <v>0.6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15" t="s">
        <v>45</v>
      </c>
      <c r="B48" s="315"/>
      <c r="C48" s="315"/>
      <c r="D48" s="315"/>
      <c r="E48" s="31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16" t="s">
        <v>338</v>
      </c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8"/>
      <c r="N49" s="319" t="s">
        <v>342</v>
      </c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1"/>
    </row>
    <row r="50" spans="1:32" ht="27" customHeight="1">
      <c r="A50" s="322" t="s">
        <v>2</v>
      </c>
      <c r="B50" s="323"/>
      <c r="C50" s="242" t="s">
        <v>46</v>
      </c>
      <c r="D50" s="242" t="s">
        <v>47</v>
      </c>
      <c r="E50" s="242" t="s">
        <v>108</v>
      </c>
      <c r="F50" s="323" t="s">
        <v>107</v>
      </c>
      <c r="G50" s="323"/>
      <c r="H50" s="323"/>
      <c r="I50" s="323"/>
      <c r="J50" s="323"/>
      <c r="K50" s="323"/>
      <c r="L50" s="323"/>
      <c r="M50" s="324"/>
      <c r="N50" s="73" t="s">
        <v>112</v>
      </c>
      <c r="O50" s="242" t="s">
        <v>46</v>
      </c>
      <c r="P50" s="325" t="s">
        <v>47</v>
      </c>
      <c r="Q50" s="326"/>
      <c r="R50" s="325" t="s">
        <v>38</v>
      </c>
      <c r="S50" s="327"/>
      <c r="T50" s="327"/>
      <c r="U50" s="326"/>
      <c r="V50" s="325" t="s">
        <v>48</v>
      </c>
      <c r="W50" s="327"/>
      <c r="X50" s="327"/>
      <c r="Y50" s="327"/>
      <c r="Z50" s="327"/>
      <c r="AA50" s="327"/>
      <c r="AB50" s="327"/>
      <c r="AC50" s="327"/>
      <c r="AD50" s="328"/>
    </row>
    <row r="51" spans="1:32" ht="27" customHeight="1">
      <c r="A51" s="339" t="s">
        <v>180</v>
      </c>
      <c r="B51" s="340"/>
      <c r="C51" s="244" t="s">
        <v>199</v>
      </c>
      <c r="D51" s="244" t="s">
        <v>220</v>
      </c>
      <c r="E51" s="244" t="s">
        <v>313</v>
      </c>
      <c r="F51" s="341" t="s">
        <v>236</v>
      </c>
      <c r="G51" s="342"/>
      <c r="H51" s="342"/>
      <c r="I51" s="342"/>
      <c r="J51" s="342"/>
      <c r="K51" s="342"/>
      <c r="L51" s="342"/>
      <c r="M51" s="343"/>
      <c r="N51" s="243" t="s">
        <v>180</v>
      </c>
      <c r="O51" s="124" t="s">
        <v>276</v>
      </c>
      <c r="P51" s="340" t="s">
        <v>220</v>
      </c>
      <c r="Q51" s="340"/>
      <c r="R51" s="340" t="s">
        <v>221</v>
      </c>
      <c r="S51" s="340"/>
      <c r="T51" s="340"/>
      <c r="U51" s="340"/>
      <c r="V51" s="346" t="s">
        <v>236</v>
      </c>
      <c r="W51" s="346"/>
      <c r="X51" s="346"/>
      <c r="Y51" s="346"/>
      <c r="Z51" s="346"/>
      <c r="AA51" s="346"/>
      <c r="AB51" s="346"/>
      <c r="AC51" s="346"/>
      <c r="AD51" s="347"/>
    </row>
    <row r="52" spans="1:32" ht="27" customHeight="1">
      <c r="A52" s="339" t="s">
        <v>114</v>
      </c>
      <c r="B52" s="340"/>
      <c r="C52" s="244" t="s">
        <v>183</v>
      </c>
      <c r="D52" s="244" t="s">
        <v>164</v>
      </c>
      <c r="E52" s="244" t="s">
        <v>312</v>
      </c>
      <c r="F52" s="341" t="s">
        <v>339</v>
      </c>
      <c r="G52" s="342"/>
      <c r="H52" s="342"/>
      <c r="I52" s="342"/>
      <c r="J52" s="342"/>
      <c r="K52" s="342"/>
      <c r="L52" s="342"/>
      <c r="M52" s="343"/>
      <c r="N52" s="243" t="s">
        <v>114</v>
      </c>
      <c r="O52" s="124" t="s">
        <v>184</v>
      </c>
      <c r="P52" s="340" t="s">
        <v>117</v>
      </c>
      <c r="Q52" s="340"/>
      <c r="R52" s="340" t="s">
        <v>248</v>
      </c>
      <c r="S52" s="340"/>
      <c r="T52" s="340"/>
      <c r="U52" s="340"/>
      <c r="V52" s="346" t="s">
        <v>131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180</v>
      </c>
      <c r="B53" s="340"/>
      <c r="C53" s="244" t="s">
        <v>276</v>
      </c>
      <c r="D53" s="244" t="s">
        <v>220</v>
      </c>
      <c r="E53" s="244" t="s">
        <v>221</v>
      </c>
      <c r="F53" s="341" t="s">
        <v>340</v>
      </c>
      <c r="G53" s="342"/>
      <c r="H53" s="342"/>
      <c r="I53" s="342"/>
      <c r="J53" s="342"/>
      <c r="K53" s="342"/>
      <c r="L53" s="342"/>
      <c r="M53" s="343"/>
      <c r="N53" s="243" t="s">
        <v>114</v>
      </c>
      <c r="O53" s="124" t="s">
        <v>184</v>
      </c>
      <c r="P53" s="340" t="s">
        <v>117</v>
      </c>
      <c r="Q53" s="340"/>
      <c r="R53" s="340" t="s">
        <v>249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325</v>
      </c>
      <c r="B54" s="340"/>
      <c r="C54" s="244" t="s">
        <v>310</v>
      </c>
      <c r="D54" s="244"/>
      <c r="E54" s="244" t="s">
        <v>326</v>
      </c>
      <c r="F54" s="341" t="s">
        <v>341</v>
      </c>
      <c r="G54" s="342"/>
      <c r="H54" s="342"/>
      <c r="I54" s="342"/>
      <c r="J54" s="342"/>
      <c r="K54" s="342"/>
      <c r="L54" s="342"/>
      <c r="M54" s="343"/>
      <c r="N54" s="243" t="s">
        <v>325</v>
      </c>
      <c r="O54" s="124" t="s">
        <v>310</v>
      </c>
      <c r="P54" s="344"/>
      <c r="Q54" s="345"/>
      <c r="R54" s="340" t="s">
        <v>326</v>
      </c>
      <c r="S54" s="340"/>
      <c r="T54" s="340"/>
      <c r="U54" s="340"/>
      <c r="V54" s="346" t="s">
        <v>236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114</v>
      </c>
      <c r="B55" s="340"/>
      <c r="C55" s="244" t="s">
        <v>184</v>
      </c>
      <c r="D55" s="244" t="s">
        <v>164</v>
      </c>
      <c r="E55" s="244" t="s">
        <v>324</v>
      </c>
      <c r="F55" s="341" t="s">
        <v>131</v>
      </c>
      <c r="G55" s="342"/>
      <c r="H55" s="342"/>
      <c r="I55" s="342"/>
      <c r="J55" s="342"/>
      <c r="K55" s="342"/>
      <c r="L55" s="342"/>
      <c r="M55" s="343"/>
      <c r="N55" s="243"/>
      <c r="O55" s="124"/>
      <c r="P55" s="340"/>
      <c r="Q55" s="340"/>
      <c r="R55" s="340"/>
      <c r="S55" s="340"/>
      <c r="T55" s="340"/>
      <c r="U55" s="340"/>
      <c r="V55" s="346"/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 t="s">
        <v>114</v>
      </c>
      <c r="B56" s="340"/>
      <c r="C56" s="244" t="s">
        <v>186</v>
      </c>
      <c r="D56" s="244" t="s">
        <v>122</v>
      </c>
      <c r="E56" s="244" t="s">
        <v>185</v>
      </c>
      <c r="F56" s="341" t="s">
        <v>131</v>
      </c>
      <c r="G56" s="342"/>
      <c r="H56" s="342"/>
      <c r="I56" s="342"/>
      <c r="J56" s="342"/>
      <c r="K56" s="342"/>
      <c r="L56" s="342"/>
      <c r="M56" s="343"/>
      <c r="N56" s="243"/>
      <c r="O56" s="124"/>
      <c r="P56" s="344"/>
      <c r="Q56" s="345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244"/>
      <c r="D57" s="244"/>
      <c r="E57" s="244"/>
      <c r="F57" s="341"/>
      <c r="G57" s="342"/>
      <c r="H57" s="342"/>
      <c r="I57" s="342"/>
      <c r="J57" s="342"/>
      <c r="K57" s="342"/>
      <c r="L57" s="342"/>
      <c r="M57" s="343"/>
      <c r="N57" s="243"/>
      <c r="O57" s="124"/>
      <c r="P57" s="344"/>
      <c r="Q57" s="345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244"/>
      <c r="D58" s="244"/>
      <c r="E58" s="244"/>
      <c r="F58" s="346"/>
      <c r="G58" s="346"/>
      <c r="H58" s="346"/>
      <c r="I58" s="346"/>
      <c r="J58" s="346"/>
      <c r="K58" s="346"/>
      <c r="L58" s="346"/>
      <c r="M58" s="347"/>
      <c r="N58" s="243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244"/>
      <c r="D59" s="244"/>
      <c r="E59" s="244"/>
      <c r="F59" s="341"/>
      <c r="G59" s="342"/>
      <c r="H59" s="342"/>
      <c r="I59" s="342"/>
      <c r="J59" s="342"/>
      <c r="K59" s="342"/>
      <c r="L59" s="342"/>
      <c r="M59" s="343"/>
      <c r="N59" s="243"/>
      <c r="O59" s="124"/>
      <c r="P59" s="340"/>
      <c r="Q59" s="340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  <c r="AF59" s="93">
        <f>8*3000</f>
        <v>24000</v>
      </c>
    </row>
    <row r="60" spans="1:32" ht="27" customHeight="1" thickBot="1">
      <c r="A60" s="348"/>
      <c r="B60" s="349"/>
      <c r="C60" s="246"/>
      <c r="D60" s="246"/>
      <c r="E60" s="246"/>
      <c r="F60" s="350"/>
      <c r="G60" s="350"/>
      <c r="H60" s="350"/>
      <c r="I60" s="350"/>
      <c r="J60" s="350"/>
      <c r="K60" s="350"/>
      <c r="L60" s="350"/>
      <c r="M60" s="351"/>
      <c r="N60" s="245"/>
      <c r="O60" s="120"/>
      <c r="P60" s="349"/>
      <c r="Q60" s="349"/>
      <c r="R60" s="349"/>
      <c r="S60" s="349"/>
      <c r="T60" s="349"/>
      <c r="U60" s="349"/>
      <c r="V60" s="352"/>
      <c r="W60" s="352"/>
      <c r="X60" s="352"/>
      <c r="Y60" s="352"/>
      <c r="Z60" s="352"/>
      <c r="AA60" s="352"/>
      <c r="AB60" s="352"/>
      <c r="AC60" s="352"/>
      <c r="AD60" s="353"/>
      <c r="AF60" s="93">
        <f>16*3000</f>
        <v>48000</v>
      </c>
    </row>
    <row r="61" spans="1:32" ht="27.75" thickBot="1">
      <c r="A61" s="354" t="s">
        <v>343</v>
      </c>
      <c r="B61" s="354"/>
      <c r="C61" s="354"/>
      <c r="D61" s="354"/>
      <c r="E61" s="35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55" t="s">
        <v>113</v>
      </c>
      <c r="B62" s="356"/>
      <c r="C62" s="247" t="s">
        <v>2</v>
      </c>
      <c r="D62" s="247" t="s">
        <v>37</v>
      </c>
      <c r="E62" s="247" t="s">
        <v>3</v>
      </c>
      <c r="F62" s="356" t="s">
        <v>110</v>
      </c>
      <c r="G62" s="356"/>
      <c r="H62" s="356"/>
      <c r="I62" s="356"/>
      <c r="J62" s="356"/>
      <c r="K62" s="356" t="s">
        <v>39</v>
      </c>
      <c r="L62" s="356"/>
      <c r="M62" s="247" t="s">
        <v>40</v>
      </c>
      <c r="N62" s="356" t="s">
        <v>41</v>
      </c>
      <c r="O62" s="356"/>
      <c r="P62" s="357" t="s">
        <v>42</v>
      </c>
      <c r="Q62" s="358"/>
      <c r="R62" s="357" t="s">
        <v>43</v>
      </c>
      <c r="S62" s="359"/>
      <c r="T62" s="359"/>
      <c r="U62" s="359"/>
      <c r="V62" s="359"/>
      <c r="W62" s="359"/>
      <c r="X62" s="359"/>
      <c r="Y62" s="359"/>
      <c r="Z62" s="359"/>
      <c r="AA62" s="358"/>
      <c r="AB62" s="356" t="s">
        <v>44</v>
      </c>
      <c r="AC62" s="356"/>
      <c r="AD62" s="360"/>
      <c r="AF62" s="93">
        <f>SUM(AF59:AF61)</f>
        <v>96000</v>
      </c>
    </row>
    <row r="63" spans="1:32" ht="25.5" customHeight="1">
      <c r="A63" s="361">
        <v>1</v>
      </c>
      <c r="B63" s="362"/>
      <c r="C63" s="123" t="s">
        <v>180</v>
      </c>
      <c r="D63" s="250"/>
      <c r="E63" s="248" t="s">
        <v>175</v>
      </c>
      <c r="F63" s="363" t="s">
        <v>344</v>
      </c>
      <c r="G63" s="364"/>
      <c r="H63" s="364"/>
      <c r="I63" s="364"/>
      <c r="J63" s="364"/>
      <c r="K63" s="364" t="s">
        <v>177</v>
      </c>
      <c r="L63" s="364"/>
      <c r="M63" s="54" t="s">
        <v>223</v>
      </c>
      <c r="N63" s="364">
        <v>12</v>
      </c>
      <c r="O63" s="364"/>
      <c r="P63" s="365">
        <v>50</v>
      </c>
      <c r="Q63" s="365"/>
      <c r="R63" s="346"/>
      <c r="S63" s="346"/>
      <c r="T63" s="346"/>
      <c r="U63" s="346"/>
      <c r="V63" s="346"/>
      <c r="W63" s="346"/>
      <c r="X63" s="346"/>
      <c r="Y63" s="346"/>
      <c r="Z63" s="346"/>
      <c r="AA63" s="346"/>
      <c r="AB63" s="364"/>
      <c r="AC63" s="364"/>
      <c r="AD63" s="366"/>
      <c r="AF63" s="53"/>
    </row>
    <row r="64" spans="1:32" ht="25.5" customHeight="1">
      <c r="A64" s="361">
        <v>2</v>
      </c>
      <c r="B64" s="362"/>
      <c r="C64" s="123"/>
      <c r="D64" s="250"/>
      <c r="E64" s="248"/>
      <c r="F64" s="363"/>
      <c r="G64" s="364"/>
      <c r="H64" s="364"/>
      <c r="I64" s="364"/>
      <c r="J64" s="364"/>
      <c r="K64" s="364"/>
      <c r="L64" s="364"/>
      <c r="M64" s="54"/>
      <c r="N64" s="364"/>
      <c r="O64" s="364"/>
      <c r="P64" s="365"/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3</v>
      </c>
      <c r="B65" s="362"/>
      <c r="C65" s="123"/>
      <c r="D65" s="250"/>
      <c r="E65" s="248"/>
      <c r="F65" s="363"/>
      <c r="G65" s="364"/>
      <c r="H65" s="364"/>
      <c r="I65" s="364"/>
      <c r="J65" s="364"/>
      <c r="K65" s="364"/>
      <c r="L65" s="364"/>
      <c r="M65" s="54"/>
      <c r="N65" s="364"/>
      <c r="O65" s="364"/>
      <c r="P65" s="365"/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4</v>
      </c>
      <c r="B66" s="362"/>
      <c r="C66" s="123"/>
      <c r="D66" s="250"/>
      <c r="E66" s="248"/>
      <c r="F66" s="363"/>
      <c r="G66" s="364"/>
      <c r="H66" s="364"/>
      <c r="I66" s="364"/>
      <c r="J66" s="364"/>
      <c r="K66" s="364"/>
      <c r="L66" s="364"/>
      <c r="M66" s="54"/>
      <c r="N66" s="364"/>
      <c r="O66" s="364"/>
      <c r="P66" s="365"/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5</v>
      </c>
      <c r="B67" s="362"/>
      <c r="C67" s="123"/>
      <c r="D67" s="250"/>
      <c r="E67" s="248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6</v>
      </c>
      <c r="B68" s="362"/>
      <c r="C68" s="123"/>
      <c r="D68" s="250"/>
      <c r="E68" s="248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7</v>
      </c>
      <c r="B69" s="362"/>
      <c r="C69" s="123"/>
      <c r="D69" s="250"/>
      <c r="E69" s="248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8</v>
      </c>
      <c r="B70" s="362"/>
      <c r="C70" s="123"/>
      <c r="D70" s="250"/>
      <c r="E70" s="248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6.25" customHeight="1" thickBot="1">
      <c r="A71" s="367" t="s">
        <v>345</v>
      </c>
      <c r="B71" s="367"/>
      <c r="C71" s="367"/>
      <c r="D71" s="367"/>
      <c r="E71" s="36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8" t="s">
        <v>113</v>
      </c>
      <c r="B72" s="369"/>
      <c r="C72" s="249" t="s">
        <v>2</v>
      </c>
      <c r="D72" s="249" t="s">
        <v>37</v>
      </c>
      <c r="E72" s="249" t="s">
        <v>3</v>
      </c>
      <c r="F72" s="369" t="s">
        <v>38</v>
      </c>
      <c r="G72" s="369"/>
      <c r="H72" s="369"/>
      <c r="I72" s="369"/>
      <c r="J72" s="369"/>
      <c r="K72" s="370" t="s">
        <v>58</v>
      </c>
      <c r="L72" s="371"/>
      <c r="M72" s="371"/>
      <c r="N72" s="371"/>
      <c r="O72" s="371"/>
      <c r="P72" s="371"/>
      <c r="Q72" s="371"/>
      <c r="R72" s="371"/>
      <c r="S72" s="372"/>
      <c r="T72" s="369" t="s">
        <v>49</v>
      </c>
      <c r="U72" s="369"/>
      <c r="V72" s="370" t="s">
        <v>50</v>
      </c>
      <c r="W72" s="372"/>
      <c r="X72" s="371" t="s">
        <v>51</v>
      </c>
      <c r="Y72" s="371"/>
      <c r="Z72" s="371"/>
      <c r="AA72" s="371"/>
      <c r="AB72" s="371"/>
      <c r="AC72" s="371"/>
      <c r="AD72" s="373"/>
      <c r="AF72" s="53"/>
    </row>
    <row r="73" spans="1:32" ht="33.75" customHeight="1">
      <c r="A73" s="382">
        <v>1</v>
      </c>
      <c r="B73" s="383"/>
      <c r="C73" s="251" t="s">
        <v>114</v>
      </c>
      <c r="D73" s="251"/>
      <c r="E73" s="71" t="s">
        <v>122</v>
      </c>
      <c r="F73" s="384" t="s">
        <v>121</v>
      </c>
      <c r="G73" s="385"/>
      <c r="H73" s="385"/>
      <c r="I73" s="385"/>
      <c r="J73" s="386"/>
      <c r="K73" s="387" t="s">
        <v>123</v>
      </c>
      <c r="L73" s="388"/>
      <c r="M73" s="388"/>
      <c r="N73" s="388"/>
      <c r="O73" s="388"/>
      <c r="P73" s="388"/>
      <c r="Q73" s="388"/>
      <c r="R73" s="388"/>
      <c r="S73" s="389"/>
      <c r="T73" s="390">
        <v>43384</v>
      </c>
      <c r="U73" s="391"/>
      <c r="V73" s="392"/>
      <c r="W73" s="392"/>
      <c r="X73" s="393"/>
      <c r="Y73" s="393"/>
      <c r="Z73" s="393"/>
      <c r="AA73" s="393"/>
      <c r="AB73" s="393"/>
      <c r="AC73" s="393"/>
      <c r="AD73" s="394"/>
      <c r="AF73" s="53"/>
    </row>
    <row r="74" spans="1:32" ht="30" customHeight="1">
      <c r="A74" s="374">
        <f>A73+1</f>
        <v>2</v>
      </c>
      <c r="B74" s="375"/>
      <c r="C74" s="250"/>
      <c r="D74" s="250"/>
      <c r="E74" s="35"/>
      <c r="F74" s="375"/>
      <c r="G74" s="375"/>
      <c r="H74" s="375"/>
      <c r="I74" s="375"/>
      <c r="J74" s="375"/>
      <c r="K74" s="376"/>
      <c r="L74" s="377"/>
      <c r="M74" s="377"/>
      <c r="N74" s="377"/>
      <c r="O74" s="377"/>
      <c r="P74" s="377"/>
      <c r="Q74" s="377"/>
      <c r="R74" s="377"/>
      <c r="S74" s="378"/>
      <c r="T74" s="379"/>
      <c r="U74" s="379"/>
      <c r="V74" s="379"/>
      <c r="W74" s="379"/>
      <c r="X74" s="380"/>
      <c r="Y74" s="380"/>
      <c r="Z74" s="380"/>
      <c r="AA74" s="380"/>
      <c r="AB74" s="380"/>
      <c r="AC74" s="380"/>
      <c r="AD74" s="381"/>
      <c r="AF74" s="53"/>
    </row>
    <row r="75" spans="1:32" ht="30" customHeight="1">
      <c r="A75" s="374">
        <f t="shared" ref="A75:A81" si="20">A74+1</f>
        <v>3</v>
      </c>
      <c r="B75" s="375"/>
      <c r="C75" s="250"/>
      <c r="D75" s="250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si="20"/>
        <v>4</v>
      </c>
      <c r="B76" s="375"/>
      <c r="C76" s="250"/>
      <c r="D76" s="250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20"/>
        <v>5</v>
      </c>
      <c r="B77" s="375"/>
      <c r="C77" s="250"/>
      <c r="D77" s="250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20"/>
        <v>6</v>
      </c>
      <c r="B78" s="375"/>
      <c r="C78" s="250"/>
      <c r="D78" s="250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20"/>
        <v>7</v>
      </c>
      <c r="B79" s="375"/>
      <c r="C79" s="250"/>
      <c r="D79" s="250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20"/>
        <v>8</v>
      </c>
      <c r="B80" s="375"/>
      <c r="C80" s="250"/>
      <c r="D80" s="250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20"/>
        <v>9</v>
      </c>
      <c r="B81" s="375"/>
      <c r="C81" s="250"/>
      <c r="D81" s="250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6" thickBot="1">
      <c r="A82" s="367" t="s">
        <v>346</v>
      </c>
      <c r="B82" s="367"/>
      <c r="C82" s="367"/>
      <c r="D82" s="367"/>
      <c r="E82" s="36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68" t="s">
        <v>113</v>
      </c>
      <c r="B83" s="369"/>
      <c r="C83" s="395" t="s">
        <v>52</v>
      </c>
      <c r="D83" s="395"/>
      <c r="E83" s="395" t="s">
        <v>53</v>
      </c>
      <c r="F83" s="395"/>
      <c r="G83" s="395"/>
      <c r="H83" s="395"/>
      <c r="I83" s="395"/>
      <c r="J83" s="395"/>
      <c r="K83" s="395" t="s">
        <v>54</v>
      </c>
      <c r="L83" s="395"/>
      <c r="M83" s="395"/>
      <c r="N83" s="395"/>
      <c r="O83" s="395"/>
      <c r="P83" s="395"/>
      <c r="Q83" s="395"/>
      <c r="R83" s="395"/>
      <c r="S83" s="395"/>
      <c r="T83" s="395" t="s">
        <v>55</v>
      </c>
      <c r="U83" s="395"/>
      <c r="V83" s="395" t="s">
        <v>56</v>
      </c>
      <c r="W83" s="395"/>
      <c r="X83" s="395"/>
      <c r="Y83" s="395" t="s">
        <v>51</v>
      </c>
      <c r="Z83" s="395"/>
      <c r="AA83" s="395"/>
      <c r="AB83" s="395"/>
      <c r="AC83" s="395"/>
      <c r="AD83" s="396"/>
      <c r="AF83" s="53"/>
    </row>
    <row r="84" spans="1:32" ht="30.75" customHeight="1">
      <c r="A84" s="382">
        <v>1</v>
      </c>
      <c r="B84" s="383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8"/>
      <c r="W84" s="398"/>
      <c r="X84" s="398"/>
      <c r="Y84" s="399"/>
      <c r="Z84" s="399"/>
      <c r="AA84" s="399"/>
      <c r="AB84" s="399"/>
      <c r="AC84" s="399"/>
      <c r="AD84" s="400"/>
      <c r="AF84" s="53"/>
    </row>
    <row r="85" spans="1:32" ht="30.75" customHeight="1">
      <c r="A85" s="374">
        <v>2</v>
      </c>
      <c r="B85" s="375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9"/>
      <c r="U85" s="409"/>
      <c r="V85" s="410"/>
      <c r="W85" s="410"/>
      <c r="X85" s="410"/>
      <c r="Y85" s="401"/>
      <c r="Z85" s="401"/>
      <c r="AA85" s="401"/>
      <c r="AB85" s="401"/>
      <c r="AC85" s="401"/>
      <c r="AD85" s="402"/>
      <c r="AF85" s="53"/>
    </row>
    <row r="86" spans="1:32" ht="30.75" customHeight="1" thickBot="1">
      <c r="A86" s="403">
        <v>3</v>
      </c>
      <c r="B86" s="404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6"/>
      <c r="Z86" s="406"/>
      <c r="AA86" s="406"/>
      <c r="AB86" s="406"/>
      <c r="AC86" s="406"/>
      <c r="AD86" s="40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EDB3-5C2B-4D70-9BDA-BFEF98DC1050}">
  <sheetPr>
    <pageSetUpPr fitToPage="1"/>
  </sheetPr>
  <dimension ref="A1:AF87"/>
  <sheetViews>
    <sheetView zoomScale="72" zoomScaleNormal="72" zoomScaleSheetLayoutView="70" workbookViewId="0">
      <selection activeCell="F76" sqref="F76:J7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347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262" t="s">
        <v>17</v>
      </c>
      <c r="L5" s="262" t="s">
        <v>18</v>
      </c>
      <c r="M5" s="262" t="s">
        <v>19</v>
      </c>
      <c r="N5" s="26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7" si="0">L6</f>
        <v>0</v>
      </c>
      <c r="L6" s="15"/>
      <c r="M6" s="16">
        <f t="shared" ref="M6:M21" si="1">L6-N6</f>
        <v>0</v>
      </c>
      <c r="N6" s="16">
        <v>0</v>
      </c>
      <c r="O6" s="62" t="str">
        <f t="shared" ref="O6:O22" si="2">IF(L6=0,"0",N6/L6)</f>
        <v>0</v>
      </c>
      <c r="P6" s="42" t="str">
        <f t="shared" ref="P6:P21" si="3">IF(L6=0,"0",(24-Q6))</f>
        <v>0</v>
      </c>
      <c r="Q6" s="43">
        <f t="shared" ref="Q6:Q21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9">
        <f t="shared" ref="AE6:AE21" si="8">$AD$22</f>
        <v>0.50555555555555554</v>
      </c>
      <c r="AF6" s="93">
        <f t="shared" ref="AF6:AF21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0.50555555555555554</v>
      </c>
      <c r="AF7" s="93">
        <f t="shared" si="9"/>
        <v>2</v>
      </c>
    </row>
    <row r="8" spans="1:32" ht="27" customHeight="1">
      <c r="A8" s="108">
        <v>3</v>
      </c>
      <c r="B8" s="11"/>
      <c r="C8" s="37"/>
      <c r="D8" s="55"/>
      <c r="E8" s="57"/>
      <c r="F8" s="33"/>
      <c r="G8" s="36"/>
      <c r="H8" s="38"/>
      <c r="I8" s="7"/>
      <c r="J8" s="5"/>
      <c r="K8" s="15"/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>
        <v>24</v>
      </c>
      <c r="S8" s="6"/>
      <c r="T8" s="17"/>
      <c r="U8" s="17"/>
      <c r="V8" s="18"/>
      <c r="W8" s="19"/>
      <c r="X8" s="17"/>
      <c r="Y8" s="20"/>
      <c r="Z8" s="20"/>
      <c r="AA8" s="21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0.50555555555555554</v>
      </c>
      <c r="AF8" s="93">
        <f t="shared" si="9"/>
        <v>3</v>
      </c>
    </row>
    <row r="9" spans="1:32" ht="27" customHeight="1">
      <c r="A9" s="109">
        <v>4</v>
      </c>
      <c r="B9" s="11" t="s">
        <v>57</v>
      </c>
      <c r="C9" s="11" t="s">
        <v>180</v>
      </c>
      <c r="D9" s="55" t="s">
        <v>220</v>
      </c>
      <c r="E9" s="57" t="s">
        <v>221</v>
      </c>
      <c r="F9" s="33" t="s">
        <v>222</v>
      </c>
      <c r="G9" s="36">
        <v>1</v>
      </c>
      <c r="H9" s="38">
        <v>24</v>
      </c>
      <c r="I9" s="7">
        <v>31000</v>
      </c>
      <c r="J9" s="14">
        <v>2137</v>
      </c>
      <c r="K9" s="15">
        <f>L9+4382+2780</f>
        <v>9299</v>
      </c>
      <c r="L9" s="15">
        <f>2137</f>
        <v>2137</v>
      </c>
      <c r="M9" s="16">
        <f t="shared" si="1"/>
        <v>2137</v>
      </c>
      <c r="N9" s="16">
        <v>0</v>
      </c>
      <c r="O9" s="62">
        <f t="shared" si="2"/>
        <v>0</v>
      </c>
      <c r="P9" s="42">
        <f t="shared" si="3"/>
        <v>13</v>
      </c>
      <c r="Q9" s="43">
        <f t="shared" si="4"/>
        <v>11</v>
      </c>
      <c r="R9" s="7"/>
      <c r="S9" s="6">
        <v>11</v>
      </c>
      <c r="T9" s="17"/>
      <c r="U9" s="17"/>
      <c r="V9" s="18"/>
      <c r="W9" s="19"/>
      <c r="X9" s="17"/>
      <c r="Y9" s="20"/>
      <c r="Z9" s="20"/>
      <c r="AA9" s="21"/>
      <c r="AB9" s="8">
        <f t="shared" si="5"/>
        <v>1</v>
      </c>
      <c r="AC9" s="9">
        <f t="shared" si="6"/>
        <v>0.54166666666666663</v>
      </c>
      <c r="AD9" s="10">
        <f t="shared" si="7"/>
        <v>0.54166666666666663</v>
      </c>
      <c r="AE9" s="39">
        <f t="shared" si="8"/>
        <v>0.50555555555555554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180</v>
      </c>
      <c r="D10" s="55" t="s">
        <v>167</v>
      </c>
      <c r="E10" s="57" t="s">
        <v>296</v>
      </c>
      <c r="F10" s="12" t="s">
        <v>169</v>
      </c>
      <c r="G10" s="12">
        <v>1</v>
      </c>
      <c r="H10" s="13">
        <v>20</v>
      </c>
      <c r="I10" s="7">
        <v>30000</v>
      </c>
      <c r="J10" s="14">
        <v>6116</v>
      </c>
      <c r="K10" s="15">
        <f>L10+3953+6257+6291</f>
        <v>22617</v>
      </c>
      <c r="L10" s="15">
        <f>3481+2635</f>
        <v>6116</v>
      </c>
      <c r="M10" s="16">
        <f t="shared" si="1"/>
        <v>6116</v>
      </c>
      <c r="N10" s="16">
        <v>0</v>
      </c>
      <c r="O10" s="62">
        <f t="shared" si="2"/>
        <v>0</v>
      </c>
      <c r="P10" s="42">
        <f t="shared" si="3"/>
        <v>24</v>
      </c>
      <c r="Q10" s="43">
        <f t="shared" si="4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5"/>
        <v>1</v>
      </c>
      <c r="AC10" s="9">
        <f t="shared" si="6"/>
        <v>1</v>
      </c>
      <c r="AD10" s="10">
        <f t="shared" si="7"/>
        <v>1</v>
      </c>
      <c r="AE10" s="39">
        <f t="shared" si="8"/>
        <v>0.50555555555555554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114</v>
      </c>
      <c r="D11" s="55" t="s">
        <v>308</v>
      </c>
      <c r="E11" s="57" t="s">
        <v>312</v>
      </c>
      <c r="F11" s="12" t="s">
        <v>166</v>
      </c>
      <c r="G11" s="12">
        <v>1</v>
      </c>
      <c r="H11" s="13">
        <v>24</v>
      </c>
      <c r="I11" s="7">
        <v>4000</v>
      </c>
      <c r="J11" s="14">
        <v>3492</v>
      </c>
      <c r="K11" s="15">
        <f>L11+1388+4493</f>
        <v>9373</v>
      </c>
      <c r="L11" s="15">
        <f>1454+2038</f>
        <v>3492</v>
      </c>
      <c r="M11" s="16">
        <f t="shared" si="1"/>
        <v>3492</v>
      </c>
      <c r="N11" s="16">
        <v>0</v>
      </c>
      <c r="O11" s="62">
        <f t="shared" si="2"/>
        <v>0</v>
      </c>
      <c r="P11" s="42">
        <f t="shared" si="3"/>
        <v>18</v>
      </c>
      <c r="Q11" s="43">
        <f t="shared" si="4"/>
        <v>6</v>
      </c>
      <c r="R11" s="7"/>
      <c r="S11" s="6"/>
      <c r="T11" s="17"/>
      <c r="U11" s="17"/>
      <c r="V11" s="18"/>
      <c r="W11" s="19">
        <v>6</v>
      </c>
      <c r="X11" s="17"/>
      <c r="Y11" s="20"/>
      <c r="Z11" s="20"/>
      <c r="AA11" s="21"/>
      <c r="AB11" s="8">
        <f t="shared" si="5"/>
        <v>1</v>
      </c>
      <c r="AC11" s="9">
        <f t="shared" si="6"/>
        <v>0.75</v>
      </c>
      <c r="AD11" s="10">
        <f t="shared" si="7"/>
        <v>0.75</v>
      </c>
      <c r="AE11" s="39">
        <f t="shared" si="8"/>
        <v>0.50555555555555554</v>
      </c>
      <c r="AF11" s="93">
        <f t="shared" si="9"/>
        <v>6</v>
      </c>
    </row>
    <row r="12" spans="1:32" ht="27" customHeight="1">
      <c r="A12" s="109">
        <v>7</v>
      </c>
      <c r="B12" s="11" t="s">
        <v>57</v>
      </c>
      <c r="C12" s="11" t="s">
        <v>180</v>
      </c>
      <c r="D12" s="55" t="s">
        <v>220</v>
      </c>
      <c r="E12" s="57" t="s">
        <v>313</v>
      </c>
      <c r="F12" s="33" t="s">
        <v>222</v>
      </c>
      <c r="G12" s="36">
        <v>1</v>
      </c>
      <c r="H12" s="38">
        <v>20</v>
      </c>
      <c r="I12" s="7">
        <v>1000</v>
      </c>
      <c r="J12" s="14">
        <v>4914</v>
      </c>
      <c r="K12" s="15">
        <f>L12+2570+4952</f>
        <v>12436</v>
      </c>
      <c r="L12" s="15">
        <f>2282+2632</f>
        <v>4914</v>
      </c>
      <c r="M12" s="16">
        <f t="shared" si="1"/>
        <v>4914</v>
      </c>
      <c r="N12" s="16">
        <v>0</v>
      </c>
      <c r="O12" s="62">
        <f t="shared" si="2"/>
        <v>0</v>
      </c>
      <c r="P12" s="42">
        <f t="shared" si="3"/>
        <v>24</v>
      </c>
      <c r="Q12" s="43">
        <f t="shared" si="4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5"/>
        <v>1</v>
      </c>
      <c r="AC12" s="9">
        <f t="shared" si="6"/>
        <v>1</v>
      </c>
      <c r="AD12" s="10">
        <f t="shared" si="7"/>
        <v>1</v>
      </c>
      <c r="AE12" s="39">
        <f t="shared" si="8"/>
        <v>0.50555555555555554</v>
      </c>
      <c r="AF12" s="93">
        <f t="shared" si="9"/>
        <v>7</v>
      </c>
    </row>
    <row r="13" spans="1:32" ht="27" customHeight="1">
      <c r="A13" s="109">
        <v>8</v>
      </c>
      <c r="B13" s="11" t="s">
        <v>57</v>
      </c>
      <c r="C13" s="11" t="s">
        <v>114</v>
      </c>
      <c r="D13" s="55" t="s">
        <v>117</v>
      </c>
      <c r="E13" s="57" t="s">
        <v>248</v>
      </c>
      <c r="F13" s="33" t="s">
        <v>348</v>
      </c>
      <c r="G13" s="36">
        <v>1</v>
      </c>
      <c r="H13" s="38">
        <v>40</v>
      </c>
      <c r="I13" s="7">
        <v>300</v>
      </c>
      <c r="J13" s="14">
        <v>400</v>
      </c>
      <c r="K13" s="15">
        <f>L13</f>
        <v>400</v>
      </c>
      <c r="L13" s="15">
        <v>400</v>
      </c>
      <c r="M13" s="16">
        <f t="shared" ref="M13" si="10">L13-N13</f>
        <v>400</v>
      </c>
      <c r="N13" s="16">
        <v>0</v>
      </c>
      <c r="O13" s="62">
        <f t="shared" ref="O13" si="11">IF(L13=0,"0",N13/L13)</f>
        <v>0</v>
      </c>
      <c r="P13" s="42">
        <f t="shared" ref="P13" si="12">IF(L13=0,"0",(24-Q13))</f>
        <v>6</v>
      </c>
      <c r="Q13" s="43">
        <f t="shared" ref="Q13" si="13">SUM(R13:AA13)</f>
        <v>18</v>
      </c>
      <c r="R13" s="7"/>
      <c r="S13" s="6"/>
      <c r="T13" s="17"/>
      <c r="U13" s="17"/>
      <c r="V13" s="18"/>
      <c r="W13" s="19">
        <v>18</v>
      </c>
      <c r="X13" s="17"/>
      <c r="Y13" s="20"/>
      <c r="Z13" s="20"/>
      <c r="AA13" s="21"/>
      <c r="AB13" s="8">
        <f t="shared" ref="AB13" si="14">IF(J13=0,"0",(L13/J13))</f>
        <v>1</v>
      </c>
      <c r="AC13" s="9">
        <f t="shared" ref="AC13" si="15">IF(P13=0,"0",(P13/24))</f>
        <v>0.25</v>
      </c>
      <c r="AD13" s="10">
        <f t="shared" ref="AD13" si="16">AC13*AB13*(1-O13)</f>
        <v>0.25</v>
      </c>
      <c r="AE13" s="39">
        <f t="shared" si="8"/>
        <v>0.50555555555555554</v>
      </c>
      <c r="AF13" s="93">
        <f t="shared" ref="AF13" si="17">A13</f>
        <v>8</v>
      </c>
    </row>
    <row r="14" spans="1:32" ht="27" customHeight="1">
      <c r="A14" s="109">
        <v>8</v>
      </c>
      <c r="B14" s="11" t="s">
        <v>57</v>
      </c>
      <c r="C14" s="11" t="s">
        <v>114</v>
      </c>
      <c r="D14" s="55" t="s">
        <v>117</v>
      </c>
      <c r="E14" s="57" t="s">
        <v>249</v>
      </c>
      <c r="F14" s="33" t="s">
        <v>348</v>
      </c>
      <c r="G14" s="36">
        <v>1</v>
      </c>
      <c r="H14" s="38">
        <v>40</v>
      </c>
      <c r="I14" s="7">
        <v>300</v>
      </c>
      <c r="J14" s="14">
        <v>428</v>
      </c>
      <c r="K14" s="15">
        <f>L14</f>
        <v>428</v>
      </c>
      <c r="L14" s="15">
        <v>428</v>
      </c>
      <c r="M14" s="16">
        <f t="shared" si="1"/>
        <v>428</v>
      </c>
      <c r="N14" s="16">
        <v>0</v>
      </c>
      <c r="O14" s="62">
        <f t="shared" si="2"/>
        <v>0</v>
      </c>
      <c r="P14" s="42">
        <f t="shared" si="3"/>
        <v>6</v>
      </c>
      <c r="Q14" s="43">
        <f t="shared" si="4"/>
        <v>18</v>
      </c>
      <c r="R14" s="7"/>
      <c r="S14" s="6"/>
      <c r="T14" s="17"/>
      <c r="U14" s="17"/>
      <c r="V14" s="18"/>
      <c r="W14" s="19">
        <v>18</v>
      </c>
      <c r="X14" s="17"/>
      <c r="Y14" s="20"/>
      <c r="Z14" s="20"/>
      <c r="AA14" s="21"/>
      <c r="AB14" s="8">
        <f t="shared" si="5"/>
        <v>1</v>
      </c>
      <c r="AC14" s="9">
        <f t="shared" si="6"/>
        <v>0.25</v>
      </c>
      <c r="AD14" s="10">
        <f t="shared" si="7"/>
        <v>0.25</v>
      </c>
      <c r="AE14" s="39">
        <f t="shared" si="8"/>
        <v>0.50555555555555554</v>
      </c>
      <c r="AF14" s="93">
        <f t="shared" si="9"/>
        <v>8</v>
      </c>
    </row>
    <row r="15" spans="1:32" ht="27" customHeight="1">
      <c r="A15" s="125">
        <v>9</v>
      </c>
      <c r="B15" s="11" t="s">
        <v>57</v>
      </c>
      <c r="C15" s="37" t="s">
        <v>180</v>
      </c>
      <c r="D15" s="55" t="s">
        <v>120</v>
      </c>
      <c r="E15" s="57" t="s">
        <v>278</v>
      </c>
      <c r="F15" s="33" t="s">
        <v>179</v>
      </c>
      <c r="G15" s="36">
        <v>1</v>
      </c>
      <c r="H15" s="38">
        <v>24</v>
      </c>
      <c r="I15" s="7">
        <v>29000</v>
      </c>
      <c r="J15" s="5">
        <v>4762</v>
      </c>
      <c r="K15" s="15">
        <f>L15+3139+1810+4248</f>
        <v>13959</v>
      </c>
      <c r="L15" s="15">
        <f>2011+2751</f>
        <v>4762</v>
      </c>
      <c r="M15" s="16">
        <f t="shared" si="1"/>
        <v>4762</v>
      </c>
      <c r="N15" s="16">
        <v>0</v>
      </c>
      <c r="O15" s="62">
        <f t="shared" si="2"/>
        <v>0</v>
      </c>
      <c r="P15" s="42">
        <f t="shared" si="3"/>
        <v>24</v>
      </c>
      <c r="Q15" s="43">
        <f t="shared" si="4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5"/>
        <v>1</v>
      </c>
      <c r="AC15" s="9">
        <f t="shared" si="6"/>
        <v>1</v>
      </c>
      <c r="AD15" s="10">
        <f t="shared" si="7"/>
        <v>1</v>
      </c>
      <c r="AE15" s="39">
        <f t="shared" si="8"/>
        <v>0.50555555555555554</v>
      </c>
      <c r="AF15" s="93">
        <f t="shared" si="9"/>
        <v>9</v>
      </c>
    </row>
    <row r="16" spans="1:32" ht="27" customHeight="1">
      <c r="A16" s="108">
        <v>10</v>
      </c>
      <c r="B16" s="11" t="s">
        <v>57</v>
      </c>
      <c r="C16" s="37" t="s">
        <v>325</v>
      </c>
      <c r="D16" s="55"/>
      <c r="E16" s="57" t="s">
        <v>326</v>
      </c>
      <c r="F16" s="12" t="s">
        <v>337</v>
      </c>
      <c r="G16" s="12">
        <v>1</v>
      </c>
      <c r="H16" s="13">
        <v>20</v>
      </c>
      <c r="I16" s="34">
        <v>4200</v>
      </c>
      <c r="J16" s="14">
        <v>3520</v>
      </c>
      <c r="K16" s="15">
        <f>L16+2571</f>
        <v>6091</v>
      </c>
      <c r="L16" s="15">
        <f>3008+512</f>
        <v>3520</v>
      </c>
      <c r="M16" s="16">
        <f t="shared" si="1"/>
        <v>3520</v>
      </c>
      <c r="N16" s="16">
        <v>0</v>
      </c>
      <c r="O16" s="62">
        <f t="shared" si="2"/>
        <v>0</v>
      </c>
      <c r="P16" s="42">
        <f t="shared" si="3"/>
        <v>19</v>
      </c>
      <c r="Q16" s="43">
        <f t="shared" si="4"/>
        <v>5</v>
      </c>
      <c r="R16" s="7">
        <v>5</v>
      </c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5"/>
        <v>1</v>
      </c>
      <c r="AC16" s="9">
        <f t="shared" si="6"/>
        <v>0.79166666666666663</v>
      </c>
      <c r="AD16" s="10">
        <f t="shared" si="7"/>
        <v>0.79166666666666663</v>
      </c>
      <c r="AE16" s="39">
        <f t="shared" si="8"/>
        <v>0.50555555555555554</v>
      </c>
      <c r="AF16" s="93">
        <f t="shared" si="9"/>
        <v>10</v>
      </c>
    </row>
    <row r="17" spans="1:32" ht="27" customHeight="1">
      <c r="A17" s="108">
        <v>11</v>
      </c>
      <c r="B17" s="11" t="s">
        <v>57</v>
      </c>
      <c r="C17" s="11" t="s">
        <v>114</v>
      </c>
      <c r="D17" s="55" t="s">
        <v>122</v>
      </c>
      <c r="E17" s="57" t="s">
        <v>185</v>
      </c>
      <c r="F17" s="12">
        <v>7301</v>
      </c>
      <c r="G17" s="12">
        <v>1</v>
      </c>
      <c r="H17" s="13">
        <v>24</v>
      </c>
      <c r="I17" s="7">
        <v>4500</v>
      </c>
      <c r="J17" s="14">
        <v>5008</v>
      </c>
      <c r="K17" s="15">
        <f>L17+4633</f>
        <v>9641</v>
      </c>
      <c r="L17" s="15">
        <f>2081+2927</f>
        <v>5008</v>
      </c>
      <c r="M17" s="16">
        <f t="shared" si="1"/>
        <v>5008</v>
      </c>
      <c r="N17" s="16">
        <v>0</v>
      </c>
      <c r="O17" s="62">
        <f t="shared" si="2"/>
        <v>0</v>
      </c>
      <c r="P17" s="42">
        <f t="shared" si="3"/>
        <v>24</v>
      </c>
      <c r="Q17" s="43">
        <f t="shared" si="4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5"/>
        <v>1</v>
      </c>
      <c r="AC17" s="9">
        <f t="shared" si="6"/>
        <v>1</v>
      </c>
      <c r="AD17" s="10">
        <f t="shared" si="7"/>
        <v>1</v>
      </c>
      <c r="AE17" s="39">
        <f t="shared" si="8"/>
        <v>0.50555555555555554</v>
      </c>
      <c r="AF17" s="93">
        <f t="shared" si="9"/>
        <v>11</v>
      </c>
    </row>
    <row r="18" spans="1:32" ht="27" customHeight="1">
      <c r="A18" s="108">
        <v>12</v>
      </c>
      <c r="B18" s="11"/>
      <c r="C18" s="37"/>
      <c r="D18" s="55"/>
      <c r="E18" s="57"/>
      <c r="F18" s="12"/>
      <c r="G18" s="12"/>
      <c r="H18" s="13"/>
      <c r="I18" s="34"/>
      <c r="J18" s="14"/>
      <c r="K18" s="15"/>
      <c r="L18" s="15"/>
      <c r="M18" s="16">
        <f t="shared" si="1"/>
        <v>0</v>
      </c>
      <c r="N18" s="16">
        <v>0</v>
      </c>
      <c r="O18" s="62" t="str">
        <f t="shared" si="2"/>
        <v>0</v>
      </c>
      <c r="P18" s="42" t="str">
        <f t="shared" si="3"/>
        <v>0</v>
      </c>
      <c r="Q18" s="43">
        <f t="shared" si="4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 t="str">
        <f t="shared" si="5"/>
        <v>0</v>
      </c>
      <c r="AC18" s="9">
        <f t="shared" si="6"/>
        <v>0</v>
      </c>
      <c r="AD18" s="10">
        <f t="shared" si="7"/>
        <v>0</v>
      </c>
      <c r="AE18" s="39">
        <f t="shared" si="8"/>
        <v>0.50555555555555554</v>
      </c>
      <c r="AF18" s="93">
        <f t="shared" si="9"/>
        <v>12</v>
      </c>
    </row>
    <row r="19" spans="1:32" ht="27" customHeight="1">
      <c r="A19" s="109">
        <v>13</v>
      </c>
      <c r="B19" s="11"/>
      <c r="C19" s="37"/>
      <c r="D19" s="55"/>
      <c r="E19" s="57"/>
      <c r="F19" s="33"/>
      <c r="G19" s="36"/>
      <c r="H19" s="38"/>
      <c r="I19" s="7"/>
      <c r="J19" s="5"/>
      <c r="K19" s="15"/>
      <c r="L19" s="15"/>
      <c r="M19" s="16">
        <f t="shared" si="1"/>
        <v>0</v>
      </c>
      <c r="N19" s="16">
        <v>0</v>
      </c>
      <c r="O19" s="62" t="str">
        <f t="shared" si="2"/>
        <v>0</v>
      </c>
      <c r="P19" s="42" t="str">
        <f t="shared" si="3"/>
        <v>0</v>
      </c>
      <c r="Q19" s="43">
        <f t="shared" si="4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 t="str">
        <f t="shared" si="5"/>
        <v>0</v>
      </c>
      <c r="AC19" s="9">
        <f t="shared" si="6"/>
        <v>0</v>
      </c>
      <c r="AD19" s="10">
        <f>AC19*AB19*(1-O19)</f>
        <v>0</v>
      </c>
      <c r="AE19" s="39">
        <f t="shared" si="8"/>
        <v>0.50555555555555554</v>
      </c>
      <c r="AF19" s="93">
        <f t="shared" si="9"/>
        <v>13</v>
      </c>
    </row>
    <row r="20" spans="1:32" ht="27" customHeight="1">
      <c r="A20" s="109">
        <v>14</v>
      </c>
      <c r="B20" s="11" t="s">
        <v>57</v>
      </c>
      <c r="C20" s="37" t="s">
        <v>180</v>
      </c>
      <c r="D20" s="55" t="s">
        <v>117</v>
      </c>
      <c r="E20" s="57" t="s">
        <v>274</v>
      </c>
      <c r="F20" s="12" t="s">
        <v>162</v>
      </c>
      <c r="G20" s="36">
        <v>1</v>
      </c>
      <c r="H20" s="38">
        <v>24</v>
      </c>
      <c r="I20" s="7">
        <v>30000</v>
      </c>
      <c r="J20" s="5">
        <v>5228</v>
      </c>
      <c r="K20" s="15">
        <f>L20+3291+5129+4916+5293+4866</f>
        <v>28723</v>
      </c>
      <c r="L20" s="15">
        <f>2263+2965</f>
        <v>5228</v>
      </c>
      <c r="M20" s="16">
        <f t="shared" si="1"/>
        <v>5228</v>
      </c>
      <c r="N20" s="16">
        <v>0</v>
      </c>
      <c r="O20" s="62">
        <f t="shared" si="2"/>
        <v>0</v>
      </c>
      <c r="P20" s="42">
        <f t="shared" si="3"/>
        <v>24</v>
      </c>
      <c r="Q20" s="43">
        <f t="shared" si="4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9">
        <f t="shared" si="8"/>
        <v>0.50555555555555554</v>
      </c>
      <c r="AF20" s="93">
        <f t="shared" si="9"/>
        <v>14</v>
      </c>
    </row>
    <row r="21" spans="1:32" ht="27" customHeight="1" thickBot="1">
      <c r="A21" s="109">
        <v>15</v>
      </c>
      <c r="B21" s="11" t="s">
        <v>57</v>
      </c>
      <c r="C21" s="11" t="s">
        <v>115</v>
      </c>
      <c r="D21" s="55"/>
      <c r="E21" s="56" t="s">
        <v>126</v>
      </c>
      <c r="F21" s="12" t="s">
        <v>116</v>
      </c>
      <c r="G21" s="12">
        <v>4</v>
      </c>
      <c r="H21" s="38">
        <v>20</v>
      </c>
      <c r="I21" s="7">
        <v>500000</v>
      </c>
      <c r="J21" s="14">
        <v>35376</v>
      </c>
      <c r="K21" s="15">
        <f>L21+27008+76128+41848+38820+35376</f>
        <v>219180</v>
      </c>
      <c r="L21" s="15"/>
      <c r="M21" s="16">
        <f t="shared" si="1"/>
        <v>0</v>
      </c>
      <c r="N21" s="16">
        <v>0</v>
      </c>
      <c r="O21" s="62" t="str">
        <f t="shared" si="2"/>
        <v>0</v>
      </c>
      <c r="P21" s="42" t="str">
        <f t="shared" si="3"/>
        <v>0</v>
      </c>
      <c r="Q21" s="43">
        <f t="shared" si="4"/>
        <v>24</v>
      </c>
      <c r="R21" s="7"/>
      <c r="S21" s="6"/>
      <c r="T21" s="17"/>
      <c r="U21" s="17"/>
      <c r="V21" s="18">
        <v>24</v>
      </c>
      <c r="W21" s="19"/>
      <c r="X21" s="17"/>
      <c r="Y21" s="20"/>
      <c r="Z21" s="20"/>
      <c r="AA21" s="21"/>
      <c r="AB21" s="8">
        <f t="shared" si="5"/>
        <v>0</v>
      </c>
      <c r="AC21" s="9">
        <f t="shared" si="6"/>
        <v>0</v>
      </c>
      <c r="AD21" s="10">
        <f t="shared" si="7"/>
        <v>0</v>
      </c>
      <c r="AE21" s="39">
        <f t="shared" si="8"/>
        <v>0.50555555555555554</v>
      </c>
      <c r="AF21" s="93">
        <f t="shared" si="9"/>
        <v>15</v>
      </c>
    </row>
    <row r="22" spans="1:32" ht="31.5" customHeight="1" thickBot="1">
      <c r="A22" s="312" t="s">
        <v>34</v>
      </c>
      <c r="B22" s="313"/>
      <c r="C22" s="313"/>
      <c r="D22" s="313"/>
      <c r="E22" s="313"/>
      <c r="F22" s="313"/>
      <c r="G22" s="313"/>
      <c r="H22" s="314"/>
      <c r="I22" s="25">
        <f t="shared" ref="I22:N22" si="18">SUM(I6:I21)</f>
        <v>634300</v>
      </c>
      <c r="J22" s="22">
        <f t="shared" si="18"/>
        <v>71381</v>
      </c>
      <c r="K22" s="23">
        <f t="shared" si="18"/>
        <v>332147</v>
      </c>
      <c r="L22" s="24">
        <f t="shared" si="18"/>
        <v>36005</v>
      </c>
      <c r="M22" s="23">
        <f t="shared" si="18"/>
        <v>36005</v>
      </c>
      <c r="N22" s="24">
        <f t="shared" si="18"/>
        <v>0</v>
      </c>
      <c r="O22" s="44">
        <f t="shared" si="2"/>
        <v>0</v>
      </c>
      <c r="P22" s="45">
        <f t="shared" ref="P22:AA22" si="19">SUM(P6:P21)</f>
        <v>182</v>
      </c>
      <c r="Q22" s="46">
        <f t="shared" si="19"/>
        <v>202</v>
      </c>
      <c r="R22" s="26">
        <f t="shared" si="19"/>
        <v>53</v>
      </c>
      <c r="S22" s="27">
        <f t="shared" si="19"/>
        <v>11</v>
      </c>
      <c r="T22" s="27">
        <f t="shared" si="19"/>
        <v>0</v>
      </c>
      <c r="U22" s="27">
        <f t="shared" si="19"/>
        <v>0</v>
      </c>
      <c r="V22" s="28">
        <f t="shared" si="19"/>
        <v>24</v>
      </c>
      <c r="W22" s="29">
        <f t="shared" si="19"/>
        <v>114</v>
      </c>
      <c r="X22" s="30">
        <f t="shared" si="19"/>
        <v>0</v>
      </c>
      <c r="Y22" s="30">
        <f t="shared" si="19"/>
        <v>0</v>
      </c>
      <c r="Z22" s="30">
        <f t="shared" si="19"/>
        <v>0</v>
      </c>
      <c r="AA22" s="30">
        <f t="shared" si="19"/>
        <v>0</v>
      </c>
      <c r="AB22" s="31">
        <f>SUM(AB6:AB21)/15</f>
        <v>0.66666666666666663</v>
      </c>
      <c r="AC22" s="4">
        <f>SUM(AC6:AC21)/15</f>
        <v>0.50555555555555554</v>
      </c>
      <c r="AD22" s="4">
        <f>SUM(AD6:AD21)/15</f>
        <v>0.50555555555555554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15" t="s">
        <v>45</v>
      </c>
      <c r="B49" s="315"/>
      <c r="C49" s="315"/>
      <c r="D49" s="315"/>
      <c r="E49" s="31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16" t="s">
        <v>349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19" t="s">
        <v>350</v>
      </c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1"/>
    </row>
    <row r="51" spans="1:32" ht="27" customHeight="1">
      <c r="A51" s="322" t="s">
        <v>2</v>
      </c>
      <c r="B51" s="323"/>
      <c r="C51" s="261" t="s">
        <v>46</v>
      </c>
      <c r="D51" s="261" t="s">
        <v>47</v>
      </c>
      <c r="E51" s="261" t="s">
        <v>108</v>
      </c>
      <c r="F51" s="323" t="s">
        <v>107</v>
      </c>
      <c r="G51" s="323"/>
      <c r="H51" s="323"/>
      <c r="I51" s="323"/>
      <c r="J51" s="323"/>
      <c r="K51" s="323"/>
      <c r="L51" s="323"/>
      <c r="M51" s="324"/>
      <c r="N51" s="73" t="s">
        <v>112</v>
      </c>
      <c r="O51" s="261" t="s">
        <v>46</v>
      </c>
      <c r="P51" s="325" t="s">
        <v>47</v>
      </c>
      <c r="Q51" s="326"/>
      <c r="R51" s="325" t="s">
        <v>38</v>
      </c>
      <c r="S51" s="327"/>
      <c r="T51" s="327"/>
      <c r="U51" s="326"/>
      <c r="V51" s="325" t="s">
        <v>48</v>
      </c>
      <c r="W51" s="327"/>
      <c r="X51" s="327"/>
      <c r="Y51" s="327"/>
      <c r="Z51" s="327"/>
      <c r="AA51" s="327"/>
      <c r="AB51" s="327"/>
      <c r="AC51" s="327"/>
      <c r="AD51" s="328"/>
    </row>
    <row r="52" spans="1:32" ht="27" customHeight="1">
      <c r="A52" s="339" t="s">
        <v>180</v>
      </c>
      <c r="B52" s="340"/>
      <c r="C52" s="258" t="s">
        <v>276</v>
      </c>
      <c r="D52" s="258" t="s">
        <v>220</v>
      </c>
      <c r="E52" s="258" t="s">
        <v>221</v>
      </c>
      <c r="F52" s="341" t="s">
        <v>236</v>
      </c>
      <c r="G52" s="342"/>
      <c r="H52" s="342"/>
      <c r="I52" s="342"/>
      <c r="J52" s="342"/>
      <c r="K52" s="342"/>
      <c r="L52" s="342"/>
      <c r="M52" s="343"/>
      <c r="N52" s="257" t="s">
        <v>180</v>
      </c>
      <c r="O52" s="124" t="s">
        <v>276</v>
      </c>
      <c r="P52" s="340" t="s">
        <v>220</v>
      </c>
      <c r="Q52" s="340"/>
      <c r="R52" s="340" t="s">
        <v>221</v>
      </c>
      <c r="S52" s="340"/>
      <c r="T52" s="340"/>
      <c r="U52" s="340"/>
      <c r="V52" s="346" t="s">
        <v>351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325</v>
      </c>
      <c r="B53" s="340"/>
      <c r="C53" s="258" t="s">
        <v>310</v>
      </c>
      <c r="D53" s="258"/>
      <c r="E53" s="258" t="s">
        <v>326</v>
      </c>
      <c r="F53" s="341" t="s">
        <v>236</v>
      </c>
      <c r="G53" s="342"/>
      <c r="H53" s="342"/>
      <c r="I53" s="342"/>
      <c r="J53" s="342"/>
      <c r="K53" s="342"/>
      <c r="L53" s="342"/>
      <c r="M53" s="343"/>
      <c r="N53" s="257" t="s">
        <v>180</v>
      </c>
      <c r="O53" s="124" t="s">
        <v>184</v>
      </c>
      <c r="P53" s="340" t="s">
        <v>117</v>
      </c>
      <c r="Q53" s="340"/>
      <c r="R53" s="340" t="s">
        <v>352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114</v>
      </c>
      <c r="B54" s="340"/>
      <c r="C54" s="258" t="s">
        <v>184</v>
      </c>
      <c r="D54" s="258" t="s">
        <v>117</v>
      </c>
      <c r="E54" s="258" t="s">
        <v>249</v>
      </c>
      <c r="F54" s="341" t="s">
        <v>131</v>
      </c>
      <c r="G54" s="342"/>
      <c r="H54" s="342"/>
      <c r="I54" s="342"/>
      <c r="J54" s="342"/>
      <c r="K54" s="342"/>
      <c r="L54" s="342"/>
      <c r="M54" s="343"/>
      <c r="N54" s="257" t="s">
        <v>115</v>
      </c>
      <c r="O54" s="124" t="s">
        <v>147</v>
      </c>
      <c r="P54" s="340"/>
      <c r="Q54" s="340"/>
      <c r="R54" s="340" t="s">
        <v>353</v>
      </c>
      <c r="S54" s="340"/>
      <c r="T54" s="340"/>
      <c r="U54" s="340"/>
      <c r="V54" s="346" t="s">
        <v>131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114</v>
      </c>
      <c r="B55" s="340"/>
      <c r="C55" s="258" t="s">
        <v>184</v>
      </c>
      <c r="D55" s="258" t="s">
        <v>117</v>
      </c>
      <c r="E55" s="258" t="s">
        <v>248</v>
      </c>
      <c r="F55" s="341" t="s">
        <v>131</v>
      </c>
      <c r="G55" s="342"/>
      <c r="H55" s="342"/>
      <c r="I55" s="342"/>
      <c r="J55" s="342"/>
      <c r="K55" s="342"/>
      <c r="L55" s="342"/>
      <c r="M55" s="343"/>
      <c r="N55" s="257"/>
      <c r="O55" s="124"/>
      <c r="P55" s="344"/>
      <c r="Q55" s="345"/>
      <c r="R55" s="340"/>
      <c r="S55" s="340"/>
      <c r="T55" s="340"/>
      <c r="U55" s="340"/>
      <c r="V55" s="346"/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/>
      <c r="B56" s="340"/>
      <c r="C56" s="258"/>
      <c r="D56" s="258"/>
      <c r="E56" s="258"/>
      <c r="F56" s="341"/>
      <c r="G56" s="342"/>
      <c r="H56" s="342"/>
      <c r="I56" s="342"/>
      <c r="J56" s="342"/>
      <c r="K56" s="342"/>
      <c r="L56" s="342"/>
      <c r="M56" s="343"/>
      <c r="N56" s="257"/>
      <c r="O56" s="124"/>
      <c r="P56" s="340"/>
      <c r="Q56" s="340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258"/>
      <c r="D57" s="258"/>
      <c r="E57" s="258"/>
      <c r="F57" s="341"/>
      <c r="G57" s="342"/>
      <c r="H57" s="342"/>
      <c r="I57" s="342"/>
      <c r="J57" s="342"/>
      <c r="K57" s="342"/>
      <c r="L57" s="342"/>
      <c r="M57" s="343"/>
      <c r="N57" s="257"/>
      <c r="O57" s="124"/>
      <c r="P57" s="344"/>
      <c r="Q57" s="345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258"/>
      <c r="D58" s="258"/>
      <c r="E58" s="258"/>
      <c r="F58" s="341"/>
      <c r="G58" s="342"/>
      <c r="H58" s="342"/>
      <c r="I58" s="342"/>
      <c r="J58" s="342"/>
      <c r="K58" s="342"/>
      <c r="L58" s="342"/>
      <c r="M58" s="343"/>
      <c r="N58" s="257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258"/>
      <c r="D59" s="258"/>
      <c r="E59" s="258"/>
      <c r="F59" s="346"/>
      <c r="G59" s="346"/>
      <c r="H59" s="346"/>
      <c r="I59" s="346"/>
      <c r="J59" s="346"/>
      <c r="K59" s="346"/>
      <c r="L59" s="346"/>
      <c r="M59" s="347"/>
      <c r="N59" s="257"/>
      <c r="O59" s="124"/>
      <c r="P59" s="344"/>
      <c r="Q59" s="345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</row>
    <row r="60" spans="1:32" ht="27" customHeight="1">
      <c r="A60" s="339"/>
      <c r="B60" s="340"/>
      <c r="C60" s="258"/>
      <c r="D60" s="258"/>
      <c r="E60" s="258"/>
      <c r="F60" s="341"/>
      <c r="G60" s="342"/>
      <c r="H60" s="342"/>
      <c r="I60" s="342"/>
      <c r="J60" s="342"/>
      <c r="K60" s="342"/>
      <c r="L60" s="342"/>
      <c r="M60" s="343"/>
      <c r="N60" s="257"/>
      <c r="O60" s="124"/>
      <c r="P60" s="340"/>
      <c r="Q60" s="340"/>
      <c r="R60" s="340"/>
      <c r="S60" s="340"/>
      <c r="T60" s="340"/>
      <c r="U60" s="340"/>
      <c r="V60" s="346"/>
      <c r="W60" s="346"/>
      <c r="X60" s="346"/>
      <c r="Y60" s="346"/>
      <c r="Z60" s="346"/>
      <c r="AA60" s="346"/>
      <c r="AB60" s="346"/>
      <c r="AC60" s="346"/>
      <c r="AD60" s="347"/>
      <c r="AF60" s="93">
        <f>8*3000</f>
        <v>24000</v>
      </c>
    </row>
    <row r="61" spans="1:32" ht="27" customHeight="1" thickBot="1">
      <c r="A61" s="348"/>
      <c r="B61" s="349"/>
      <c r="C61" s="260"/>
      <c r="D61" s="260"/>
      <c r="E61" s="260"/>
      <c r="F61" s="350"/>
      <c r="G61" s="350"/>
      <c r="H61" s="350"/>
      <c r="I61" s="350"/>
      <c r="J61" s="350"/>
      <c r="K61" s="350"/>
      <c r="L61" s="350"/>
      <c r="M61" s="351"/>
      <c r="N61" s="259"/>
      <c r="O61" s="120"/>
      <c r="P61" s="349"/>
      <c r="Q61" s="349"/>
      <c r="R61" s="349"/>
      <c r="S61" s="349"/>
      <c r="T61" s="349"/>
      <c r="U61" s="349"/>
      <c r="V61" s="352"/>
      <c r="W61" s="352"/>
      <c r="X61" s="352"/>
      <c r="Y61" s="352"/>
      <c r="Z61" s="352"/>
      <c r="AA61" s="352"/>
      <c r="AB61" s="352"/>
      <c r="AC61" s="352"/>
      <c r="AD61" s="353"/>
      <c r="AF61" s="93">
        <f>16*3000</f>
        <v>48000</v>
      </c>
    </row>
    <row r="62" spans="1:32" ht="27.75" thickBot="1">
      <c r="A62" s="354" t="s">
        <v>354</v>
      </c>
      <c r="B62" s="354"/>
      <c r="C62" s="354"/>
      <c r="D62" s="354"/>
      <c r="E62" s="35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55" t="s">
        <v>113</v>
      </c>
      <c r="B63" s="356"/>
      <c r="C63" s="256" t="s">
        <v>2</v>
      </c>
      <c r="D63" s="256" t="s">
        <v>37</v>
      </c>
      <c r="E63" s="256" t="s">
        <v>3</v>
      </c>
      <c r="F63" s="356" t="s">
        <v>110</v>
      </c>
      <c r="G63" s="356"/>
      <c r="H63" s="356"/>
      <c r="I63" s="356"/>
      <c r="J63" s="356"/>
      <c r="K63" s="356" t="s">
        <v>39</v>
      </c>
      <c r="L63" s="356"/>
      <c r="M63" s="256" t="s">
        <v>40</v>
      </c>
      <c r="N63" s="356" t="s">
        <v>41</v>
      </c>
      <c r="O63" s="356"/>
      <c r="P63" s="357" t="s">
        <v>42</v>
      </c>
      <c r="Q63" s="358"/>
      <c r="R63" s="357" t="s">
        <v>43</v>
      </c>
      <c r="S63" s="359"/>
      <c r="T63" s="359"/>
      <c r="U63" s="359"/>
      <c r="V63" s="359"/>
      <c r="W63" s="359"/>
      <c r="X63" s="359"/>
      <c r="Y63" s="359"/>
      <c r="Z63" s="359"/>
      <c r="AA63" s="358"/>
      <c r="AB63" s="356" t="s">
        <v>44</v>
      </c>
      <c r="AC63" s="356"/>
      <c r="AD63" s="360"/>
      <c r="AF63" s="93">
        <f>SUM(AF60:AF62)</f>
        <v>96000</v>
      </c>
    </row>
    <row r="64" spans="1:32" ht="25.5" customHeight="1">
      <c r="A64" s="361">
        <v>1</v>
      </c>
      <c r="B64" s="362"/>
      <c r="C64" s="123"/>
      <c r="D64" s="252"/>
      <c r="E64" s="255"/>
      <c r="F64" s="363"/>
      <c r="G64" s="364"/>
      <c r="H64" s="364"/>
      <c r="I64" s="364"/>
      <c r="J64" s="364"/>
      <c r="K64" s="364"/>
      <c r="L64" s="364"/>
      <c r="M64" s="54"/>
      <c r="N64" s="364"/>
      <c r="O64" s="364"/>
      <c r="P64" s="365"/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2</v>
      </c>
      <c r="B65" s="362"/>
      <c r="C65" s="123"/>
      <c r="D65" s="252"/>
      <c r="E65" s="255"/>
      <c r="F65" s="363"/>
      <c r="G65" s="364"/>
      <c r="H65" s="364"/>
      <c r="I65" s="364"/>
      <c r="J65" s="364"/>
      <c r="K65" s="364"/>
      <c r="L65" s="364"/>
      <c r="M65" s="54"/>
      <c r="N65" s="364"/>
      <c r="O65" s="364"/>
      <c r="P65" s="365"/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3</v>
      </c>
      <c r="B66" s="362"/>
      <c r="C66" s="123"/>
      <c r="D66" s="252"/>
      <c r="E66" s="255"/>
      <c r="F66" s="363"/>
      <c r="G66" s="364"/>
      <c r="H66" s="364"/>
      <c r="I66" s="364"/>
      <c r="J66" s="364"/>
      <c r="K66" s="364"/>
      <c r="L66" s="364"/>
      <c r="M66" s="54"/>
      <c r="N66" s="364"/>
      <c r="O66" s="364"/>
      <c r="P66" s="365"/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4</v>
      </c>
      <c r="B67" s="362"/>
      <c r="C67" s="123"/>
      <c r="D67" s="252"/>
      <c r="E67" s="255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5</v>
      </c>
      <c r="B68" s="362"/>
      <c r="C68" s="123"/>
      <c r="D68" s="252"/>
      <c r="E68" s="255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6</v>
      </c>
      <c r="B69" s="362"/>
      <c r="C69" s="123"/>
      <c r="D69" s="252"/>
      <c r="E69" s="255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7</v>
      </c>
      <c r="B70" s="362"/>
      <c r="C70" s="123"/>
      <c r="D70" s="252"/>
      <c r="E70" s="255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5.5" customHeight="1">
      <c r="A71" s="361">
        <v>8</v>
      </c>
      <c r="B71" s="362"/>
      <c r="C71" s="123"/>
      <c r="D71" s="252"/>
      <c r="E71" s="255"/>
      <c r="F71" s="363"/>
      <c r="G71" s="364"/>
      <c r="H71" s="364"/>
      <c r="I71" s="364"/>
      <c r="J71" s="364"/>
      <c r="K71" s="364"/>
      <c r="L71" s="364"/>
      <c r="M71" s="54"/>
      <c r="N71" s="364"/>
      <c r="O71" s="364"/>
      <c r="P71" s="365"/>
      <c r="Q71" s="365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64"/>
      <c r="AC71" s="364"/>
      <c r="AD71" s="366"/>
      <c r="AF71" s="53"/>
    </row>
    <row r="72" spans="1:32" ht="26.25" customHeight="1" thickBot="1">
      <c r="A72" s="367" t="s">
        <v>355</v>
      </c>
      <c r="B72" s="367"/>
      <c r="C72" s="367"/>
      <c r="D72" s="367"/>
      <c r="E72" s="36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8" t="s">
        <v>113</v>
      </c>
      <c r="B73" s="369"/>
      <c r="C73" s="254" t="s">
        <v>2</v>
      </c>
      <c r="D73" s="254" t="s">
        <v>37</v>
      </c>
      <c r="E73" s="254" t="s">
        <v>3</v>
      </c>
      <c r="F73" s="369" t="s">
        <v>38</v>
      </c>
      <c r="G73" s="369"/>
      <c r="H73" s="369"/>
      <c r="I73" s="369"/>
      <c r="J73" s="369"/>
      <c r="K73" s="370" t="s">
        <v>58</v>
      </c>
      <c r="L73" s="371"/>
      <c r="M73" s="371"/>
      <c r="N73" s="371"/>
      <c r="O73" s="371"/>
      <c r="P73" s="371"/>
      <c r="Q73" s="371"/>
      <c r="R73" s="371"/>
      <c r="S73" s="372"/>
      <c r="T73" s="369" t="s">
        <v>49</v>
      </c>
      <c r="U73" s="369"/>
      <c r="V73" s="370" t="s">
        <v>50</v>
      </c>
      <c r="W73" s="372"/>
      <c r="X73" s="371" t="s">
        <v>51</v>
      </c>
      <c r="Y73" s="371"/>
      <c r="Z73" s="371"/>
      <c r="AA73" s="371"/>
      <c r="AB73" s="371"/>
      <c r="AC73" s="371"/>
      <c r="AD73" s="373"/>
      <c r="AF73" s="53"/>
    </row>
    <row r="74" spans="1:32" ht="33.75" customHeight="1">
      <c r="A74" s="382">
        <v>1</v>
      </c>
      <c r="B74" s="383"/>
      <c r="C74" s="253" t="s">
        <v>114</v>
      </c>
      <c r="D74" s="253"/>
      <c r="E74" s="71" t="s">
        <v>122</v>
      </c>
      <c r="F74" s="384" t="s">
        <v>121</v>
      </c>
      <c r="G74" s="385"/>
      <c r="H74" s="385"/>
      <c r="I74" s="385"/>
      <c r="J74" s="386"/>
      <c r="K74" s="387" t="s">
        <v>123</v>
      </c>
      <c r="L74" s="388"/>
      <c r="M74" s="388"/>
      <c r="N74" s="388"/>
      <c r="O74" s="388"/>
      <c r="P74" s="388"/>
      <c r="Q74" s="388"/>
      <c r="R74" s="388"/>
      <c r="S74" s="389"/>
      <c r="T74" s="390">
        <v>43384</v>
      </c>
      <c r="U74" s="391"/>
      <c r="V74" s="392"/>
      <c r="W74" s="392"/>
      <c r="X74" s="393"/>
      <c r="Y74" s="393"/>
      <c r="Z74" s="393"/>
      <c r="AA74" s="393"/>
      <c r="AB74" s="393"/>
      <c r="AC74" s="393"/>
      <c r="AD74" s="394"/>
      <c r="AF74" s="53"/>
    </row>
    <row r="75" spans="1:32" ht="30" customHeight="1">
      <c r="A75" s="374">
        <f>A74+1</f>
        <v>2</v>
      </c>
      <c r="B75" s="375"/>
      <c r="C75" s="252"/>
      <c r="D75" s="252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ref="A76:A82" si="20">A75+1</f>
        <v>3</v>
      </c>
      <c r="B76" s="375"/>
      <c r="C76" s="252"/>
      <c r="D76" s="252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20"/>
        <v>4</v>
      </c>
      <c r="B77" s="375"/>
      <c r="C77" s="252"/>
      <c r="D77" s="252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20"/>
        <v>5</v>
      </c>
      <c r="B78" s="375"/>
      <c r="C78" s="252"/>
      <c r="D78" s="252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20"/>
        <v>6</v>
      </c>
      <c r="B79" s="375"/>
      <c r="C79" s="252"/>
      <c r="D79" s="252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20"/>
        <v>7</v>
      </c>
      <c r="B80" s="375"/>
      <c r="C80" s="252"/>
      <c r="D80" s="252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20"/>
        <v>8</v>
      </c>
      <c r="B81" s="375"/>
      <c r="C81" s="252"/>
      <c r="D81" s="252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0" customHeight="1">
      <c r="A82" s="374">
        <f t="shared" si="20"/>
        <v>9</v>
      </c>
      <c r="B82" s="375"/>
      <c r="C82" s="252"/>
      <c r="D82" s="252"/>
      <c r="E82" s="35"/>
      <c r="F82" s="375"/>
      <c r="G82" s="375"/>
      <c r="H82" s="375"/>
      <c r="I82" s="375"/>
      <c r="J82" s="375"/>
      <c r="K82" s="376"/>
      <c r="L82" s="377"/>
      <c r="M82" s="377"/>
      <c r="N82" s="377"/>
      <c r="O82" s="377"/>
      <c r="P82" s="377"/>
      <c r="Q82" s="377"/>
      <c r="R82" s="377"/>
      <c r="S82" s="378"/>
      <c r="T82" s="379"/>
      <c r="U82" s="379"/>
      <c r="V82" s="379"/>
      <c r="W82" s="379"/>
      <c r="X82" s="380"/>
      <c r="Y82" s="380"/>
      <c r="Z82" s="380"/>
      <c r="AA82" s="380"/>
      <c r="AB82" s="380"/>
      <c r="AC82" s="380"/>
      <c r="AD82" s="381"/>
      <c r="AF82" s="53"/>
    </row>
    <row r="83" spans="1:32" ht="36" thickBot="1">
      <c r="A83" s="367" t="s">
        <v>356</v>
      </c>
      <c r="B83" s="367"/>
      <c r="C83" s="367"/>
      <c r="D83" s="367"/>
      <c r="E83" s="36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68" t="s">
        <v>113</v>
      </c>
      <c r="B84" s="369"/>
      <c r="C84" s="395" t="s">
        <v>52</v>
      </c>
      <c r="D84" s="395"/>
      <c r="E84" s="395" t="s">
        <v>53</v>
      </c>
      <c r="F84" s="395"/>
      <c r="G84" s="395"/>
      <c r="H84" s="395"/>
      <c r="I84" s="395"/>
      <c r="J84" s="395"/>
      <c r="K84" s="395" t="s">
        <v>54</v>
      </c>
      <c r="L84" s="395"/>
      <c r="M84" s="395"/>
      <c r="N84" s="395"/>
      <c r="O84" s="395"/>
      <c r="P84" s="395"/>
      <c r="Q84" s="395"/>
      <c r="R84" s="395"/>
      <c r="S84" s="395"/>
      <c r="T84" s="395" t="s">
        <v>55</v>
      </c>
      <c r="U84" s="395"/>
      <c r="V84" s="395" t="s">
        <v>56</v>
      </c>
      <c r="W84" s="395"/>
      <c r="X84" s="395"/>
      <c r="Y84" s="395" t="s">
        <v>51</v>
      </c>
      <c r="Z84" s="395"/>
      <c r="AA84" s="395"/>
      <c r="AB84" s="395"/>
      <c r="AC84" s="395"/>
      <c r="AD84" s="396"/>
      <c r="AF84" s="53"/>
    </row>
    <row r="85" spans="1:32" ht="30.75" customHeight="1">
      <c r="A85" s="382">
        <v>1</v>
      </c>
      <c r="B85" s="383"/>
      <c r="C85" s="397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8"/>
      <c r="W85" s="398"/>
      <c r="X85" s="398"/>
      <c r="Y85" s="399"/>
      <c r="Z85" s="399"/>
      <c r="AA85" s="399"/>
      <c r="AB85" s="399"/>
      <c r="AC85" s="399"/>
      <c r="AD85" s="400"/>
      <c r="AF85" s="53"/>
    </row>
    <row r="86" spans="1:32" ht="30.75" customHeight="1">
      <c r="A86" s="374">
        <v>2</v>
      </c>
      <c r="B86" s="375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9"/>
      <c r="U86" s="409"/>
      <c r="V86" s="410"/>
      <c r="W86" s="410"/>
      <c r="X86" s="410"/>
      <c r="Y86" s="401"/>
      <c r="Z86" s="401"/>
      <c r="AA86" s="401"/>
      <c r="AB86" s="401"/>
      <c r="AC86" s="401"/>
      <c r="AD86" s="402"/>
      <c r="AF86" s="53"/>
    </row>
    <row r="87" spans="1:32" ht="30.75" customHeight="1" thickBot="1">
      <c r="A87" s="403">
        <v>3</v>
      </c>
      <c r="B87" s="404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6"/>
      <c r="Z87" s="406"/>
      <c r="AA87" s="406"/>
      <c r="AB87" s="406"/>
      <c r="AC87" s="406"/>
      <c r="AD87" s="40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BFB4-7B81-4DBE-A3CD-6993375A0F63}">
  <sheetPr>
    <pageSetUpPr fitToPage="1"/>
  </sheetPr>
  <dimension ref="A1:AF87"/>
  <sheetViews>
    <sheetView zoomScale="72" zoomScaleNormal="72" zoomScaleSheetLayoutView="70" workbookViewId="0">
      <selection activeCell="F78" sqref="F77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357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263" t="s">
        <v>17</v>
      </c>
      <c r="L5" s="263" t="s">
        <v>18</v>
      </c>
      <c r="M5" s="263" t="s">
        <v>19</v>
      </c>
      <c r="N5" s="26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7" si="0">L6</f>
        <v>0</v>
      </c>
      <c r="L6" s="15"/>
      <c r="M6" s="16">
        <f t="shared" ref="M6:M21" si="1">L6-N6</f>
        <v>0</v>
      </c>
      <c r="N6" s="16">
        <v>0</v>
      </c>
      <c r="O6" s="62" t="str">
        <f t="shared" ref="O6:O22" si="2">IF(L6=0,"0",N6/L6)</f>
        <v>0</v>
      </c>
      <c r="P6" s="42" t="str">
        <f t="shared" ref="P6:P21" si="3">IF(L6=0,"0",(24-Q6))</f>
        <v>0</v>
      </c>
      <c r="Q6" s="43">
        <f t="shared" ref="Q6:Q21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9">
        <f t="shared" ref="AE6:AE21" si="8">$AD$22</f>
        <v>0.45277777777777778</v>
      </c>
      <c r="AF6" s="93">
        <f t="shared" ref="AF6:AF21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0.45277777777777778</v>
      </c>
      <c r="AF7" s="93">
        <f t="shared" si="9"/>
        <v>2</v>
      </c>
    </row>
    <row r="8" spans="1:32" ht="27" customHeight="1">
      <c r="A8" s="108">
        <v>3</v>
      </c>
      <c r="B8" s="11"/>
      <c r="C8" s="37"/>
      <c r="D8" s="55"/>
      <c r="E8" s="57"/>
      <c r="F8" s="33"/>
      <c r="G8" s="36"/>
      <c r="H8" s="38"/>
      <c r="I8" s="7"/>
      <c r="J8" s="5"/>
      <c r="K8" s="15"/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>
        <v>24</v>
      </c>
      <c r="S8" s="6"/>
      <c r="T8" s="17"/>
      <c r="U8" s="17"/>
      <c r="V8" s="18"/>
      <c r="W8" s="19"/>
      <c r="X8" s="17"/>
      <c r="Y8" s="20"/>
      <c r="Z8" s="20"/>
      <c r="AA8" s="21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0.45277777777777778</v>
      </c>
      <c r="AF8" s="93">
        <f t="shared" si="9"/>
        <v>3</v>
      </c>
    </row>
    <row r="9" spans="1:32" ht="27" customHeight="1">
      <c r="A9" s="109">
        <v>4</v>
      </c>
      <c r="B9" s="11" t="s">
        <v>57</v>
      </c>
      <c r="C9" s="11" t="s">
        <v>180</v>
      </c>
      <c r="D9" s="55" t="s">
        <v>220</v>
      </c>
      <c r="E9" s="57" t="s">
        <v>221</v>
      </c>
      <c r="F9" s="33" t="s">
        <v>222</v>
      </c>
      <c r="G9" s="36">
        <v>1</v>
      </c>
      <c r="H9" s="38">
        <v>24</v>
      </c>
      <c r="I9" s="7">
        <v>31000</v>
      </c>
      <c r="J9" s="14">
        <v>4437</v>
      </c>
      <c r="K9" s="15">
        <f>L9+4382+2780+2137</f>
        <v>13736</v>
      </c>
      <c r="L9" s="15">
        <f>2945+1492</f>
        <v>4437</v>
      </c>
      <c r="M9" s="16">
        <f t="shared" si="1"/>
        <v>4437</v>
      </c>
      <c r="N9" s="16">
        <v>0</v>
      </c>
      <c r="O9" s="62">
        <f t="shared" si="2"/>
        <v>0</v>
      </c>
      <c r="P9" s="42">
        <f t="shared" si="3"/>
        <v>20</v>
      </c>
      <c r="Q9" s="43">
        <f t="shared" si="4"/>
        <v>4</v>
      </c>
      <c r="R9" s="7"/>
      <c r="S9" s="6">
        <v>4</v>
      </c>
      <c r="T9" s="17"/>
      <c r="U9" s="17"/>
      <c r="V9" s="18"/>
      <c r="W9" s="19"/>
      <c r="X9" s="17"/>
      <c r="Y9" s="20"/>
      <c r="Z9" s="20"/>
      <c r="AA9" s="21"/>
      <c r="AB9" s="8">
        <f t="shared" si="5"/>
        <v>1</v>
      </c>
      <c r="AC9" s="9">
        <f t="shared" si="6"/>
        <v>0.83333333333333337</v>
      </c>
      <c r="AD9" s="10">
        <f t="shared" si="7"/>
        <v>0.83333333333333337</v>
      </c>
      <c r="AE9" s="39">
        <f t="shared" si="8"/>
        <v>0.45277777777777778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180</v>
      </c>
      <c r="D10" s="55" t="s">
        <v>167</v>
      </c>
      <c r="E10" s="57" t="s">
        <v>296</v>
      </c>
      <c r="F10" s="12" t="s">
        <v>169</v>
      </c>
      <c r="G10" s="12">
        <v>1</v>
      </c>
      <c r="H10" s="13">
        <v>20</v>
      </c>
      <c r="I10" s="7">
        <v>30000</v>
      </c>
      <c r="J10" s="14">
        <v>5916</v>
      </c>
      <c r="K10" s="15">
        <f>L10+3953+6257+6291+6116</f>
        <v>28533</v>
      </c>
      <c r="L10" s="15">
        <f>3148+2768</f>
        <v>5916</v>
      </c>
      <c r="M10" s="16">
        <f t="shared" si="1"/>
        <v>5916</v>
      </c>
      <c r="N10" s="16">
        <v>0</v>
      </c>
      <c r="O10" s="62">
        <f t="shared" si="2"/>
        <v>0</v>
      </c>
      <c r="P10" s="42">
        <f t="shared" si="3"/>
        <v>24</v>
      </c>
      <c r="Q10" s="43">
        <f t="shared" si="4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5"/>
        <v>1</v>
      </c>
      <c r="AC10" s="9">
        <f t="shared" si="6"/>
        <v>1</v>
      </c>
      <c r="AD10" s="10">
        <f t="shared" si="7"/>
        <v>1</v>
      </c>
      <c r="AE10" s="39">
        <f t="shared" si="8"/>
        <v>0.45277777777777778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114</v>
      </c>
      <c r="D11" s="55" t="s">
        <v>308</v>
      </c>
      <c r="E11" s="57" t="s">
        <v>312</v>
      </c>
      <c r="F11" s="12" t="s">
        <v>166</v>
      </c>
      <c r="G11" s="12">
        <v>1</v>
      </c>
      <c r="H11" s="13">
        <v>24</v>
      </c>
      <c r="I11" s="7">
        <v>4000</v>
      </c>
      <c r="J11" s="14">
        <v>3492</v>
      </c>
      <c r="K11" s="15">
        <f>L11+1388+4493+3492</f>
        <v>9373</v>
      </c>
      <c r="L11" s="15"/>
      <c r="M11" s="16">
        <f t="shared" si="1"/>
        <v>0</v>
      </c>
      <c r="N11" s="16">
        <v>0</v>
      </c>
      <c r="O11" s="62" t="str">
        <f t="shared" si="2"/>
        <v>0</v>
      </c>
      <c r="P11" s="42" t="str">
        <f t="shared" si="3"/>
        <v>0</v>
      </c>
      <c r="Q11" s="43">
        <f t="shared" si="4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5"/>
        <v>0</v>
      </c>
      <c r="AC11" s="9">
        <f t="shared" si="6"/>
        <v>0</v>
      </c>
      <c r="AD11" s="10">
        <f t="shared" si="7"/>
        <v>0</v>
      </c>
      <c r="AE11" s="39">
        <f t="shared" si="8"/>
        <v>0.45277777777777778</v>
      </c>
      <c r="AF11" s="93">
        <f t="shared" si="9"/>
        <v>6</v>
      </c>
    </row>
    <row r="12" spans="1:32" ht="27" customHeight="1">
      <c r="A12" s="109">
        <v>7</v>
      </c>
      <c r="B12" s="11" t="s">
        <v>57</v>
      </c>
      <c r="C12" s="11" t="s">
        <v>180</v>
      </c>
      <c r="D12" s="55" t="s">
        <v>358</v>
      </c>
      <c r="E12" s="57" t="s">
        <v>359</v>
      </c>
      <c r="F12" s="33" t="s">
        <v>127</v>
      </c>
      <c r="G12" s="36">
        <v>1</v>
      </c>
      <c r="H12" s="38">
        <v>20</v>
      </c>
      <c r="I12" s="7">
        <v>3000</v>
      </c>
      <c r="J12" s="14">
        <v>2911</v>
      </c>
      <c r="K12" s="15">
        <f>L12</f>
        <v>2911</v>
      </c>
      <c r="L12" s="15">
        <f>2911</f>
        <v>2911</v>
      </c>
      <c r="M12" s="16">
        <f t="shared" si="1"/>
        <v>2911</v>
      </c>
      <c r="N12" s="16">
        <v>0</v>
      </c>
      <c r="O12" s="62">
        <f t="shared" si="2"/>
        <v>0</v>
      </c>
      <c r="P12" s="42">
        <f t="shared" si="3"/>
        <v>14</v>
      </c>
      <c r="Q12" s="43">
        <f t="shared" si="4"/>
        <v>10</v>
      </c>
      <c r="R12" s="7"/>
      <c r="S12" s="6"/>
      <c r="T12" s="17">
        <v>10</v>
      </c>
      <c r="U12" s="17"/>
      <c r="V12" s="18"/>
      <c r="W12" s="19"/>
      <c r="X12" s="17"/>
      <c r="Y12" s="20"/>
      <c r="Z12" s="20"/>
      <c r="AA12" s="21"/>
      <c r="AB12" s="8">
        <f t="shared" si="5"/>
        <v>1</v>
      </c>
      <c r="AC12" s="9">
        <f t="shared" si="6"/>
        <v>0.58333333333333337</v>
      </c>
      <c r="AD12" s="10">
        <f t="shared" si="7"/>
        <v>0.58333333333333337</v>
      </c>
      <c r="AE12" s="39">
        <f t="shared" si="8"/>
        <v>0.45277777777777778</v>
      </c>
      <c r="AF12" s="93">
        <f t="shared" si="9"/>
        <v>7</v>
      </c>
    </row>
    <row r="13" spans="1:32" ht="27" customHeight="1">
      <c r="A13" s="109">
        <v>8</v>
      </c>
      <c r="B13" s="11" t="s">
        <v>57</v>
      </c>
      <c r="C13" s="11" t="s">
        <v>180</v>
      </c>
      <c r="D13" s="55" t="s">
        <v>117</v>
      </c>
      <c r="E13" s="57" t="s">
        <v>352</v>
      </c>
      <c r="F13" s="33" t="s">
        <v>162</v>
      </c>
      <c r="G13" s="36">
        <v>1</v>
      </c>
      <c r="H13" s="38">
        <v>24</v>
      </c>
      <c r="I13" s="7">
        <v>10000</v>
      </c>
      <c r="J13" s="14">
        <v>1930</v>
      </c>
      <c r="K13" s="15">
        <f>L13</f>
        <v>1930</v>
      </c>
      <c r="L13" s="15">
        <f>1930</f>
        <v>1930</v>
      </c>
      <c r="M13" s="16">
        <f t="shared" si="1"/>
        <v>1930</v>
      </c>
      <c r="N13" s="16">
        <v>0</v>
      </c>
      <c r="O13" s="62">
        <f t="shared" si="2"/>
        <v>0</v>
      </c>
      <c r="P13" s="42">
        <f t="shared" si="3"/>
        <v>9</v>
      </c>
      <c r="Q13" s="43">
        <f t="shared" si="4"/>
        <v>15</v>
      </c>
      <c r="R13" s="7"/>
      <c r="S13" s="6">
        <v>14</v>
      </c>
      <c r="T13" s="17">
        <v>1</v>
      </c>
      <c r="U13" s="17"/>
      <c r="V13" s="18"/>
      <c r="W13" s="19"/>
      <c r="X13" s="17"/>
      <c r="Y13" s="20"/>
      <c r="Z13" s="20"/>
      <c r="AA13" s="21"/>
      <c r="AB13" s="8">
        <f t="shared" si="5"/>
        <v>1</v>
      </c>
      <c r="AC13" s="9">
        <f t="shared" si="6"/>
        <v>0.375</v>
      </c>
      <c r="AD13" s="10">
        <f t="shared" si="7"/>
        <v>0.375</v>
      </c>
      <c r="AE13" s="39">
        <f t="shared" si="8"/>
        <v>0.45277777777777778</v>
      </c>
      <c r="AF13" s="93">
        <f t="shared" si="9"/>
        <v>8</v>
      </c>
    </row>
    <row r="14" spans="1:32" ht="27" customHeight="1">
      <c r="A14" s="125">
        <v>9</v>
      </c>
      <c r="B14" s="11" t="s">
        <v>57</v>
      </c>
      <c r="C14" s="37" t="s">
        <v>180</v>
      </c>
      <c r="D14" s="55" t="s">
        <v>120</v>
      </c>
      <c r="E14" s="57" t="s">
        <v>278</v>
      </c>
      <c r="F14" s="33" t="s">
        <v>179</v>
      </c>
      <c r="G14" s="36">
        <v>1</v>
      </c>
      <c r="H14" s="38">
        <v>24</v>
      </c>
      <c r="I14" s="7">
        <v>29000</v>
      </c>
      <c r="J14" s="5">
        <v>4974</v>
      </c>
      <c r="K14" s="15">
        <f>L14+3139+1810+4248+4762</f>
        <v>18933</v>
      </c>
      <c r="L14" s="15">
        <f>2239+2735</f>
        <v>4974</v>
      </c>
      <c r="M14" s="16">
        <f t="shared" si="1"/>
        <v>4974</v>
      </c>
      <c r="N14" s="16">
        <v>0</v>
      </c>
      <c r="O14" s="62">
        <f t="shared" si="2"/>
        <v>0</v>
      </c>
      <c r="P14" s="42">
        <f t="shared" si="3"/>
        <v>24</v>
      </c>
      <c r="Q14" s="43">
        <f t="shared" si="4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5"/>
        <v>1</v>
      </c>
      <c r="AC14" s="9">
        <f t="shared" si="6"/>
        <v>1</v>
      </c>
      <c r="AD14" s="10">
        <f t="shared" si="7"/>
        <v>1</v>
      </c>
      <c r="AE14" s="39">
        <f t="shared" si="8"/>
        <v>0.45277777777777778</v>
      </c>
      <c r="AF14" s="93">
        <f t="shared" si="9"/>
        <v>9</v>
      </c>
    </row>
    <row r="15" spans="1:32" ht="27" customHeight="1">
      <c r="A15" s="108">
        <v>10</v>
      </c>
      <c r="B15" s="11" t="s">
        <v>57</v>
      </c>
      <c r="C15" s="37" t="s">
        <v>325</v>
      </c>
      <c r="D15" s="55"/>
      <c r="E15" s="57" t="s">
        <v>326</v>
      </c>
      <c r="F15" s="12" t="s">
        <v>337</v>
      </c>
      <c r="G15" s="12">
        <v>1</v>
      </c>
      <c r="H15" s="13">
        <v>20</v>
      </c>
      <c r="I15" s="34">
        <v>4200</v>
      </c>
      <c r="J15" s="14">
        <v>535</v>
      </c>
      <c r="K15" s="15">
        <f>L15+2571+3520</f>
        <v>6626</v>
      </c>
      <c r="L15" s="15">
        <v>535</v>
      </c>
      <c r="M15" s="16">
        <f t="shared" si="1"/>
        <v>535</v>
      </c>
      <c r="N15" s="16">
        <v>0</v>
      </c>
      <c r="O15" s="62">
        <f t="shared" si="2"/>
        <v>0</v>
      </c>
      <c r="P15" s="42">
        <f t="shared" si="3"/>
        <v>4</v>
      </c>
      <c r="Q15" s="43">
        <f t="shared" si="4"/>
        <v>20</v>
      </c>
      <c r="R15" s="7"/>
      <c r="S15" s="6"/>
      <c r="T15" s="17"/>
      <c r="U15" s="17"/>
      <c r="V15" s="18"/>
      <c r="W15" s="19">
        <v>20</v>
      </c>
      <c r="X15" s="17"/>
      <c r="Y15" s="20"/>
      <c r="Z15" s="20"/>
      <c r="AA15" s="21"/>
      <c r="AB15" s="8">
        <f t="shared" si="5"/>
        <v>1</v>
      </c>
      <c r="AC15" s="9">
        <f t="shared" si="6"/>
        <v>0.16666666666666666</v>
      </c>
      <c r="AD15" s="10">
        <f t="shared" si="7"/>
        <v>0.16666666666666666</v>
      </c>
      <c r="AE15" s="39">
        <f t="shared" si="8"/>
        <v>0.45277777777777778</v>
      </c>
      <c r="AF15" s="93">
        <f t="shared" si="9"/>
        <v>10</v>
      </c>
    </row>
    <row r="16" spans="1:32" ht="27" customHeight="1">
      <c r="A16" s="108">
        <v>10</v>
      </c>
      <c r="B16" s="11" t="s">
        <v>57</v>
      </c>
      <c r="C16" s="37" t="s">
        <v>119</v>
      </c>
      <c r="D16" s="55" t="s">
        <v>193</v>
      </c>
      <c r="E16" s="57" t="s">
        <v>192</v>
      </c>
      <c r="F16" s="12" t="s">
        <v>125</v>
      </c>
      <c r="G16" s="12">
        <v>2</v>
      </c>
      <c r="H16" s="13">
        <v>20</v>
      </c>
      <c r="I16" s="34">
        <v>6000</v>
      </c>
      <c r="J16" s="14">
        <v>8980</v>
      </c>
      <c r="K16" s="15">
        <f>L16</f>
        <v>8980</v>
      </c>
      <c r="L16" s="15">
        <f>1062*2+3428*2</f>
        <v>8980</v>
      </c>
      <c r="M16" s="16">
        <f t="shared" ref="M16" si="10">L16-N16</f>
        <v>8980</v>
      </c>
      <c r="N16" s="16">
        <v>0</v>
      </c>
      <c r="O16" s="62">
        <f t="shared" ref="O16" si="11">IF(L16=0,"0",N16/L16)</f>
        <v>0</v>
      </c>
      <c r="P16" s="42">
        <f t="shared" ref="P16" si="12">IF(L16=0,"0",(24-Q16))</f>
        <v>18</v>
      </c>
      <c r="Q16" s="43">
        <f t="shared" ref="Q16" si="13">SUM(R16:AA16)</f>
        <v>6</v>
      </c>
      <c r="R16" s="7"/>
      <c r="S16" s="6"/>
      <c r="T16" s="17">
        <v>6</v>
      </c>
      <c r="U16" s="17"/>
      <c r="V16" s="18"/>
      <c r="W16" s="19"/>
      <c r="X16" s="17"/>
      <c r="Y16" s="20"/>
      <c r="Z16" s="20"/>
      <c r="AA16" s="21"/>
      <c r="AB16" s="8">
        <f t="shared" ref="AB16" si="14">IF(J16=0,"0",(L16/J16))</f>
        <v>1</v>
      </c>
      <c r="AC16" s="9">
        <f t="shared" ref="AC16" si="15">IF(P16=0,"0",(P16/24))</f>
        <v>0.75</v>
      </c>
      <c r="AD16" s="10">
        <f t="shared" ref="AD16" si="16">AC16*AB16*(1-O16)</f>
        <v>0.75</v>
      </c>
      <c r="AE16" s="39">
        <f t="shared" si="8"/>
        <v>0.45277777777777778</v>
      </c>
      <c r="AF16" s="93">
        <f t="shared" ref="AF16" si="17">A16</f>
        <v>10</v>
      </c>
    </row>
    <row r="17" spans="1:32" ht="27" customHeight="1">
      <c r="A17" s="108">
        <v>11</v>
      </c>
      <c r="B17" s="11" t="s">
        <v>57</v>
      </c>
      <c r="C17" s="11" t="s">
        <v>114</v>
      </c>
      <c r="D17" s="55" t="s">
        <v>122</v>
      </c>
      <c r="E17" s="57" t="s">
        <v>185</v>
      </c>
      <c r="F17" s="12">
        <v>7301</v>
      </c>
      <c r="G17" s="12">
        <v>1</v>
      </c>
      <c r="H17" s="13">
        <v>24</v>
      </c>
      <c r="I17" s="7">
        <v>4500</v>
      </c>
      <c r="J17" s="14">
        <v>834</v>
      </c>
      <c r="K17" s="15">
        <f>L17+4633+5008</f>
        <v>10475</v>
      </c>
      <c r="L17" s="15">
        <v>834</v>
      </c>
      <c r="M17" s="16">
        <f t="shared" si="1"/>
        <v>834</v>
      </c>
      <c r="N17" s="16">
        <v>0</v>
      </c>
      <c r="O17" s="62">
        <f t="shared" si="2"/>
        <v>0</v>
      </c>
      <c r="P17" s="42">
        <f t="shared" si="3"/>
        <v>5</v>
      </c>
      <c r="Q17" s="43">
        <f t="shared" si="4"/>
        <v>19</v>
      </c>
      <c r="R17" s="7"/>
      <c r="S17" s="6"/>
      <c r="T17" s="17"/>
      <c r="U17" s="17"/>
      <c r="V17" s="18"/>
      <c r="W17" s="19">
        <v>19</v>
      </c>
      <c r="X17" s="17"/>
      <c r="Y17" s="20"/>
      <c r="Z17" s="20"/>
      <c r="AA17" s="21"/>
      <c r="AB17" s="8">
        <f t="shared" si="5"/>
        <v>1</v>
      </c>
      <c r="AC17" s="9">
        <f t="shared" si="6"/>
        <v>0.20833333333333334</v>
      </c>
      <c r="AD17" s="10">
        <f t="shared" si="7"/>
        <v>0.20833333333333334</v>
      </c>
      <c r="AE17" s="39">
        <f t="shared" si="8"/>
        <v>0.45277777777777778</v>
      </c>
      <c r="AF17" s="93">
        <f t="shared" si="9"/>
        <v>11</v>
      </c>
    </row>
    <row r="18" spans="1:32" ht="27" customHeight="1">
      <c r="A18" s="108">
        <v>12</v>
      </c>
      <c r="B18" s="11" t="s">
        <v>57</v>
      </c>
      <c r="C18" s="37" t="s">
        <v>119</v>
      </c>
      <c r="D18" s="55" t="s">
        <v>135</v>
      </c>
      <c r="E18" s="57" t="s">
        <v>145</v>
      </c>
      <c r="F18" s="12" t="s">
        <v>125</v>
      </c>
      <c r="G18" s="12">
        <v>2</v>
      </c>
      <c r="H18" s="13">
        <v>20</v>
      </c>
      <c r="I18" s="34">
        <v>10000</v>
      </c>
      <c r="J18" s="14">
        <v>9598</v>
      </c>
      <c r="K18" s="15">
        <f>L18</f>
        <v>9598</v>
      </c>
      <c r="L18" s="15">
        <f>1038*2+3761*2</f>
        <v>9598</v>
      </c>
      <c r="M18" s="16">
        <f t="shared" si="1"/>
        <v>9598</v>
      </c>
      <c r="N18" s="16">
        <v>0</v>
      </c>
      <c r="O18" s="62">
        <f t="shared" si="2"/>
        <v>0</v>
      </c>
      <c r="P18" s="42">
        <f t="shared" si="3"/>
        <v>21</v>
      </c>
      <c r="Q18" s="43">
        <f t="shared" si="4"/>
        <v>3</v>
      </c>
      <c r="R18" s="7"/>
      <c r="S18" s="6"/>
      <c r="T18" s="17">
        <v>3</v>
      </c>
      <c r="U18" s="17"/>
      <c r="V18" s="18"/>
      <c r="W18" s="19"/>
      <c r="X18" s="17"/>
      <c r="Y18" s="20"/>
      <c r="Z18" s="20"/>
      <c r="AA18" s="21"/>
      <c r="AB18" s="8">
        <f t="shared" si="5"/>
        <v>1</v>
      </c>
      <c r="AC18" s="9">
        <f t="shared" si="6"/>
        <v>0.875</v>
      </c>
      <c r="AD18" s="10">
        <f t="shared" si="7"/>
        <v>0.875</v>
      </c>
      <c r="AE18" s="39">
        <f t="shared" si="8"/>
        <v>0.45277777777777778</v>
      </c>
      <c r="AF18" s="93">
        <f t="shared" si="9"/>
        <v>12</v>
      </c>
    </row>
    <row r="19" spans="1:32" ht="27" customHeight="1">
      <c r="A19" s="109">
        <v>13</v>
      </c>
      <c r="B19" s="11"/>
      <c r="C19" s="37"/>
      <c r="D19" s="55"/>
      <c r="E19" s="57"/>
      <c r="F19" s="33"/>
      <c r="G19" s="36"/>
      <c r="H19" s="38"/>
      <c r="I19" s="7"/>
      <c r="J19" s="5"/>
      <c r="K19" s="15"/>
      <c r="L19" s="15"/>
      <c r="M19" s="16">
        <f t="shared" si="1"/>
        <v>0</v>
      </c>
      <c r="N19" s="16">
        <v>0</v>
      </c>
      <c r="O19" s="62" t="str">
        <f t="shared" si="2"/>
        <v>0</v>
      </c>
      <c r="P19" s="42" t="str">
        <f t="shared" si="3"/>
        <v>0</v>
      </c>
      <c r="Q19" s="43">
        <f t="shared" si="4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 t="str">
        <f t="shared" si="5"/>
        <v>0</v>
      </c>
      <c r="AC19" s="9">
        <f t="shared" si="6"/>
        <v>0</v>
      </c>
      <c r="AD19" s="10">
        <f>AC19*AB19*(1-O19)</f>
        <v>0</v>
      </c>
      <c r="AE19" s="39">
        <f t="shared" si="8"/>
        <v>0.45277777777777778</v>
      </c>
      <c r="AF19" s="93">
        <f t="shared" si="9"/>
        <v>13</v>
      </c>
    </row>
    <row r="20" spans="1:32" ht="27" customHeight="1">
      <c r="A20" s="109">
        <v>14</v>
      </c>
      <c r="B20" s="11" t="s">
        <v>57</v>
      </c>
      <c r="C20" s="37" t="s">
        <v>180</v>
      </c>
      <c r="D20" s="55" t="s">
        <v>117</v>
      </c>
      <c r="E20" s="57" t="s">
        <v>274</v>
      </c>
      <c r="F20" s="12" t="s">
        <v>162</v>
      </c>
      <c r="G20" s="36">
        <v>1</v>
      </c>
      <c r="H20" s="38">
        <v>24</v>
      </c>
      <c r="I20" s="7">
        <v>30000</v>
      </c>
      <c r="J20" s="5">
        <v>5226</v>
      </c>
      <c r="K20" s="15">
        <f>L20+3291+5129+4916+5293+4866+5228</f>
        <v>33949</v>
      </c>
      <c r="L20" s="15">
        <f>2345+2881</f>
        <v>5226</v>
      </c>
      <c r="M20" s="16">
        <f t="shared" si="1"/>
        <v>5226</v>
      </c>
      <c r="N20" s="16">
        <v>0</v>
      </c>
      <c r="O20" s="62">
        <f t="shared" si="2"/>
        <v>0</v>
      </c>
      <c r="P20" s="42">
        <f t="shared" si="3"/>
        <v>24</v>
      </c>
      <c r="Q20" s="43">
        <f t="shared" si="4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9">
        <f t="shared" si="8"/>
        <v>0.45277777777777778</v>
      </c>
      <c r="AF20" s="93">
        <f t="shared" si="9"/>
        <v>14</v>
      </c>
    </row>
    <row r="21" spans="1:32" ht="27" customHeight="1" thickBot="1">
      <c r="A21" s="109">
        <v>15</v>
      </c>
      <c r="B21" s="11" t="s">
        <v>57</v>
      </c>
      <c r="C21" s="11" t="s">
        <v>115</v>
      </c>
      <c r="D21" s="55"/>
      <c r="E21" s="56" t="s">
        <v>126</v>
      </c>
      <c r="F21" s="12" t="s">
        <v>116</v>
      </c>
      <c r="G21" s="12">
        <v>4</v>
      </c>
      <c r="H21" s="38">
        <v>20</v>
      </c>
      <c r="I21" s="7">
        <v>500000</v>
      </c>
      <c r="J21" s="14">
        <v>35376</v>
      </c>
      <c r="K21" s="15">
        <f>L21+27008+76128+41848+38820+35376</f>
        <v>219180</v>
      </c>
      <c r="L21" s="15"/>
      <c r="M21" s="16">
        <f t="shared" si="1"/>
        <v>0</v>
      </c>
      <c r="N21" s="16">
        <v>0</v>
      </c>
      <c r="O21" s="62" t="str">
        <f t="shared" si="2"/>
        <v>0</v>
      </c>
      <c r="P21" s="42" t="str">
        <f t="shared" si="3"/>
        <v>0</v>
      </c>
      <c r="Q21" s="43">
        <f t="shared" si="4"/>
        <v>24</v>
      </c>
      <c r="R21" s="7"/>
      <c r="S21" s="6"/>
      <c r="T21" s="17"/>
      <c r="U21" s="17"/>
      <c r="V21" s="18">
        <v>24</v>
      </c>
      <c r="W21" s="19"/>
      <c r="X21" s="17"/>
      <c r="Y21" s="20"/>
      <c r="Z21" s="20"/>
      <c r="AA21" s="21"/>
      <c r="AB21" s="8">
        <f t="shared" si="5"/>
        <v>0</v>
      </c>
      <c r="AC21" s="9">
        <f t="shared" si="6"/>
        <v>0</v>
      </c>
      <c r="AD21" s="10">
        <f t="shared" si="7"/>
        <v>0</v>
      </c>
      <c r="AE21" s="39">
        <f t="shared" si="8"/>
        <v>0.45277777777777778</v>
      </c>
      <c r="AF21" s="93">
        <f t="shared" si="9"/>
        <v>15</v>
      </c>
    </row>
    <row r="22" spans="1:32" ht="31.5" customHeight="1" thickBot="1">
      <c r="A22" s="312" t="s">
        <v>34</v>
      </c>
      <c r="B22" s="313"/>
      <c r="C22" s="313"/>
      <c r="D22" s="313"/>
      <c r="E22" s="313"/>
      <c r="F22" s="313"/>
      <c r="G22" s="313"/>
      <c r="H22" s="314"/>
      <c r="I22" s="25">
        <f t="shared" ref="I22:N22" si="18">SUM(I6:I21)</f>
        <v>661700</v>
      </c>
      <c r="J22" s="22">
        <f t="shared" si="18"/>
        <v>84209</v>
      </c>
      <c r="K22" s="23">
        <f t="shared" si="18"/>
        <v>364224</v>
      </c>
      <c r="L22" s="24">
        <f t="shared" si="18"/>
        <v>45341</v>
      </c>
      <c r="M22" s="23">
        <f t="shared" si="18"/>
        <v>45341</v>
      </c>
      <c r="N22" s="24">
        <f t="shared" si="18"/>
        <v>0</v>
      </c>
      <c r="O22" s="44">
        <f t="shared" si="2"/>
        <v>0</v>
      </c>
      <c r="P22" s="45">
        <f t="shared" ref="P22:AA22" si="19">SUM(P6:P21)</f>
        <v>163</v>
      </c>
      <c r="Q22" s="46">
        <f t="shared" si="19"/>
        <v>221</v>
      </c>
      <c r="R22" s="26">
        <f t="shared" si="19"/>
        <v>48</v>
      </c>
      <c r="S22" s="27">
        <f t="shared" si="19"/>
        <v>18</v>
      </c>
      <c r="T22" s="27">
        <f t="shared" si="19"/>
        <v>20</v>
      </c>
      <c r="U22" s="27">
        <f t="shared" si="19"/>
        <v>0</v>
      </c>
      <c r="V22" s="28">
        <f t="shared" si="19"/>
        <v>24</v>
      </c>
      <c r="W22" s="29">
        <f t="shared" si="19"/>
        <v>111</v>
      </c>
      <c r="X22" s="30">
        <f t="shared" si="19"/>
        <v>0</v>
      </c>
      <c r="Y22" s="30">
        <f t="shared" si="19"/>
        <v>0</v>
      </c>
      <c r="Z22" s="30">
        <f t="shared" si="19"/>
        <v>0</v>
      </c>
      <c r="AA22" s="30">
        <f t="shared" si="19"/>
        <v>0</v>
      </c>
      <c r="AB22" s="31">
        <f>SUM(AB6:AB21)/15</f>
        <v>0.66666666666666663</v>
      </c>
      <c r="AC22" s="4">
        <f>SUM(AC6:AC21)/15</f>
        <v>0.45277777777777778</v>
      </c>
      <c r="AD22" s="4">
        <f>SUM(AD6:AD21)/15</f>
        <v>0.45277777777777778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15" t="s">
        <v>45</v>
      </c>
      <c r="B49" s="315"/>
      <c r="C49" s="315"/>
      <c r="D49" s="315"/>
      <c r="E49" s="31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16" t="s">
        <v>360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19" t="s">
        <v>362</v>
      </c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1"/>
    </row>
    <row r="51" spans="1:32" ht="27" customHeight="1">
      <c r="A51" s="322" t="s">
        <v>2</v>
      </c>
      <c r="B51" s="323"/>
      <c r="C51" s="264" t="s">
        <v>46</v>
      </c>
      <c r="D51" s="264" t="s">
        <v>47</v>
      </c>
      <c r="E51" s="264" t="s">
        <v>108</v>
      </c>
      <c r="F51" s="323" t="s">
        <v>107</v>
      </c>
      <c r="G51" s="323"/>
      <c r="H51" s="323"/>
      <c r="I51" s="323"/>
      <c r="J51" s="323"/>
      <c r="K51" s="323"/>
      <c r="L51" s="323"/>
      <c r="M51" s="324"/>
      <c r="N51" s="73" t="s">
        <v>112</v>
      </c>
      <c r="O51" s="264" t="s">
        <v>46</v>
      </c>
      <c r="P51" s="325" t="s">
        <v>47</v>
      </c>
      <c r="Q51" s="326"/>
      <c r="R51" s="325" t="s">
        <v>38</v>
      </c>
      <c r="S51" s="327"/>
      <c r="T51" s="327"/>
      <c r="U51" s="326"/>
      <c r="V51" s="325" t="s">
        <v>48</v>
      </c>
      <c r="W51" s="327"/>
      <c r="X51" s="327"/>
      <c r="Y51" s="327"/>
      <c r="Z51" s="327"/>
      <c r="AA51" s="327"/>
      <c r="AB51" s="327"/>
      <c r="AC51" s="327"/>
      <c r="AD51" s="328"/>
    </row>
    <row r="52" spans="1:32" ht="27" customHeight="1">
      <c r="A52" s="339" t="s">
        <v>180</v>
      </c>
      <c r="B52" s="340"/>
      <c r="C52" s="266" t="s">
        <v>276</v>
      </c>
      <c r="D52" s="266" t="s">
        <v>220</v>
      </c>
      <c r="E52" s="266" t="s">
        <v>221</v>
      </c>
      <c r="F52" s="341" t="s">
        <v>351</v>
      </c>
      <c r="G52" s="342"/>
      <c r="H52" s="342"/>
      <c r="I52" s="342"/>
      <c r="J52" s="342"/>
      <c r="K52" s="342"/>
      <c r="L52" s="342"/>
      <c r="M52" s="343"/>
      <c r="N52" s="265" t="s">
        <v>180</v>
      </c>
      <c r="O52" s="124" t="s">
        <v>118</v>
      </c>
      <c r="P52" s="340" t="s">
        <v>167</v>
      </c>
      <c r="Q52" s="340"/>
      <c r="R52" s="340" t="s">
        <v>363</v>
      </c>
      <c r="S52" s="340"/>
      <c r="T52" s="340"/>
      <c r="U52" s="340"/>
      <c r="V52" s="346" t="s">
        <v>131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119</v>
      </c>
      <c r="B53" s="340"/>
      <c r="C53" s="266" t="s">
        <v>310</v>
      </c>
      <c r="D53" s="266" t="s">
        <v>193</v>
      </c>
      <c r="E53" s="266" t="s">
        <v>192</v>
      </c>
      <c r="F53" s="341" t="s">
        <v>131</v>
      </c>
      <c r="G53" s="342"/>
      <c r="H53" s="342"/>
      <c r="I53" s="342"/>
      <c r="J53" s="342"/>
      <c r="K53" s="342"/>
      <c r="L53" s="342"/>
      <c r="M53" s="343"/>
      <c r="N53" s="265" t="s">
        <v>115</v>
      </c>
      <c r="O53" s="124" t="s">
        <v>147</v>
      </c>
      <c r="P53" s="340"/>
      <c r="Q53" s="340"/>
      <c r="R53" s="340" t="s">
        <v>353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119</v>
      </c>
      <c r="B54" s="340"/>
      <c r="C54" s="266" t="s">
        <v>187</v>
      </c>
      <c r="D54" s="266" t="s">
        <v>135</v>
      </c>
      <c r="E54" s="266" t="s">
        <v>145</v>
      </c>
      <c r="F54" s="341" t="s">
        <v>131</v>
      </c>
      <c r="G54" s="342"/>
      <c r="H54" s="342"/>
      <c r="I54" s="342"/>
      <c r="J54" s="342"/>
      <c r="K54" s="342"/>
      <c r="L54" s="342"/>
      <c r="M54" s="343"/>
      <c r="N54" s="265" t="s">
        <v>180</v>
      </c>
      <c r="O54" s="124" t="s">
        <v>184</v>
      </c>
      <c r="P54" s="340" t="s">
        <v>117</v>
      </c>
      <c r="Q54" s="340"/>
      <c r="R54" s="340" t="s">
        <v>352</v>
      </c>
      <c r="S54" s="340"/>
      <c r="T54" s="340"/>
      <c r="U54" s="340"/>
      <c r="V54" s="346" t="s">
        <v>236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180</v>
      </c>
      <c r="B55" s="340"/>
      <c r="C55" s="266" t="s">
        <v>184</v>
      </c>
      <c r="D55" s="266" t="s">
        <v>117</v>
      </c>
      <c r="E55" s="266" t="s">
        <v>352</v>
      </c>
      <c r="F55" s="341" t="s">
        <v>361</v>
      </c>
      <c r="G55" s="342"/>
      <c r="H55" s="342"/>
      <c r="I55" s="342"/>
      <c r="J55" s="342"/>
      <c r="K55" s="342"/>
      <c r="L55" s="342"/>
      <c r="M55" s="343"/>
      <c r="N55" s="265"/>
      <c r="O55" s="124"/>
      <c r="P55" s="344"/>
      <c r="Q55" s="345"/>
      <c r="R55" s="340"/>
      <c r="S55" s="340"/>
      <c r="T55" s="340"/>
      <c r="U55" s="340"/>
      <c r="V55" s="346"/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 t="s">
        <v>180</v>
      </c>
      <c r="B56" s="340"/>
      <c r="C56" s="266" t="s">
        <v>199</v>
      </c>
      <c r="D56" s="266" t="s">
        <v>358</v>
      </c>
      <c r="E56" s="266" t="s">
        <v>359</v>
      </c>
      <c r="F56" s="341" t="s">
        <v>131</v>
      </c>
      <c r="G56" s="342"/>
      <c r="H56" s="342"/>
      <c r="I56" s="342"/>
      <c r="J56" s="342"/>
      <c r="K56" s="342"/>
      <c r="L56" s="342"/>
      <c r="M56" s="343"/>
      <c r="N56" s="265"/>
      <c r="O56" s="124"/>
      <c r="P56" s="340"/>
      <c r="Q56" s="340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266"/>
      <c r="D57" s="266"/>
      <c r="E57" s="266"/>
      <c r="F57" s="341"/>
      <c r="G57" s="342"/>
      <c r="H57" s="342"/>
      <c r="I57" s="342"/>
      <c r="J57" s="342"/>
      <c r="K57" s="342"/>
      <c r="L57" s="342"/>
      <c r="M57" s="343"/>
      <c r="N57" s="265"/>
      <c r="O57" s="124"/>
      <c r="P57" s="344"/>
      <c r="Q57" s="345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266"/>
      <c r="D58" s="266"/>
      <c r="E58" s="266"/>
      <c r="F58" s="341"/>
      <c r="G58" s="342"/>
      <c r="H58" s="342"/>
      <c r="I58" s="342"/>
      <c r="J58" s="342"/>
      <c r="K58" s="342"/>
      <c r="L58" s="342"/>
      <c r="M58" s="343"/>
      <c r="N58" s="265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266"/>
      <c r="D59" s="266"/>
      <c r="E59" s="266"/>
      <c r="F59" s="346"/>
      <c r="G59" s="346"/>
      <c r="H59" s="346"/>
      <c r="I59" s="346"/>
      <c r="J59" s="346"/>
      <c r="K59" s="346"/>
      <c r="L59" s="346"/>
      <c r="M59" s="347"/>
      <c r="N59" s="265"/>
      <c r="O59" s="124"/>
      <c r="P59" s="344"/>
      <c r="Q59" s="345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</row>
    <row r="60" spans="1:32" ht="27" customHeight="1">
      <c r="A60" s="339"/>
      <c r="B60" s="340"/>
      <c r="C60" s="266"/>
      <c r="D60" s="266"/>
      <c r="E60" s="266"/>
      <c r="F60" s="341"/>
      <c r="G60" s="342"/>
      <c r="H60" s="342"/>
      <c r="I60" s="342"/>
      <c r="J60" s="342"/>
      <c r="K60" s="342"/>
      <c r="L60" s="342"/>
      <c r="M60" s="343"/>
      <c r="N60" s="265"/>
      <c r="O60" s="124"/>
      <c r="P60" s="340"/>
      <c r="Q60" s="340"/>
      <c r="R60" s="340"/>
      <c r="S60" s="340"/>
      <c r="T60" s="340"/>
      <c r="U60" s="340"/>
      <c r="V60" s="346"/>
      <c r="W60" s="346"/>
      <c r="X60" s="346"/>
      <c r="Y60" s="346"/>
      <c r="Z60" s="346"/>
      <c r="AA60" s="346"/>
      <c r="AB60" s="346"/>
      <c r="AC60" s="346"/>
      <c r="AD60" s="347"/>
      <c r="AF60" s="93">
        <f>8*3000</f>
        <v>24000</v>
      </c>
    </row>
    <row r="61" spans="1:32" ht="27" customHeight="1" thickBot="1">
      <c r="A61" s="348"/>
      <c r="B61" s="349"/>
      <c r="C61" s="268"/>
      <c r="D61" s="268"/>
      <c r="E61" s="268"/>
      <c r="F61" s="350"/>
      <c r="G61" s="350"/>
      <c r="H61" s="350"/>
      <c r="I61" s="350"/>
      <c r="J61" s="350"/>
      <c r="K61" s="350"/>
      <c r="L61" s="350"/>
      <c r="M61" s="351"/>
      <c r="N61" s="267"/>
      <c r="O61" s="120"/>
      <c r="P61" s="349"/>
      <c r="Q61" s="349"/>
      <c r="R61" s="349"/>
      <c r="S61" s="349"/>
      <c r="T61" s="349"/>
      <c r="U61" s="349"/>
      <c r="V61" s="352"/>
      <c r="W61" s="352"/>
      <c r="X61" s="352"/>
      <c r="Y61" s="352"/>
      <c r="Z61" s="352"/>
      <c r="AA61" s="352"/>
      <c r="AB61" s="352"/>
      <c r="AC61" s="352"/>
      <c r="AD61" s="353"/>
      <c r="AF61" s="93">
        <f>16*3000</f>
        <v>48000</v>
      </c>
    </row>
    <row r="62" spans="1:32" ht="27.75" thickBot="1">
      <c r="A62" s="354" t="s">
        <v>364</v>
      </c>
      <c r="B62" s="354"/>
      <c r="C62" s="354"/>
      <c r="D62" s="354"/>
      <c r="E62" s="35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55" t="s">
        <v>113</v>
      </c>
      <c r="B63" s="356"/>
      <c r="C63" s="269" t="s">
        <v>2</v>
      </c>
      <c r="D63" s="269" t="s">
        <v>37</v>
      </c>
      <c r="E63" s="269" t="s">
        <v>3</v>
      </c>
      <c r="F63" s="356" t="s">
        <v>110</v>
      </c>
      <c r="G63" s="356"/>
      <c r="H63" s="356"/>
      <c r="I63" s="356"/>
      <c r="J63" s="356"/>
      <c r="K63" s="356" t="s">
        <v>39</v>
      </c>
      <c r="L63" s="356"/>
      <c r="M63" s="269" t="s">
        <v>40</v>
      </c>
      <c r="N63" s="356" t="s">
        <v>41</v>
      </c>
      <c r="O63" s="356"/>
      <c r="P63" s="357" t="s">
        <v>42</v>
      </c>
      <c r="Q63" s="358"/>
      <c r="R63" s="357" t="s">
        <v>43</v>
      </c>
      <c r="S63" s="359"/>
      <c r="T63" s="359"/>
      <c r="U63" s="359"/>
      <c r="V63" s="359"/>
      <c r="W63" s="359"/>
      <c r="X63" s="359"/>
      <c r="Y63" s="359"/>
      <c r="Z63" s="359"/>
      <c r="AA63" s="358"/>
      <c r="AB63" s="356" t="s">
        <v>44</v>
      </c>
      <c r="AC63" s="356"/>
      <c r="AD63" s="360"/>
      <c r="AF63" s="93">
        <f>SUM(AF60:AF62)</f>
        <v>96000</v>
      </c>
    </row>
    <row r="64" spans="1:32" ht="25.5" customHeight="1">
      <c r="A64" s="361">
        <v>1</v>
      </c>
      <c r="B64" s="362"/>
      <c r="C64" s="123" t="s">
        <v>119</v>
      </c>
      <c r="D64" s="272"/>
      <c r="E64" s="270" t="s">
        <v>173</v>
      </c>
      <c r="F64" s="363" t="s">
        <v>330</v>
      </c>
      <c r="G64" s="364"/>
      <c r="H64" s="364"/>
      <c r="I64" s="364"/>
      <c r="J64" s="364"/>
      <c r="K64" s="364" t="s">
        <v>125</v>
      </c>
      <c r="L64" s="364"/>
      <c r="M64" s="54" t="s">
        <v>223</v>
      </c>
      <c r="N64" s="364">
        <v>6</v>
      </c>
      <c r="O64" s="364"/>
      <c r="P64" s="365">
        <v>50</v>
      </c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2</v>
      </c>
      <c r="B65" s="362"/>
      <c r="C65" s="123" t="s">
        <v>180</v>
      </c>
      <c r="D65" s="272"/>
      <c r="E65" s="270" t="s">
        <v>175</v>
      </c>
      <c r="F65" s="363" t="s">
        <v>344</v>
      </c>
      <c r="G65" s="364"/>
      <c r="H65" s="364"/>
      <c r="I65" s="364"/>
      <c r="J65" s="364"/>
      <c r="K65" s="364" t="s">
        <v>177</v>
      </c>
      <c r="L65" s="364"/>
      <c r="M65" s="54" t="s">
        <v>223</v>
      </c>
      <c r="N65" s="364">
        <v>12</v>
      </c>
      <c r="O65" s="364"/>
      <c r="P65" s="365">
        <v>50</v>
      </c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3</v>
      </c>
      <c r="B66" s="362"/>
      <c r="C66" s="123"/>
      <c r="D66" s="272"/>
      <c r="E66" s="270"/>
      <c r="F66" s="363"/>
      <c r="G66" s="364"/>
      <c r="H66" s="364"/>
      <c r="I66" s="364"/>
      <c r="J66" s="364"/>
      <c r="K66" s="364"/>
      <c r="L66" s="364"/>
      <c r="M66" s="54"/>
      <c r="N66" s="364"/>
      <c r="O66" s="364"/>
      <c r="P66" s="365"/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4</v>
      </c>
      <c r="B67" s="362"/>
      <c r="C67" s="123"/>
      <c r="D67" s="272"/>
      <c r="E67" s="270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5</v>
      </c>
      <c r="B68" s="362"/>
      <c r="C68" s="123"/>
      <c r="D68" s="272"/>
      <c r="E68" s="270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6</v>
      </c>
      <c r="B69" s="362"/>
      <c r="C69" s="123"/>
      <c r="D69" s="272"/>
      <c r="E69" s="270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7</v>
      </c>
      <c r="B70" s="362"/>
      <c r="C70" s="123"/>
      <c r="D70" s="272"/>
      <c r="E70" s="270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5.5" customHeight="1">
      <c r="A71" s="361">
        <v>8</v>
      </c>
      <c r="B71" s="362"/>
      <c r="C71" s="123"/>
      <c r="D71" s="272"/>
      <c r="E71" s="270"/>
      <c r="F71" s="363"/>
      <c r="G71" s="364"/>
      <c r="H71" s="364"/>
      <c r="I71" s="364"/>
      <c r="J71" s="364"/>
      <c r="K71" s="364"/>
      <c r="L71" s="364"/>
      <c r="M71" s="54"/>
      <c r="N71" s="364"/>
      <c r="O71" s="364"/>
      <c r="P71" s="365"/>
      <c r="Q71" s="365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64"/>
      <c r="AC71" s="364"/>
      <c r="AD71" s="366"/>
      <c r="AF71" s="53"/>
    </row>
    <row r="72" spans="1:32" ht="26.25" customHeight="1" thickBot="1">
      <c r="A72" s="367" t="s">
        <v>365</v>
      </c>
      <c r="B72" s="367"/>
      <c r="C72" s="367"/>
      <c r="D72" s="367"/>
      <c r="E72" s="36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8" t="s">
        <v>113</v>
      </c>
      <c r="B73" s="369"/>
      <c r="C73" s="271" t="s">
        <v>2</v>
      </c>
      <c r="D73" s="271" t="s">
        <v>37</v>
      </c>
      <c r="E73" s="271" t="s">
        <v>3</v>
      </c>
      <c r="F73" s="369" t="s">
        <v>38</v>
      </c>
      <c r="G73" s="369"/>
      <c r="H73" s="369"/>
      <c r="I73" s="369"/>
      <c r="J73" s="369"/>
      <c r="K73" s="370" t="s">
        <v>58</v>
      </c>
      <c r="L73" s="371"/>
      <c r="M73" s="371"/>
      <c r="N73" s="371"/>
      <c r="O73" s="371"/>
      <c r="P73" s="371"/>
      <c r="Q73" s="371"/>
      <c r="R73" s="371"/>
      <c r="S73" s="372"/>
      <c r="T73" s="369" t="s">
        <v>49</v>
      </c>
      <c r="U73" s="369"/>
      <c r="V73" s="370" t="s">
        <v>50</v>
      </c>
      <c r="W73" s="372"/>
      <c r="X73" s="371" t="s">
        <v>51</v>
      </c>
      <c r="Y73" s="371"/>
      <c r="Z73" s="371"/>
      <c r="AA73" s="371"/>
      <c r="AB73" s="371"/>
      <c r="AC73" s="371"/>
      <c r="AD73" s="373"/>
      <c r="AF73" s="53"/>
    </row>
    <row r="74" spans="1:32" ht="33.75" customHeight="1">
      <c r="A74" s="382">
        <v>1</v>
      </c>
      <c r="B74" s="383"/>
      <c r="C74" s="273" t="s">
        <v>114</v>
      </c>
      <c r="D74" s="273"/>
      <c r="E74" s="71" t="s">
        <v>122</v>
      </c>
      <c r="F74" s="384" t="s">
        <v>121</v>
      </c>
      <c r="G74" s="385"/>
      <c r="H74" s="385"/>
      <c r="I74" s="385"/>
      <c r="J74" s="386"/>
      <c r="K74" s="387" t="s">
        <v>123</v>
      </c>
      <c r="L74" s="388"/>
      <c r="M74" s="388"/>
      <c r="N74" s="388"/>
      <c r="O74" s="388"/>
      <c r="P74" s="388"/>
      <c r="Q74" s="388"/>
      <c r="R74" s="388"/>
      <c r="S74" s="389"/>
      <c r="T74" s="390">
        <v>43384</v>
      </c>
      <c r="U74" s="391"/>
      <c r="V74" s="392"/>
      <c r="W74" s="392"/>
      <c r="X74" s="393"/>
      <c r="Y74" s="393"/>
      <c r="Z74" s="393"/>
      <c r="AA74" s="393"/>
      <c r="AB74" s="393"/>
      <c r="AC74" s="393"/>
      <c r="AD74" s="394"/>
      <c r="AF74" s="53"/>
    </row>
    <row r="75" spans="1:32" ht="30" customHeight="1">
      <c r="A75" s="374">
        <f>A74+1</f>
        <v>2</v>
      </c>
      <c r="B75" s="375"/>
      <c r="C75" s="272"/>
      <c r="D75" s="272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ref="A76:A82" si="20">A75+1</f>
        <v>3</v>
      </c>
      <c r="B76" s="375"/>
      <c r="C76" s="272"/>
      <c r="D76" s="272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20"/>
        <v>4</v>
      </c>
      <c r="B77" s="375"/>
      <c r="C77" s="272"/>
      <c r="D77" s="272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20"/>
        <v>5</v>
      </c>
      <c r="B78" s="375"/>
      <c r="C78" s="272"/>
      <c r="D78" s="272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20"/>
        <v>6</v>
      </c>
      <c r="B79" s="375"/>
      <c r="C79" s="272"/>
      <c r="D79" s="272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20"/>
        <v>7</v>
      </c>
      <c r="B80" s="375"/>
      <c r="C80" s="272"/>
      <c r="D80" s="272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20"/>
        <v>8</v>
      </c>
      <c r="B81" s="375"/>
      <c r="C81" s="272"/>
      <c r="D81" s="272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0" customHeight="1">
      <c r="A82" s="374">
        <f t="shared" si="20"/>
        <v>9</v>
      </c>
      <c r="B82" s="375"/>
      <c r="C82" s="272"/>
      <c r="D82" s="272"/>
      <c r="E82" s="35"/>
      <c r="F82" s="375"/>
      <c r="G82" s="375"/>
      <c r="H82" s="375"/>
      <c r="I82" s="375"/>
      <c r="J82" s="375"/>
      <c r="K82" s="376"/>
      <c r="L82" s="377"/>
      <c r="M82" s="377"/>
      <c r="N82" s="377"/>
      <c r="O82" s="377"/>
      <c r="P82" s="377"/>
      <c r="Q82" s="377"/>
      <c r="R82" s="377"/>
      <c r="S82" s="378"/>
      <c r="T82" s="379"/>
      <c r="U82" s="379"/>
      <c r="V82" s="379"/>
      <c r="W82" s="379"/>
      <c r="X82" s="380"/>
      <c r="Y82" s="380"/>
      <c r="Z82" s="380"/>
      <c r="AA82" s="380"/>
      <c r="AB82" s="380"/>
      <c r="AC82" s="380"/>
      <c r="AD82" s="381"/>
      <c r="AF82" s="53"/>
    </row>
    <row r="83" spans="1:32" ht="36" thickBot="1">
      <c r="A83" s="367" t="s">
        <v>366</v>
      </c>
      <c r="B83" s="367"/>
      <c r="C83" s="367"/>
      <c r="D83" s="367"/>
      <c r="E83" s="36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68" t="s">
        <v>113</v>
      </c>
      <c r="B84" s="369"/>
      <c r="C84" s="395" t="s">
        <v>52</v>
      </c>
      <c r="D84" s="395"/>
      <c r="E84" s="395" t="s">
        <v>53</v>
      </c>
      <c r="F84" s="395"/>
      <c r="G84" s="395"/>
      <c r="H84" s="395"/>
      <c r="I84" s="395"/>
      <c r="J84" s="395"/>
      <c r="K84" s="395" t="s">
        <v>54</v>
      </c>
      <c r="L84" s="395"/>
      <c r="M84" s="395"/>
      <c r="N84" s="395"/>
      <c r="O84" s="395"/>
      <c r="P84" s="395"/>
      <c r="Q84" s="395"/>
      <c r="R84" s="395"/>
      <c r="S84" s="395"/>
      <c r="T84" s="395" t="s">
        <v>55</v>
      </c>
      <c r="U84" s="395"/>
      <c r="V84" s="395" t="s">
        <v>56</v>
      </c>
      <c r="W84" s="395"/>
      <c r="X84" s="395"/>
      <c r="Y84" s="395" t="s">
        <v>51</v>
      </c>
      <c r="Z84" s="395"/>
      <c r="AA84" s="395"/>
      <c r="AB84" s="395"/>
      <c r="AC84" s="395"/>
      <c r="AD84" s="396"/>
      <c r="AF84" s="53"/>
    </row>
    <row r="85" spans="1:32" ht="30.75" customHeight="1">
      <c r="A85" s="382">
        <v>1</v>
      </c>
      <c r="B85" s="383"/>
      <c r="C85" s="397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8"/>
      <c r="W85" s="398"/>
      <c r="X85" s="398"/>
      <c r="Y85" s="399"/>
      <c r="Z85" s="399"/>
      <c r="AA85" s="399"/>
      <c r="AB85" s="399"/>
      <c r="AC85" s="399"/>
      <c r="AD85" s="400"/>
      <c r="AF85" s="53"/>
    </row>
    <row r="86" spans="1:32" ht="30.75" customHeight="1">
      <c r="A86" s="374">
        <v>2</v>
      </c>
      <c r="B86" s="375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9"/>
      <c r="U86" s="409"/>
      <c r="V86" s="410"/>
      <c r="W86" s="410"/>
      <c r="X86" s="410"/>
      <c r="Y86" s="401"/>
      <c r="Z86" s="401"/>
      <c r="AA86" s="401"/>
      <c r="AB86" s="401"/>
      <c r="AC86" s="401"/>
      <c r="AD86" s="402"/>
      <c r="AF86" s="53"/>
    </row>
    <row r="87" spans="1:32" ht="30.75" customHeight="1" thickBot="1">
      <c r="A87" s="403">
        <v>3</v>
      </c>
      <c r="B87" s="404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6"/>
      <c r="Z87" s="406"/>
      <c r="AA87" s="406"/>
      <c r="AB87" s="406"/>
      <c r="AC87" s="406"/>
      <c r="AD87" s="407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5E4D-E976-459C-9579-36FCC58AC012}">
  <sheetPr>
    <pageSetUpPr fitToPage="1"/>
  </sheetPr>
  <dimension ref="A1:AF88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367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284" t="s">
        <v>17</v>
      </c>
      <c r="L5" s="284" t="s">
        <v>18</v>
      </c>
      <c r="M5" s="284" t="s">
        <v>19</v>
      </c>
      <c r="N5" s="28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7" si="0">L6</f>
        <v>0</v>
      </c>
      <c r="L6" s="15"/>
      <c r="M6" s="16">
        <f t="shared" ref="M6:M22" si="1">L6-N6</f>
        <v>0</v>
      </c>
      <c r="N6" s="16">
        <v>0</v>
      </c>
      <c r="O6" s="62" t="str">
        <f t="shared" ref="O6:O23" si="2">IF(L6=0,"0",N6/L6)</f>
        <v>0</v>
      </c>
      <c r="P6" s="42" t="str">
        <f t="shared" ref="P6:P22" si="3">IF(L6=0,"0",(24-Q6))</f>
        <v>0</v>
      </c>
      <c r="Q6" s="43">
        <f t="shared" ref="Q6:Q22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9">
        <f t="shared" ref="AE6:AE22" si="8">$AD$23</f>
        <v>0.45277777777777778</v>
      </c>
      <c r="AF6" s="93">
        <f t="shared" ref="AF6:AF22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0.45277777777777778</v>
      </c>
      <c r="AF7" s="93">
        <f t="shared" si="9"/>
        <v>2</v>
      </c>
    </row>
    <row r="8" spans="1:32" ht="27" customHeight="1">
      <c r="A8" s="108">
        <v>3</v>
      </c>
      <c r="B8" s="11"/>
      <c r="C8" s="37"/>
      <c r="D8" s="55"/>
      <c r="E8" s="57"/>
      <c r="F8" s="33"/>
      <c r="G8" s="36"/>
      <c r="H8" s="38"/>
      <c r="I8" s="7"/>
      <c r="J8" s="5"/>
      <c r="K8" s="15"/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>
        <v>24</v>
      </c>
      <c r="S8" s="6"/>
      <c r="T8" s="17"/>
      <c r="U8" s="17"/>
      <c r="V8" s="18"/>
      <c r="W8" s="19"/>
      <c r="X8" s="17"/>
      <c r="Y8" s="20"/>
      <c r="Z8" s="20"/>
      <c r="AA8" s="21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0.45277777777777778</v>
      </c>
      <c r="AF8" s="93">
        <f t="shared" si="9"/>
        <v>3</v>
      </c>
    </row>
    <row r="9" spans="1:32" ht="27" customHeight="1">
      <c r="A9" s="109">
        <v>4</v>
      </c>
      <c r="B9" s="11" t="s">
        <v>57</v>
      </c>
      <c r="C9" s="11" t="s">
        <v>180</v>
      </c>
      <c r="D9" s="55" t="s">
        <v>220</v>
      </c>
      <c r="E9" s="57" t="s">
        <v>221</v>
      </c>
      <c r="F9" s="33" t="s">
        <v>222</v>
      </c>
      <c r="G9" s="36">
        <v>1</v>
      </c>
      <c r="H9" s="38">
        <v>24</v>
      </c>
      <c r="I9" s="7">
        <v>31000</v>
      </c>
      <c r="J9" s="14">
        <v>2876</v>
      </c>
      <c r="K9" s="15">
        <f>L9+4382+2780+2137+4437</f>
        <v>16612</v>
      </c>
      <c r="L9" s="15">
        <f>1636+1240</f>
        <v>2876</v>
      </c>
      <c r="M9" s="16">
        <f t="shared" si="1"/>
        <v>2876</v>
      </c>
      <c r="N9" s="16">
        <v>0</v>
      </c>
      <c r="O9" s="62">
        <f t="shared" si="2"/>
        <v>0</v>
      </c>
      <c r="P9" s="42">
        <f t="shared" si="3"/>
        <v>16</v>
      </c>
      <c r="Q9" s="43">
        <f t="shared" si="4"/>
        <v>8</v>
      </c>
      <c r="R9" s="7"/>
      <c r="S9" s="6">
        <v>8</v>
      </c>
      <c r="T9" s="17"/>
      <c r="U9" s="17"/>
      <c r="V9" s="18"/>
      <c r="W9" s="19"/>
      <c r="X9" s="17"/>
      <c r="Y9" s="20"/>
      <c r="Z9" s="20"/>
      <c r="AA9" s="21"/>
      <c r="AB9" s="8">
        <f t="shared" si="5"/>
        <v>1</v>
      </c>
      <c r="AC9" s="9">
        <f t="shared" si="6"/>
        <v>0.66666666666666663</v>
      </c>
      <c r="AD9" s="10">
        <f t="shared" si="7"/>
        <v>0.66666666666666663</v>
      </c>
      <c r="AE9" s="39">
        <f t="shared" si="8"/>
        <v>0.45277777777777778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180</v>
      </c>
      <c r="D10" s="55" t="s">
        <v>167</v>
      </c>
      <c r="E10" s="57" t="s">
        <v>363</v>
      </c>
      <c r="F10" s="12" t="s">
        <v>169</v>
      </c>
      <c r="G10" s="12">
        <v>1</v>
      </c>
      <c r="H10" s="13">
        <v>20</v>
      </c>
      <c r="I10" s="7">
        <v>20000</v>
      </c>
      <c r="J10" s="14">
        <v>4702</v>
      </c>
      <c r="K10" s="15">
        <f>L10</f>
        <v>4702</v>
      </c>
      <c r="L10" s="15">
        <f>1260+3442</f>
        <v>4702</v>
      </c>
      <c r="M10" s="16">
        <f t="shared" si="1"/>
        <v>4702</v>
      </c>
      <c r="N10" s="16">
        <v>0</v>
      </c>
      <c r="O10" s="62">
        <f t="shared" si="2"/>
        <v>0</v>
      </c>
      <c r="P10" s="42">
        <f t="shared" si="3"/>
        <v>22</v>
      </c>
      <c r="Q10" s="43">
        <f t="shared" si="4"/>
        <v>2</v>
      </c>
      <c r="R10" s="7"/>
      <c r="S10" s="6">
        <v>2</v>
      </c>
      <c r="T10" s="17"/>
      <c r="U10" s="17"/>
      <c r="V10" s="18"/>
      <c r="W10" s="19"/>
      <c r="X10" s="17"/>
      <c r="Y10" s="20"/>
      <c r="Z10" s="20"/>
      <c r="AA10" s="21"/>
      <c r="AB10" s="8">
        <f t="shared" si="5"/>
        <v>1</v>
      </c>
      <c r="AC10" s="9">
        <f t="shared" si="6"/>
        <v>0.91666666666666663</v>
      </c>
      <c r="AD10" s="10">
        <f t="shared" si="7"/>
        <v>0.91666666666666663</v>
      </c>
      <c r="AE10" s="39">
        <f t="shared" si="8"/>
        <v>0.45277777777777778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119</v>
      </c>
      <c r="D11" s="55" t="s">
        <v>173</v>
      </c>
      <c r="E11" s="57" t="s">
        <v>330</v>
      </c>
      <c r="F11" s="12" t="s">
        <v>125</v>
      </c>
      <c r="G11" s="12">
        <v>1</v>
      </c>
      <c r="H11" s="13">
        <v>24</v>
      </c>
      <c r="I11" s="7">
        <v>7000</v>
      </c>
      <c r="J11" s="14">
        <v>3660</v>
      </c>
      <c r="K11" s="15">
        <f>L11</f>
        <v>3660</v>
      </c>
      <c r="L11" s="15">
        <f>520+3140</f>
        <v>3660</v>
      </c>
      <c r="M11" s="16">
        <f t="shared" si="1"/>
        <v>3660</v>
      </c>
      <c r="N11" s="16">
        <v>0</v>
      </c>
      <c r="O11" s="62">
        <f t="shared" si="2"/>
        <v>0</v>
      </c>
      <c r="P11" s="42">
        <f t="shared" si="3"/>
        <v>18</v>
      </c>
      <c r="Q11" s="43">
        <f t="shared" si="4"/>
        <v>6</v>
      </c>
      <c r="R11" s="7"/>
      <c r="S11" s="6"/>
      <c r="T11" s="17">
        <v>6</v>
      </c>
      <c r="U11" s="17"/>
      <c r="V11" s="18"/>
      <c r="W11" s="19"/>
      <c r="X11" s="17"/>
      <c r="Y11" s="20"/>
      <c r="Z11" s="20"/>
      <c r="AA11" s="21"/>
      <c r="AB11" s="8">
        <f t="shared" si="5"/>
        <v>1</v>
      </c>
      <c r="AC11" s="9">
        <f t="shared" si="6"/>
        <v>0.75</v>
      </c>
      <c r="AD11" s="10">
        <f t="shared" si="7"/>
        <v>0.75</v>
      </c>
      <c r="AE11" s="39">
        <f t="shared" si="8"/>
        <v>0.45277777777777778</v>
      </c>
      <c r="AF11" s="93">
        <f t="shared" si="9"/>
        <v>6</v>
      </c>
    </row>
    <row r="12" spans="1:32" ht="27" customHeight="1">
      <c r="A12" s="109">
        <v>7</v>
      </c>
      <c r="B12" s="11" t="s">
        <v>57</v>
      </c>
      <c r="C12" s="11" t="s">
        <v>180</v>
      </c>
      <c r="D12" s="55" t="s">
        <v>358</v>
      </c>
      <c r="E12" s="57" t="s">
        <v>359</v>
      </c>
      <c r="F12" s="33" t="s">
        <v>127</v>
      </c>
      <c r="G12" s="36">
        <v>1</v>
      </c>
      <c r="H12" s="38">
        <v>20</v>
      </c>
      <c r="I12" s="7">
        <v>3000</v>
      </c>
      <c r="J12" s="14">
        <v>3010</v>
      </c>
      <c r="K12" s="15">
        <f>L12+2911</f>
        <v>5921</v>
      </c>
      <c r="L12" s="15">
        <f>2515+495</f>
        <v>3010</v>
      </c>
      <c r="M12" s="16">
        <f t="shared" si="1"/>
        <v>3010</v>
      </c>
      <c r="N12" s="16">
        <v>0</v>
      </c>
      <c r="O12" s="62">
        <f t="shared" si="2"/>
        <v>0</v>
      </c>
      <c r="P12" s="42">
        <f t="shared" si="3"/>
        <v>15</v>
      </c>
      <c r="Q12" s="43">
        <f t="shared" si="4"/>
        <v>9</v>
      </c>
      <c r="R12" s="7"/>
      <c r="S12" s="6"/>
      <c r="T12" s="17"/>
      <c r="U12" s="17"/>
      <c r="V12" s="18"/>
      <c r="W12" s="19">
        <v>9</v>
      </c>
      <c r="X12" s="17"/>
      <c r="Y12" s="20"/>
      <c r="Z12" s="20"/>
      <c r="AA12" s="21"/>
      <c r="AB12" s="8">
        <f t="shared" si="5"/>
        <v>1</v>
      </c>
      <c r="AC12" s="9">
        <f t="shared" si="6"/>
        <v>0.625</v>
      </c>
      <c r="AD12" s="10">
        <f t="shared" si="7"/>
        <v>0.625</v>
      </c>
      <c r="AE12" s="39">
        <f t="shared" si="8"/>
        <v>0.45277777777777778</v>
      </c>
      <c r="AF12" s="93">
        <f t="shared" si="9"/>
        <v>7</v>
      </c>
    </row>
    <row r="13" spans="1:32" ht="27" customHeight="1">
      <c r="A13" s="109">
        <v>8</v>
      </c>
      <c r="B13" s="11" t="s">
        <v>57</v>
      </c>
      <c r="C13" s="11" t="s">
        <v>180</v>
      </c>
      <c r="D13" s="55" t="s">
        <v>117</v>
      </c>
      <c r="E13" s="57" t="s">
        <v>352</v>
      </c>
      <c r="F13" s="33" t="s">
        <v>162</v>
      </c>
      <c r="G13" s="36">
        <v>1</v>
      </c>
      <c r="H13" s="38">
        <v>24</v>
      </c>
      <c r="I13" s="7">
        <v>10000</v>
      </c>
      <c r="J13" s="14">
        <v>1930</v>
      </c>
      <c r="K13" s="15">
        <f>L13+1930</f>
        <v>1930</v>
      </c>
      <c r="L13" s="15"/>
      <c r="M13" s="16">
        <f t="shared" si="1"/>
        <v>0</v>
      </c>
      <c r="N13" s="16">
        <v>0</v>
      </c>
      <c r="O13" s="62" t="str">
        <f t="shared" si="2"/>
        <v>0</v>
      </c>
      <c r="P13" s="42" t="str">
        <f t="shared" si="3"/>
        <v>0</v>
      </c>
      <c r="Q13" s="43">
        <f t="shared" si="4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5"/>
        <v>0</v>
      </c>
      <c r="AC13" s="9">
        <f t="shared" si="6"/>
        <v>0</v>
      </c>
      <c r="AD13" s="10">
        <f t="shared" si="7"/>
        <v>0</v>
      </c>
      <c r="AE13" s="39">
        <f t="shared" si="8"/>
        <v>0.45277777777777778</v>
      </c>
      <c r="AF13" s="93">
        <f t="shared" si="9"/>
        <v>8</v>
      </c>
    </row>
    <row r="14" spans="1:32" ht="27" customHeight="1">
      <c r="A14" s="125">
        <v>9</v>
      </c>
      <c r="B14" s="11" t="s">
        <v>57</v>
      </c>
      <c r="C14" s="37" t="s">
        <v>180</v>
      </c>
      <c r="D14" s="55" t="s">
        <v>120</v>
      </c>
      <c r="E14" s="57" t="s">
        <v>278</v>
      </c>
      <c r="F14" s="33" t="s">
        <v>179</v>
      </c>
      <c r="G14" s="36">
        <v>1</v>
      </c>
      <c r="H14" s="38">
        <v>24</v>
      </c>
      <c r="I14" s="7">
        <v>29000</v>
      </c>
      <c r="J14" s="5">
        <v>4785</v>
      </c>
      <c r="K14" s="15">
        <f>L14+3139+1810+4248+4762+4974</f>
        <v>23718</v>
      </c>
      <c r="L14" s="15">
        <f>2253+2532</f>
        <v>4785</v>
      </c>
      <c r="M14" s="16">
        <f t="shared" si="1"/>
        <v>4785</v>
      </c>
      <c r="N14" s="16">
        <v>0</v>
      </c>
      <c r="O14" s="62">
        <f t="shared" si="2"/>
        <v>0</v>
      </c>
      <c r="P14" s="42">
        <f t="shared" si="3"/>
        <v>24</v>
      </c>
      <c r="Q14" s="43">
        <f t="shared" si="4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5"/>
        <v>1</v>
      </c>
      <c r="AC14" s="9">
        <f t="shared" si="6"/>
        <v>1</v>
      </c>
      <c r="AD14" s="10">
        <f t="shared" si="7"/>
        <v>1</v>
      </c>
      <c r="AE14" s="39">
        <f t="shared" si="8"/>
        <v>0.45277777777777778</v>
      </c>
      <c r="AF14" s="93">
        <f t="shared" si="9"/>
        <v>9</v>
      </c>
    </row>
    <row r="15" spans="1:32" ht="27" customHeight="1">
      <c r="A15" s="108">
        <v>10</v>
      </c>
      <c r="B15" s="11" t="s">
        <v>57</v>
      </c>
      <c r="C15" s="37" t="s">
        <v>119</v>
      </c>
      <c r="D15" s="55" t="s">
        <v>193</v>
      </c>
      <c r="E15" s="57" t="s">
        <v>192</v>
      </c>
      <c r="F15" s="12" t="s">
        <v>125</v>
      </c>
      <c r="G15" s="12">
        <v>2</v>
      </c>
      <c r="H15" s="13">
        <v>20</v>
      </c>
      <c r="I15" s="34">
        <v>6000</v>
      </c>
      <c r="J15" s="14">
        <v>1512</v>
      </c>
      <c r="K15" s="15">
        <f>L15+8980</f>
        <v>10492</v>
      </c>
      <c r="L15" s="15">
        <f>756*2</f>
        <v>1512</v>
      </c>
      <c r="M15" s="16">
        <f t="shared" si="1"/>
        <v>1512</v>
      </c>
      <c r="N15" s="16">
        <v>0</v>
      </c>
      <c r="O15" s="62">
        <f t="shared" si="2"/>
        <v>0</v>
      </c>
      <c r="P15" s="42">
        <f t="shared" si="3"/>
        <v>5</v>
      </c>
      <c r="Q15" s="43">
        <f t="shared" si="4"/>
        <v>19</v>
      </c>
      <c r="R15" s="7"/>
      <c r="S15" s="6"/>
      <c r="T15" s="17"/>
      <c r="U15" s="17"/>
      <c r="V15" s="18"/>
      <c r="W15" s="19">
        <v>19</v>
      </c>
      <c r="X15" s="17"/>
      <c r="Y15" s="20"/>
      <c r="Z15" s="20"/>
      <c r="AA15" s="21"/>
      <c r="AB15" s="8">
        <f t="shared" si="5"/>
        <v>1</v>
      </c>
      <c r="AC15" s="9">
        <f t="shared" si="6"/>
        <v>0.20833333333333334</v>
      </c>
      <c r="AD15" s="10">
        <f t="shared" si="7"/>
        <v>0.20833333333333334</v>
      </c>
      <c r="AE15" s="39">
        <f t="shared" si="8"/>
        <v>0.45277777777777778</v>
      </c>
      <c r="AF15" s="93">
        <f t="shared" si="9"/>
        <v>10</v>
      </c>
    </row>
    <row r="16" spans="1:32" ht="27" customHeight="1">
      <c r="A16" s="108">
        <v>11</v>
      </c>
      <c r="B16" s="11" t="s">
        <v>57</v>
      </c>
      <c r="C16" s="11" t="s">
        <v>114</v>
      </c>
      <c r="D16" s="55" t="s">
        <v>122</v>
      </c>
      <c r="E16" s="57" t="s">
        <v>185</v>
      </c>
      <c r="F16" s="12">
        <v>7301</v>
      </c>
      <c r="G16" s="12">
        <v>1</v>
      </c>
      <c r="H16" s="13">
        <v>24</v>
      </c>
      <c r="I16" s="7">
        <v>4500</v>
      </c>
      <c r="J16" s="14">
        <v>834</v>
      </c>
      <c r="K16" s="15">
        <f>L16+4633+5008+834</f>
        <v>10475</v>
      </c>
      <c r="L16" s="15"/>
      <c r="M16" s="16">
        <f t="shared" si="1"/>
        <v>0</v>
      </c>
      <c r="N16" s="16">
        <v>0</v>
      </c>
      <c r="O16" s="62" t="str">
        <f t="shared" si="2"/>
        <v>0</v>
      </c>
      <c r="P16" s="42" t="str">
        <f t="shared" si="3"/>
        <v>0</v>
      </c>
      <c r="Q16" s="43">
        <f t="shared" si="4"/>
        <v>19</v>
      </c>
      <c r="R16" s="7"/>
      <c r="S16" s="6"/>
      <c r="T16" s="17"/>
      <c r="U16" s="17"/>
      <c r="V16" s="18"/>
      <c r="W16" s="19">
        <v>19</v>
      </c>
      <c r="X16" s="17"/>
      <c r="Y16" s="20"/>
      <c r="Z16" s="20"/>
      <c r="AA16" s="21"/>
      <c r="AB16" s="8">
        <f t="shared" si="5"/>
        <v>0</v>
      </c>
      <c r="AC16" s="9">
        <f t="shared" si="6"/>
        <v>0</v>
      </c>
      <c r="AD16" s="10">
        <f t="shared" si="7"/>
        <v>0</v>
      </c>
      <c r="AE16" s="39">
        <f t="shared" si="8"/>
        <v>0.45277777777777778</v>
      </c>
      <c r="AF16" s="93">
        <f t="shared" si="9"/>
        <v>11</v>
      </c>
    </row>
    <row r="17" spans="1:32" ht="27" customHeight="1">
      <c r="A17" s="108">
        <v>12</v>
      </c>
      <c r="B17" s="11" t="s">
        <v>57</v>
      </c>
      <c r="C17" s="37" t="s">
        <v>119</v>
      </c>
      <c r="D17" s="55" t="s">
        <v>135</v>
      </c>
      <c r="E17" s="57" t="s">
        <v>145</v>
      </c>
      <c r="F17" s="12" t="s">
        <v>125</v>
      </c>
      <c r="G17" s="12">
        <v>2</v>
      </c>
      <c r="H17" s="13">
        <v>20</v>
      </c>
      <c r="I17" s="34">
        <v>10000</v>
      </c>
      <c r="J17" s="14">
        <v>4762</v>
      </c>
      <c r="K17" s="15">
        <f>L17+9598</f>
        <v>14360</v>
      </c>
      <c r="L17" s="15">
        <f>2381*2</f>
        <v>4762</v>
      </c>
      <c r="M17" s="16">
        <f t="shared" si="1"/>
        <v>4762</v>
      </c>
      <c r="N17" s="16">
        <v>0</v>
      </c>
      <c r="O17" s="62">
        <f t="shared" si="2"/>
        <v>0</v>
      </c>
      <c r="P17" s="42">
        <f t="shared" si="3"/>
        <v>15</v>
      </c>
      <c r="Q17" s="43">
        <f t="shared" si="4"/>
        <v>9</v>
      </c>
      <c r="R17" s="7"/>
      <c r="S17" s="6"/>
      <c r="T17" s="17"/>
      <c r="U17" s="17"/>
      <c r="V17" s="18"/>
      <c r="W17" s="19">
        <v>9</v>
      </c>
      <c r="X17" s="17"/>
      <c r="Y17" s="20"/>
      <c r="Z17" s="20"/>
      <c r="AA17" s="21"/>
      <c r="AB17" s="8">
        <f t="shared" si="5"/>
        <v>1</v>
      </c>
      <c r="AC17" s="9">
        <f t="shared" si="6"/>
        <v>0.625</v>
      </c>
      <c r="AD17" s="10">
        <f t="shared" si="7"/>
        <v>0.625</v>
      </c>
      <c r="AE17" s="39">
        <f t="shared" si="8"/>
        <v>0.45277777777777778</v>
      </c>
      <c r="AF17" s="93">
        <f t="shared" si="9"/>
        <v>12</v>
      </c>
    </row>
    <row r="18" spans="1:32" ht="27" customHeight="1">
      <c r="A18" s="108">
        <v>12</v>
      </c>
      <c r="B18" s="11" t="s">
        <v>57</v>
      </c>
      <c r="C18" s="37" t="s">
        <v>119</v>
      </c>
      <c r="D18" s="55" t="s">
        <v>193</v>
      </c>
      <c r="E18" s="57" t="s">
        <v>315</v>
      </c>
      <c r="F18" s="12" t="s">
        <v>125</v>
      </c>
      <c r="G18" s="12">
        <v>2</v>
      </c>
      <c r="H18" s="13">
        <v>20</v>
      </c>
      <c r="I18" s="34">
        <v>14000</v>
      </c>
      <c r="J18" s="14">
        <v>3532</v>
      </c>
      <c r="K18" s="15">
        <f>L18</f>
        <v>3532</v>
      </c>
      <c r="L18" s="15">
        <f>1194*2+572*2</f>
        <v>3532</v>
      </c>
      <c r="M18" s="16">
        <f t="shared" ref="M18" si="10">L18-N18</f>
        <v>3532</v>
      </c>
      <c r="N18" s="16">
        <v>0</v>
      </c>
      <c r="O18" s="62">
        <f t="shared" ref="O18" si="11">IF(L18=0,"0",N18/L18)</f>
        <v>0</v>
      </c>
      <c r="P18" s="42">
        <f t="shared" ref="P18" si="12">IF(L18=0,"0",(24-Q18))</f>
        <v>7</v>
      </c>
      <c r="Q18" s="43">
        <f t="shared" ref="Q18" si="13">SUM(R18:AA18)</f>
        <v>17</v>
      </c>
      <c r="R18" s="7"/>
      <c r="S18" s="6">
        <v>7</v>
      </c>
      <c r="T18" s="17">
        <v>10</v>
      </c>
      <c r="U18" s="17"/>
      <c r="V18" s="18"/>
      <c r="W18" s="19"/>
      <c r="X18" s="17"/>
      <c r="Y18" s="20"/>
      <c r="Z18" s="20"/>
      <c r="AA18" s="21"/>
      <c r="AB18" s="8">
        <f t="shared" ref="AB18" si="14">IF(J18=0,"0",(L18/J18))</f>
        <v>1</v>
      </c>
      <c r="AC18" s="9">
        <f t="shared" ref="AC18" si="15">IF(P18=0,"0",(P18/24))</f>
        <v>0.29166666666666669</v>
      </c>
      <c r="AD18" s="10">
        <f t="shared" ref="AD18" si="16">AC18*AB18*(1-O18)</f>
        <v>0.29166666666666669</v>
      </c>
      <c r="AE18" s="39">
        <f t="shared" si="8"/>
        <v>0.45277777777777778</v>
      </c>
      <c r="AF18" s="93">
        <f t="shared" ref="AF18" si="17">A18</f>
        <v>12</v>
      </c>
    </row>
    <row r="19" spans="1:32" ht="27" customHeight="1">
      <c r="A19" s="109">
        <v>13</v>
      </c>
      <c r="B19" s="11" t="s">
        <v>57</v>
      </c>
      <c r="C19" s="37" t="s">
        <v>119</v>
      </c>
      <c r="D19" s="55" t="s">
        <v>198</v>
      </c>
      <c r="E19" s="57" t="s">
        <v>328</v>
      </c>
      <c r="F19" s="33" t="s">
        <v>124</v>
      </c>
      <c r="G19" s="36">
        <v>1</v>
      </c>
      <c r="H19" s="38">
        <v>24</v>
      </c>
      <c r="I19" s="7">
        <v>7000</v>
      </c>
      <c r="J19" s="5">
        <v>3079</v>
      </c>
      <c r="K19" s="15">
        <f>L19</f>
        <v>3079</v>
      </c>
      <c r="L19" s="15">
        <f>3079</f>
        <v>3079</v>
      </c>
      <c r="M19" s="16">
        <f t="shared" si="1"/>
        <v>3079</v>
      </c>
      <c r="N19" s="16">
        <v>0</v>
      </c>
      <c r="O19" s="62">
        <f t="shared" si="2"/>
        <v>0</v>
      </c>
      <c r="P19" s="42">
        <f t="shared" si="3"/>
        <v>16</v>
      </c>
      <c r="Q19" s="43">
        <f t="shared" si="4"/>
        <v>8</v>
      </c>
      <c r="R19" s="7"/>
      <c r="S19" s="6"/>
      <c r="T19" s="17">
        <v>8</v>
      </c>
      <c r="U19" s="17"/>
      <c r="V19" s="18"/>
      <c r="W19" s="19"/>
      <c r="X19" s="17"/>
      <c r="Y19" s="20"/>
      <c r="Z19" s="20"/>
      <c r="AA19" s="21"/>
      <c r="AB19" s="8">
        <f t="shared" si="5"/>
        <v>1</v>
      </c>
      <c r="AC19" s="9">
        <f t="shared" si="6"/>
        <v>0.66666666666666663</v>
      </c>
      <c r="AD19" s="10">
        <f>AC19*AB19*(1-O19)</f>
        <v>0.66666666666666663</v>
      </c>
      <c r="AE19" s="39">
        <f t="shared" si="8"/>
        <v>0.45277777777777778</v>
      </c>
      <c r="AF19" s="93">
        <f t="shared" si="9"/>
        <v>13</v>
      </c>
    </row>
    <row r="20" spans="1:32" ht="27" customHeight="1">
      <c r="A20" s="109">
        <v>14</v>
      </c>
      <c r="B20" s="11" t="s">
        <v>57</v>
      </c>
      <c r="C20" s="37" t="s">
        <v>180</v>
      </c>
      <c r="D20" s="55" t="s">
        <v>117</v>
      </c>
      <c r="E20" s="57" t="s">
        <v>274</v>
      </c>
      <c r="F20" s="12" t="s">
        <v>162</v>
      </c>
      <c r="G20" s="36">
        <v>1</v>
      </c>
      <c r="H20" s="38">
        <v>24</v>
      </c>
      <c r="I20" s="7">
        <v>30000</v>
      </c>
      <c r="J20" s="5">
        <v>1670</v>
      </c>
      <c r="K20" s="15">
        <f>L20+3291+5129+4916+5293+4866+5228+5226</f>
        <v>35619</v>
      </c>
      <c r="L20" s="15">
        <v>1670</v>
      </c>
      <c r="M20" s="16">
        <f t="shared" ref="M20" si="18">L20-N20</f>
        <v>1670</v>
      </c>
      <c r="N20" s="16">
        <v>0</v>
      </c>
      <c r="O20" s="62">
        <f t="shared" ref="O20" si="19">IF(L20=0,"0",N20/L20)</f>
        <v>0</v>
      </c>
      <c r="P20" s="42">
        <f t="shared" ref="P20" si="20">IF(L20=0,"0",(24-Q20))</f>
        <v>7</v>
      </c>
      <c r="Q20" s="43">
        <f t="shared" ref="Q20" si="21">SUM(R20:AA20)</f>
        <v>17</v>
      </c>
      <c r="R20" s="7"/>
      <c r="S20" s="6"/>
      <c r="T20" s="17"/>
      <c r="U20" s="17"/>
      <c r="V20" s="18"/>
      <c r="W20" s="19">
        <v>17</v>
      </c>
      <c r="X20" s="17"/>
      <c r="Y20" s="20"/>
      <c r="Z20" s="20"/>
      <c r="AA20" s="21"/>
      <c r="AB20" s="8">
        <f t="shared" ref="AB20" si="22">IF(J20=0,"0",(L20/J20))</f>
        <v>1</v>
      </c>
      <c r="AC20" s="9">
        <f t="shared" ref="AC20" si="23">IF(P20=0,"0",(P20/24))</f>
        <v>0.29166666666666669</v>
      </c>
      <c r="AD20" s="10">
        <f>AC20*AB20*(1-O20)</f>
        <v>0.29166666666666669</v>
      </c>
      <c r="AE20" s="39">
        <f t="shared" si="8"/>
        <v>0.45277777777777778</v>
      </c>
      <c r="AF20" s="93">
        <f t="shared" ref="AF20" si="24">A20</f>
        <v>14</v>
      </c>
    </row>
    <row r="21" spans="1:32" ht="27" customHeight="1">
      <c r="A21" s="109">
        <v>14</v>
      </c>
      <c r="B21" s="11" t="s">
        <v>57</v>
      </c>
      <c r="C21" s="37" t="s">
        <v>119</v>
      </c>
      <c r="D21" s="55" t="s">
        <v>117</v>
      </c>
      <c r="E21" s="57" t="s">
        <v>316</v>
      </c>
      <c r="F21" s="12" t="s">
        <v>162</v>
      </c>
      <c r="G21" s="36">
        <v>1</v>
      </c>
      <c r="H21" s="38">
        <v>24</v>
      </c>
      <c r="I21" s="7">
        <v>7000</v>
      </c>
      <c r="J21" s="5">
        <v>759</v>
      </c>
      <c r="K21" s="15">
        <f>L21</f>
        <v>759</v>
      </c>
      <c r="L21" s="15">
        <f>759</f>
        <v>759</v>
      </c>
      <c r="M21" s="16">
        <f t="shared" si="1"/>
        <v>759</v>
      </c>
      <c r="N21" s="16">
        <v>0</v>
      </c>
      <c r="O21" s="62">
        <f t="shared" si="2"/>
        <v>0</v>
      </c>
      <c r="P21" s="42">
        <f t="shared" si="3"/>
        <v>5</v>
      </c>
      <c r="Q21" s="43">
        <f t="shared" si="4"/>
        <v>19</v>
      </c>
      <c r="R21" s="7"/>
      <c r="S21" s="6">
        <v>19</v>
      </c>
      <c r="T21" s="17"/>
      <c r="U21" s="17"/>
      <c r="V21" s="18"/>
      <c r="W21" s="19"/>
      <c r="X21" s="17"/>
      <c r="Y21" s="20"/>
      <c r="Z21" s="20"/>
      <c r="AA21" s="21"/>
      <c r="AB21" s="8">
        <f t="shared" si="5"/>
        <v>1</v>
      </c>
      <c r="AC21" s="9">
        <f t="shared" si="6"/>
        <v>0.20833333333333334</v>
      </c>
      <c r="AD21" s="10">
        <f>AC21*AB21*(1-O21)</f>
        <v>0.20833333333333334</v>
      </c>
      <c r="AE21" s="39">
        <f t="shared" si="8"/>
        <v>0.45277777777777778</v>
      </c>
      <c r="AF21" s="93">
        <f t="shared" si="9"/>
        <v>14</v>
      </c>
    </row>
    <row r="22" spans="1:32" ht="27" customHeight="1" thickBot="1">
      <c r="A22" s="109">
        <v>15</v>
      </c>
      <c r="B22" s="11" t="s">
        <v>57</v>
      </c>
      <c r="C22" s="11" t="s">
        <v>115</v>
      </c>
      <c r="D22" s="55"/>
      <c r="E22" s="56" t="s">
        <v>353</v>
      </c>
      <c r="F22" s="12" t="s">
        <v>116</v>
      </c>
      <c r="G22" s="12">
        <v>4</v>
      </c>
      <c r="H22" s="38">
        <v>20</v>
      </c>
      <c r="I22" s="7">
        <v>30000</v>
      </c>
      <c r="J22" s="14">
        <v>27044</v>
      </c>
      <c r="K22" s="15">
        <f>L22</f>
        <v>27044</v>
      </c>
      <c r="L22" s="15">
        <f>6761*4</f>
        <v>27044</v>
      </c>
      <c r="M22" s="16">
        <f t="shared" si="1"/>
        <v>27044</v>
      </c>
      <c r="N22" s="16">
        <v>0</v>
      </c>
      <c r="O22" s="62">
        <f t="shared" si="2"/>
        <v>0</v>
      </c>
      <c r="P22" s="42">
        <f t="shared" si="3"/>
        <v>13</v>
      </c>
      <c r="Q22" s="43">
        <f t="shared" si="4"/>
        <v>11</v>
      </c>
      <c r="R22" s="7"/>
      <c r="S22" s="6"/>
      <c r="T22" s="17"/>
      <c r="U22" s="17"/>
      <c r="V22" s="18"/>
      <c r="W22" s="19">
        <v>11</v>
      </c>
      <c r="X22" s="17"/>
      <c r="Y22" s="20"/>
      <c r="Z22" s="20"/>
      <c r="AA22" s="21"/>
      <c r="AB22" s="8">
        <f t="shared" si="5"/>
        <v>1</v>
      </c>
      <c r="AC22" s="9">
        <f t="shared" si="6"/>
        <v>0.54166666666666663</v>
      </c>
      <c r="AD22" s="10">
        <f t="shared" si="7"/>
        <v>0.54166666666666663</v>
      </c>
      <c r="AE22" s="39">
        <f t="shared" si="8"/>
        <v>0.45277777777777778</v>
      </c>
      <c r="AF22" s="93">
        <f t="shared" si="9"/>
        <v>15</v>
      </c>
    </row>
    <row r="23" spans="1:32" ht="31.5" customHeight="1" thickBot="1">
      <c r="A23" s="312" t="s">
        <v>34</v>
      </c>
      <c r="B23" s="313"/>
      <c r="C23" s="313"/>
      <c r="D23" s="313"/>
      <c r="E23" s="313"/>
      <c r="F23" s="313"/>
      <c r="G23" s="313"/>
      <c r="H23" s="314"/>
      <c r="I23" s="25">
        <f t="shared" ref="I23:N23" si="25">SUM(I6:I22)</f>
        <v>208500</v>
      </c>
      <c r="J23" s="22">
        <f t="shared" si="25"/>
        <v>64155</v>
      </c>
      <c r="K23" s="23">
        <f t="shared" si="25"/>
        <v>161903</v>
      </c>
      <c r="L23" s="24">
        <f t="shared" si="25"/>
        <v>61391</v>
      </c>
      <c r="M23" s="23">
        <f t="shared" si="25"/>
        <v>61391</v>
      </c>
      <c r="N23" s="24">
        <f t="shared" si="25"/>
        <v>0</v>
      </c>
      <c r="O23" s="44">
        <f t="shared" si="2"/>
        <v>0</v>
      </c>
      <c r="P23" s="45">
        <f t="shared" ref="P23:AA23" si="26">SUM(P6:P22)</f>
        <v>163</v>
      </c>
      <c r="Q23" s="46">
        <f t="shared" si="26"/>
        <v>240</v>
      </c>
      <c r="R23" s="26">
        <f t="shared" si="26"/>
        <v>48</v>
      </c>
      <c r="S23" s="27">
        <f t="shared" si="26"/>
        <v>36</v>
      </c>
      <c r="T23" s="27">
        <f t="shared" si="26"/>
        <v>24</v>
      </c>
      <c r="U23" s="27">
        <f t="shared" si="26"/>
        <v>0</v>
      </c>
      <c r="V23" s="28">
        <f t="shared" si="26"/>
        <v>0</v>
      </c>
      <c r="W23" s="29">
        <f t="shared" si="26"/>
        <v>132</v>
      </c>
      <c r="X23" s="30">
        <f t="shared" si="26"/>
        <v>0</v>
      </c>
      <c r="Y23" s="30">
        <f t="shared" si="26"/>
        <v>0</v>
      </c>
      <c r="Z23" s="30">
        <f t="shared" si="26"/>
        <v>0</v>
      </c>
      <c r="AA23" s="30">
        <f t="shared" si="26"/>
        <v>0</v>
      </c>
      <c r="AB23" s="31">
        <f>SUM(AB6:AB22)/15</f>
        <v>0.8</v>
      </c>
      <c r="AC23" s="4">
        <f>SUM(AC6:AC22)/15</f>
        <v>0.45277777777777778</v>
      </c>
      <c r="AD23" s="4">
        <f>SUM(AD6:AD22)/15</f>
        <v>0.45277777777777778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315" t="s">
        <v>45</v>
      </c>
      <c r="B50" s="315"/>
      <c r="C50" s="315"/>
      <c r="D50" s="315"/>
      <c r="E50" s="315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316" t="s">
        <v>368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19" t="s">
        <v>372</v>
      </c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1"/>
    </row>
    <row r="52" spans="1:32" ht="27" customHeight="1">
      <c r="A52" s="322" t="s">
        <v>2</v>
      </c>
      <c r="B52" s="323"/>
      <c r="C52" s="283" t="s">
        <v>46</v>
      </c>
      <c r="D52" s="283" t="s">
        <v>47</v>
      </c>
      <c r="E52" s="283" t="s">
        <v>108</v>
      </c>
      <c r="F52" s="323" t="s">
        <v>107</v>
      </c>
      <c r="G52" s="323"/>
      <c r="H52" s="323"/>
      <c r="I52" s="323"/>
      <c r="J52" s="323"/>
      <c r="K52" s="323"/>
      <c r="L52" s="323"/>
      <c r="M52" s="324"/>
      <c r="N52" s="73" t="s">
        <v>112</v>
      </c>
      <c r="O52" s="283" t="s">
        <v>46</v>
      </c>
      <c r="P52" s="325" t="s">
        <v>47</v>
      </c>
      <c r="Q52" s="326"/>
      <c r="R52" s="325" t="s">
        <v>38</v>
      </c>
      <c r="S52" s="327"/>
      <c r="T52" s="327"/>
      <c r="U52" s="326"/>
      <c r="V52" s="325" t="s">
        <v>48</v>
      </c>
      <c r="W52" s="327"/>
      <c r="X52" s="327"/>
      <c r="Y52" s="327"/>
      <c r="Z52" s="327"/>
      <c r="AA52" s="327"/>
      <c r="AB52" s="327"/>
      <c r="AC52" s="327"/>
      <c r="AD52" s="328"/>
    </row>
    <row r="53" spans="1:32" ht="27" customHeight="1">
      <c r="A53" s="339" t="s">
        <v>180</v>
      </c>
      <c r="B53" s="340"/>
      <c r="C53" s="280" t="s">
        <v>276</v>
      </c>
      <c r="D53" s="280" t="s">
        <v>220</v>
      </c>
      <c r="E53" s="280" t="s">
        <v>221</v>
      </c>
      <c r="F53" s="341" t="s">
        <v>292</v>
      </c>
      <c r="G53" s="342"/>
      <c r="H53" s="342"/>
      <c r="I53" s="342"/>
      <c r="J53" s="342"/>
      <c r="K53" s="342"/>
      <c r="L53" s="342"/>
      <c r="M53" s="343"/>
      <c r="N53" s="279" t="s">
        <v>180</v>
      </c>
      <c r="O53" s="124" t="s">
        <v>276</v>
      </c>
      <c r="P53" s="340" t="s">
        <v>220</v>
      </c>
      <c r="Q53" s="340"/>
      <c r="R53" s="340" t="s">
        <v>221</v>
      </c>
      <c r="S53" s="340"/>
      <c r="T53" s="340"/>
      <c r="U53" s="340"/>
      <c r="V53" s="346" t="s">
        <v>236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180</v>
      </c>
      <c r="B54" s="340"/>
      <c r="C54" s="280" t="s">
        <v>118</v>
      </c>
      <c r="D54" s="280" t="s">
        <v>167</v>
      </c>
      <c r="E54" s="280" t="s">
        <v>363</v>
      </c>
      <c r="F54" s="341" t="s">
        <v>322</v>
      </c>
      <c r="G54" s="342"/>
      <c r="H54" s="342"/>
      <c r="I54" s="342"/>
      <c r="J54" s="342"/>
      <c r="K54" s="342"/>
      <c r="L54" s="342"/>
      <c r="M54" s="343"/>
      <c r="N54" s="279" t="s">
        <v>119</v>
      </c>
      <c r="O54" s="124" t="s">
        <v>187</v>
      </c>
      <c r="P54" s="340" t="s">
        <v>193</v>
      </c>
      <c r="Q54" s="340"/>
      <c r="R54" s="340" t="s">
        <v>315</v>
      </c>
      <c r="S54" s="340"/>
      <c r="T54" s="340"/>
      <c r="U54" s="340"/>
      <c r="V54" s="346" t="s">
        <v>236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119</v>
      </c>
      <c r="B55" s="340"/>
      <c r="C55" s="280" t="s">
        <v>187</v>
      </c>
      <c r="D55" s="280" t="s">
        <v>193</v>
      </c>
      <c r="E55" s="280" t="s">
        <v>315</v>
      </c>
      <c r="F55" s="341" t="s">
        <v>370</v>
      </c>
      <c r="G55" s="342"/>
      <c r="H55" s="342"/>
      <c r="I55" s="342"/>
      <c r="J55" s="342"/>
      <c r="K55" s="342"/>
      <c r="L55" s="342"/>
      <c r="M55" s="343"/>
      <c r="N55" s="279" t="s">
        <v>119</v>
      </c>
      <c r="O55" s="124" t="s">
        <v>136</v>
      </c>
      <c r="P55" s="340" t="s">
        <v>117</v>
      </c>
      <c r="Q55" s="340"/>
      <c r="R55" s="340" t="s">
        <v>316</v>
      </c>
      <c r="S55" s="340"/>
      <c r="T55" s="340"/>
      <c r="U55" s="340"/>
      <c r="V55" s="346" t="s">
        <v>236</v>
      </c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 t="s">
        <v>119</v>
      </c>
      <c r="B56" s="340"/>
      <c r="C56" s="280" t="s">
        <v>183</v>
      </c>
      <c r="D56" s="280" t="s">
        <v>329</v>
      </c>
      <c r="E56" s="280" t="s">
        <v>330</v>
      </c>
      <c r="F56" s="341" t="s">
        <v>131</v>
      </c>
      <c r="G56" s="342"/>
      <c r="H56" s="342"/>
      <c r="I56" s="342"/>
      <c r="J56" s="342"/>
      <c r="K56" s="342"/>
      <c r="L56" s="342"/>
      <c r="M56" s="343"/>
      <c r="N56" s="279" t="s">
        <v>180</v>
      </c>
      <c r="O56" s="124" t="s">
        <v>310</v>
      </c>
      <c r="P56" s="344" t="s">
        <v>175</v>
      </c>
      <c r="Q56" s="345"/>
      <c r="R56" s="340" t="s">
        <v>373</v>
      </c>
      <c r="S56" s="340"/>
      <c r="T56" s="340"/>
      <c r="U56" s="340"/>
      <c r="V56" s="346" t="s">
        <v>131</v>
      </c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 t="s">
        <v>119</v>
      </c>
      <c r="B57" s="340"/>
      <c r="C57" s="280" t="s">
        <v>136</v>
      </c>
      <c r="D57" s="280" t="s">
        <v>117</v>
      </c>
      <c r="E57" s="280" t="s">
        <v>316</v>
      </c>
      <c r="F57" s="341" t="s">
        <v>369</v>
      </c>
      <c r="G57" s="342"/>
      <c r="H57" s="342"/>
      <c r="I57" s="342"/>
      <c r="J57" s="342"/>
      <c r="K57" s="342"/>
      <c r="L57" s="342"/>
      <c r="M57" s="343"/>
      <c r="N57" s="279" t="s">
        <v>119</v>
      </c>
      <c r="O57" s="124" t="s">
        <v>186</v>
      </c>
      <c r="P57" s="340" t="s">
        <v>135</v>
      </c>
      <c r="Q57" s="340"/>
      <c r="R57" s="340" t="s">
        <v>374</v>
      </c>
      <c r="S57" s="340"/>
      <c r="T57" s="340"/>
      <c r="U57" s="340"/>
      <c r="V57" s="346" t="s">
        <v>131</v>
      </c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 t="s">
        <v>119</v>
      </c>
      <c r="B58" s="340"/>
      <c r="C58" s="280" t="s">
        <v>188</v>
      </c>
      <c r="D58" s="280" t="s">
        <v>198</v>
      </c>
      <c r="E58" s="280" t="s">
        <v>328</v>
      </c>
      <c r="F58" s="341" t="s">
        <v>131</v>
      </c>
      <c r="G58" s="342"/>
      <c r="H58" s="342"/>
      <c r="I58" s="342"/>
      <c r="J58" s="342"/>
      <c r="K58" s="342"/>
      <c r="L58" s="342"/>
      <c r="M58" s="343"/>
      <c r="N58" s="279" t="s">
        <v>119</v>
      </c>
      <c r="O58" s="124" t="s">
        <v>186</v>
      </c>
      <c r="P58" s="344" t="s">
        <v>377</v>
      </c>
      <c r="Q58" s="345"/>
      <c r="R58" s="340" t="s">
        <v>375</v>
      </c>
      <c r="S58" s="340"/>
      <c r="T58" s="340"/>
      <c r="U58" s="340"/>
      <c r="V58" s="346" t="s">
        <v>131</v>
      </c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 t="s">
        <v>115</v>
      </c>
      <c r="B59" s="340"/>
      <c r="C59" s="280" t="s">
        <v>147</v>
      </c>
      <c r="D59" s="280"/>
      <c r="E59" s="280" t="s">
        <v>371</v>
      </c>
      <c r="F59" s="341" t="s">
        <v>131</v>
      </c>
      <c r="G59" s="342"/>
      <c r="H59" s="342"/>
      <c r="I59" s="342"/>
      <c r="J59" s="342"/>
      <c r="K59" s="342"/>
      <c r="L59" s="342"/>
      <c r="M59" s="343"/>
      <c r="N59" s="279" t="s">
        <v>119</v>
      </c>
      <c r="O59" s="124" t="s">
        <v>186</v>
      </c>
      <c r="P59" s="344" t="s">
        <v>378</v>
      </c>
      <c r="Q59" s="345"/>
      <c r="R59" s="340" t="s">
        <v>376</v>
      </c>
      <c r="S59" s="340"/>
      <c r="T59" s="340"/>
      <c r="U59" s="340"/>
      <c r="V59" s="346" t="s">
        <v>131</v>
      </c>
      <c r="W59" s="346"/>
      <c r="X59" s="346"/>
      <c r="Y59" s="346"/>
      <c r="Z59" s="346"/>
      <c r="AA59" s="346"/>
      <c r="AB59" s="346"/>
      <c r="AC59" s="346"/>
      <c r="AD59" s="347"/>
    </row>
    <row r="60" spans="1:32" ht="27" customHeight="1">
      <c r="A60" s="339"/>
      <c r="B60" s="340"/>
      <c r="C60" s="280"/>
      <c r="D60" s="280"/>
      <c r="E60" s="280"/>
      <c r="F60" s="346"/>
      <c r="G60" s="346"/>
      <c r="H60" s="346"/>
      <c r="I60" s="346"/>
      <c r="J60" s="346"/>
      <c r="K60" s="346"/>
      <c r="L60" s="346"/>
      <c r="M60" s="347"/>
      <c r="N60" s="279"/>
      <c r="O60" s="124"/>
      <c r="P60" s="344"/>
      <c r="Q60" s="345"/>
      <c r="R60" s="340"/>
      <c r="S60" s="340"/>
      <c r="T60" s="340"/>
      <c r="U60" s="340"/>
      <c r="V60" s="346"/>
      <c r="W60" s="346"/>
      <c r="X60" s="346"/>
      <c r="Y60" s="346"/>
      <c r="Z60" s="346"/>
      <c r="AA60" s="346"/>
      <c r="AB60" s="346"/>
      <c r="AC60" s="346"/>
      <c r="AD60" s="347"/>
    </row>
    <row r="61" spans="1:32" ht="27" customHeight="1">
      <c r="A61" s="339"/>
      <c r="B61" s="340"/>
      <c r="C61" s="280"/>
      <c r="D61" s="280"/>
      <c r="E61" s="280"/>
      <c r="F61" s="341"/>
      <c r="G61" s="342"/>
      <c r="H61" s="342"/>
      <c r="I61" s="342"/>
      <c r="J61" s="342"/>
      <c r="K61" s="342"/>
      <c r="L61" s="342"/>
      <c r="M61" s="343"/>
      <c r="N61" s="279"/>
      <c r="O61" s="124"/>
      <c r="P61" s="340"/>
      <c r="Q61" s="340"/>
      <c r="R61" s="340"/>
      <c r="S61" s="340"/>
      <c r="T61" s="340"/>
      <c r="U61" s="340"/>
      <c r="V61" s="346"/>
      <c r="W61" s="346"/>
      <c r="X61" s="346"/>
      <c r="Y61" s="346"/>
      <c r="Z61" s="346"/>
      <c r="AA61" s="346"/>
      <c r="AB61" s="346"/>
      <c r="AC61" s="346"/>
      <c r="AD61" s="347"/>
      <c r="AF61" s="93">
        <f>8*3000</f>
        <v>24000</v>
      </c>
    </row>
    <row r="62" spans="1:32" ht="27" customHeight="1" thickBot="1">
      <c r="A62" s="348"/>
      <c r="B62" s="349"/>
      <c r="C62" s="282"/>
      <c r="D62" s="282"/>
      <c r="E62" s="282"/>
      <c r="F62" s="350"/>
      <c r="G62" s="350"/>
      <c r="H62" s="350"/>
      <c r="I62" s="350"/>
      <c r="J62" s="350"/>
      <c r="K62" s="350"/>
      <c r="L62" s="350"/>
      <c r="M62" s="351"/>
      <c r="N62" s="281"/>
      <c r="O62" s="120"/>
      <c r="P62" s="349"/>
      <c r="Q62" s="349"/>
      <c r="R62" s="349"/>
      <c r="S62" s="349"/>
      <c r="T62" s="349"/>
      <c r="U62" s="349"/>
      <c r="V62" s="352"/>
      <c r="W62" s="352"/>
      <c r="X62" s="352"/>
      <c r="Y62" s="352"/>
      <c r="Z62" s="352"/>
      <c r="AA62" s="352"/>
      <c r="AB62" s="352"/>
      <c r="AC62" s="352"/>
      <c r="AD62" s="353"/>
      <c r="AF62" s="93">
        <f>16*3000</f>
        <v>48000</v>
      </c>
    </row>
    <row r="63" spans="1:32" ht="27.75" thickBot="1">
      <c r="A63" s="354" t="s">
        <v>379</v>
      </c>
      <c r="B63" s="354"/>
      <c r="C63" s="354"/>
      <c r="D63" s="354"/>
      <c r="E63" s="354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355" t="s">
        <v>113</v>
      </c>
      <c r="B64" s="356"/>
      <c r="C64" s="278" t="s">
        <v>2</v>
      </c>
      <c r="D64" s="278" t="s">
        <v>37</v>
      </c>
      <c r="E64" s="278" t="s">
        <v>3</v>
      </c>
      <c r="F64" s="356" t="s">
        <v>110</v>
      </c>
      <c r="G64" s="356"/>
      <c r="H64" s="356"/>
      <c r="I64" s="356"/>
      <c r="J64" s="356"/>
      <c r="K64" s="356" t="s">
        <v>39</v>
      </c>
      <c r="L64" s="356"/>
      <c r="M64" s="278" t="s">
        <v>40</v>
      </c>
      <c r="N64" s="356" t="s">
        <v>41</v>
      </c>
      <c r="O64" s="356"/>
      <c r="P64" s="357" t="s">
        <v>42</v>
      </c>
      <c r="Q64" s="358"/>
      <c r="R64" s="357" t="s">
        <v>43</v>
      </c>
      <c r="S64" s="359"/>
      <c r="T64" s="359"/>
      <c r="U64" s="359"/>
      <c r="V64" s="359"/>
      <c r="W64" s="359"/>
      <c r="X64" s="359"/>
      <c r="Y64" s="359"/>
      <c r="Z64" s="359"/>
      <c r="AA64" s="358"/>
      <c r="AB64" s="356" t="s">
        <v>44</v>
      </c>
      <c r="AC64" s="356"/>
      <c r="AD64" s="360"/>
      <c r="AF64" s="93">
        <f>SUM(AF61:AF63)</f>
        <v>96000</v>
      </c>
    </row>
    <row r="65" spans="1:32" ht="25.5" customHeight="1">
      <c r="A65" s="361">
        <v>1</v>
      </c>
      <c r="B65" s="362"/>
      <c r="C65" s="123" t="s">
        <v>119</v>
      </c>
      <c r="D65" s="274"/>
      <c r="E65" s="277" t="s">
        <v>380</v>
      </c>
      <c r="F65" s="363" t="s">
        <v>381</v>
      </c>
      <c r="G65" s="364"/>
      <c r="H65" s="364"/>
      <c r="I65" s="364"/>
      <c r="J65" s="364"/>
      <c r="K65" s="364" t="s">
        <v>124</v>
      </c>
      <c r="L65" s="364"/>
      <c r="M65" s="54" t="s">
        <v>225</v>
      </c>
      <c r="N65" s="411" t="s">
        <v>382</v>
      </c>
      <c r="O65" s="411"/>
      <c r="P65" s="365">
        <v>50</v>
      </c>
      <c r="Q65" s="365"/>
      <c r="R65" s="346" t="s">
        <v>383</v>
      </c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2</v>
      </c>
      <c r="B66" s="362"/>
      <c r="C66" s="123" t="s">
        <v>119</v>
      </c>
      <c r="D66" s="274"/>
      <c r="E66" s="277" t="s">
        <v>198</v>
      </c>
      <c r="F66" s="363" t="s">
        <v>328</v>
      </c>
      <c r="G66" s="364"/>
      <c r="H66" s="364"/>
      <c r="I66" s="364"/>
      <c r="J66" s="364"/>
      <c r="K66" s="364" t="s">
        <v>124</v>
      </c>
      <c r="L66" s="364"/>
      <c r="M66" s="54" t="s">
        <v>223</v>
      </c>
      <c r="N66" s="364">
        <v>13</v>
      </c>
      <c r="O66" s="364"/>
      <c r="P66" s="365">
        <v>50</v>
      </c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3</v>
      </c>
      <c r="B67" s="362"/>
      <c r="C67" s="123"/>
      <c r="D67" s="274"/>
      <c r="E67" s="277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4</v>
      </c>
      <c r="B68" s="362"/>
      <c r="C68" s="123"/>
      <c r="D68" s="274"/>
      <c r="E68" s="277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5</v>
      </c>
      <c r="B69" s="362"/>
      <c r="C69" s="123"/>
      <c r="D69" s="274"/>
      <c r="E69" s="277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6</v>
      </c>
      <c r="B70" s="362"/>
      <c r="C70" s="123"/>
      <c r="D70" s="274"/>
      <c r="E70" s="277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5.5" customHeight="1">
      <c r="A71" s="361">
        <v>7</v>
      </c>
      <c r="B71" s="362"/>
      <c r="C71" s="123"/>
      <c r="D71" s="274"/>
      <c r="E71" s="277"/>
      <c r="F71" s="363"/>
      <c r="G71" s="364"/>
      <c r="H71" s="364"/>
      <c r="I71" s="364"/>
      <c r="J71" s="364"/>
      <c r="K71" s="364"/>
      <c r="L71" s="364"/>
      <c r="M71" s="54"/>
      <c r="N71" s="364"/>
      <c r="O71" s="364"/>
      <c r="P71" s="365"/>
      <c r="Q71" s="365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64"/>
      <c r="AC71" s="364"/>
      <c r="AD71" s="366"/>
      <c r="AF71" s="53"/>
    </row>
    <row r="72" spans="1:32" ht="25.5" customHeight="1">
      <c r="A72" s="361">
        <v>8</v>
      </c>
      <c r="B72" s="362"/>
      <c r="C72" s="123"/>
      <c r="D72" s="274"/>
      <c r="E72" s="277"/>
      <c r="F72" s="363"/>
      <c r="G72" s="364"/>
      <c r="H72" s="364"/>
      <c r="I72" s="364"/>
      <c r="J72" s="364"/>
      <c r="K72" s="364"/>
      <c r="L72" s="364"/>
      <c r="M72" s="54"/>
      <c r="N72" s="364"/>
      <c r="O72" s="364"/>
      <c r="P72" s="365"/>
      <c r="Q72" s="365"/>
      <c r="R72" s="346"/>
      <c r="S72" s="346"/>
      <c r="T72" s="346"/>
      <c r="U72" s="346"/>
      <c r="V72" s="346"/>
      <c r="W72" s="346"/>
      <c r="X72" s="346"/>
      <c r="Y72" s="346"/>
      <c r="Z72" s="346"/>
      <c r="AA72" s="346"/>
      <c r="AB72" s="364"/>
      <c r="AC72" s="364"/>
      <c r="AD72" s="366"/>
      <c r="AF72" s="53"/>
    </row>
    <row r="73" spans="1:32" ht="26.25" customHeight="1" thickBot="1">
      <c r="A73" s="367" t="s">
        <v>384</v>
      </c>
      <c r="B73" s="367"/>
      <c r="C73" s="367"/>
      <c r="D73" s="367"/>
      <c r="E73" s="36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68" t="s">
        <v>113</v>
      </c>
      <c r="B74" s="369"/>
      <c r="C74" s="276" t="s">
        <v>2</v>
      </c>
      <c r="D74" s="276" t="s">
        <v>37</v>
      </c>
      <c r="E74" s="276" t="s">
        <v>3</v>
      </c>
      <c r="F74" s="369" t="s">
        <v>38</v>
      </c>
      <c r="G74" s="369"/>
      <c r="H74" s="369"/>
      <c r="I74" s="369"/>
      <c r="J74" s="369"/>
      <c r="K74" s="370" t="s">
        <v>58</v>
      </c>
      <c r="L74" s="371"/>
      <c r="M74" s="371"/>
      <c r="N74" s="371"/>
      <c r="O74" s="371"/>
      <c r="P74" s="371"/>
      <c r="Q74" s="371"/>
      <c r="R74" s="371"/>
      <c r="S74" s="372"/>
      <c r="T74" s="369" t="s">
        <v>49</v>
      </c>
      <c r="U74" s="369"/>
      <c r="V74" s="370" t="s">
        <v>50</v>
      </c>
      <c r="W74" s="372"/>
      <c r="X74" s="371" t="s">
        <v>51</v>
      </c>
      <c r="Y74" s="371"/>
      <c r="Z74" s="371"/>
      <c r="AA74" s="371"/>
      <c r="AB74" s="371"/>
      <c r="AC74" s="371"/>
      <c r="AD74" s="373"/>
      <c r="AF74" s="53"/>
    </row>
    <row r="75" spans="1:32" ht="33.75" customHeight="1">
      <c r="A75" s="382">
        <v>1</v>
      </c>
      <c r="B75" s="383"/>
      <c r="C75" s="275" t="s">
        <v>114</v>
      </c>
      <c r="D75" s="275"/>
      <c r="E75" s="71" t="s">
        <v>122</v>
      </c>
      <c r="F75" s="384" t="s">
        <v>121</v>
      </c>
      <c r="G75" s="385"/>
      <c r="H75" s="385"/>
      <c r="I75" s="385"/>
      <c r="J75" s="386"/>
      <c r="K75" s="387" t="s">
        <v>123</v>
      </c>
      <c r="L75" s="388"/>
      <c r="M75" s="388"/>
      <c r="N75" s="388"/>
      <c r="O75" s="388"/>
      <c r="P75" s="388"/>
      <c r="Q75" s="388"/>
      <c r="R75" s="388"/>
      <c r="S75" s="389"/>
      <c r="T75" s="390">
        <v>43384</v>
      </c>
      <c r="U75" s="391"/>
      <c r="V75" s="392"/>
      <c r="W75" s="392"/>
      <c r="X75" s="393"/>
      <c r="Y75" s="393"/>
      <c r="Z75" s="393"/>
      <c r="AA75" s="393"/>
      <c r="AB75" s="393"/>
      <c r="AC75" s="393"/>
      <c r="AD75" s="394"/>
      <c r="AF75" s="53"/>
    </row>
    <row r="76" spans="1:32" ht="30" customHeight="1">
      <c r="A76" s="374">
        <f>A75+1</f>
        <v>2</v>
      </c>
      <c r="B76" s="375"/>
      <c r="C76" s="274"/>
      <c r="D76" s="274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ref="A77:A83" si="27">A76+1</f>
        <v>3</v>
      </c>
      <c r="B77" s="375"/>
      <c r="C77" s="274"/>
      <c r="D77" s="274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27"/>
        <v>4</v>
      </c>
      <c r="B78" s="375"/>
      <c r="C78" s="274"/>
      <c r="D78" s="274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27"/>
        <v>5</v>
      </c>
      <c r="B79" s="375"/>
      <c r="C79" s="274"/>
      <c r="D79" s="274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27"/>
        <v>6</v>
      </c>
      <c r="B80" s="375"/>
      <c r="C80" s="274"/>
      <c r="D80" s="274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27"/>
        <v>7</v>
      </c>
      <c r="B81" s="375"/>
      <c r="C81" s="274"/>
      <c r="D81" s="274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0" customHeight="1">
      <c r="A82" s="374">
        <f t="shared" si="27"/>
        <v>8</v>
      </c>
      <c r="B82" s="375"/>
      <c r="C82" s="274"/>
      <c r="D82" s="274"/>
      <c r="E82" s="35"/>
      <c r="F82" s="375"/>
      <c r="G82" s="375"/>
      <c r="H82" s="375"/>
      <c r="I82" s="375"/>
      <c r="J82" s="375"/>
      <c r="K82" s="376"/>
      <c r="L82" s="377"/>
      <c r="M82" s="377"/>
      <c r="N82" s="377"/>
      <c r="O82" s="377"/>
      <c r="P82" s="377"/>
      <c r="Q82" s="377"/>
      <c r="R82" s="377"/>
      <c r="S82" s="378"/>
      <c r="T82" s="379"/>
      <c r="U82" s="379"/>
      <c r="V82" s="379"/>
      <c r="W82" s="379"/>
      <c r="X82" s="380"/>
      <c r="Y82" s="380"/>
      <c r="Z82" s="380"/>
      <c r="AA82" s="380"/>
      <c r="AB82" s="380"/>
      <c r="AC82" s="380"/>
      <c r="AD82" s="381"/>
      <c r="AF82" s="53"/>
    </row>
    <row r="83" spans="1:32" ht="30" customHeight="1">
      <c r="A83" s="374">
        <f t="shared" si="27"/>
        <v>9</v>
      </c>
      <c r="B83" s="375"/>
      <c r="C83" s="274"/>
      <c r="D83" s="274"/>
      <c r="E83" s="35"/>
      <c r="F83" s="375"/>
      <c r="G83" s="375"/>
      <c r="H83" s="375"/>
      <c r="I83" s="375"/>
      <c r="J83" s="375"/>
      <c r="K83" s="376"/>
      <c r="L83" s="377"/>
      <c r="M83" s="377"/>
      <c r="N83" s="377"/>
      <c r="O83" s="377"/>
      <c r="P83" s="377"/>
      <c r="Q83" s="377"/>
      <c r="R83" s="377"/>
      <c r="S83" s="378"/>
      <c r="T83" s="379"/>
      <c r="U83" s="379"/>
      <c r="V83" s="379"/>
      <c r="W83" s="379"/>
      <c r="X83" s="380"/>
      <c r="Y83" s="380"/>
      <c r="Z83" s="380"/>
      <c r="AA83" s="380"/>
      <c r="AB83" s="380"/>
      <c r="AC83" s="380"/>
      <c r="AD83" s="381"/>
      <c r="AF83" s="53"/>
    </row>
    <row r="84" spans="1:32" ht="36" thickBot="1">
      <c r="A84" s="367" t="s">
        <v>385</v>
      </c>
      <c r="B84" s="367"/>
      <c r="C84" s="367"/>
      <c r="D84" s="367"/>
      <c r="E84" s="36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68" t="s">
        <v>113</v>
      </c>
      <c r="B85" s="369"/>
      <c r="C85" s="395" t="s">
        <v>52</v>
      </c>
      <c r="D85" s="395"/>
      <c r="E85" s="395" t="s">
        <v>53</v>
      </c>
      <c r="F85" s="395"/>
      <c r="G85" s="395"/>
      <c r="H85" s="395"/>
      <c r="I85" s="395"/>
      <c r="J85" s="395"/>
      <c r="K85" s="395" t="s">
        <v>54</v>
      </c>
      <c r="L85" s="395"/>
      <c r="M85" s="395"/>
      <c r="N85" s="395"/>
      <c r="O85" s="395"/>
      <c r="P85" s="395"/>
      <c r="Q85" s="395"/>
      <c r="R85" s="395"/>
      <c r="S85" s="395"/>
      <c r="T85" s="395" t="s">
        <v>55</v>
      </c>
      <c r="U85" s="395"/>
      <c r="V85" s="395" t="s">
        <v>56</v>
      </c>
      <c r="W85" s="395"/>
      <c r="X85" s="395"/>
      <c r="Y85" s="395" t="s">
        <v>51</v>
      </c>
      <c r="Z85" s="395"/>
      <c r="AA85" s="395"/>
      <c r="AB85" s="395"/>
      <c r="AC85" s="395"/>
      <c r="AD85" s="396"/>
      <c r="AF85" s="53"/>
    </row>
    <row r="86" spans="1:32" ht="30.75" customHeight="1">
      <c r="A86" s="382">
        <v>1</v>
      </c>
      <c r="B86" s="383"/>
      <c r="C86" s="397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8"/>
      <c r="W86" s="398"/>
      <c r="X86" s="398"/>
      <c r="Y86" s="399"/>
      <c r="Z86" s="399"/>
      <c r="AA86" s="399"/>
      <c r="AB86" s="399"/>
      <c r="AC86" s="399"/>
      <c r="AD86" s="400"/>
      <c r="AF86" s="53"/>
    </row>
    <row r="87" spans="1:32" ht="30.75" customHeight="1">
      <c r="A87" s="374">
        <v>2</v>
      </c>
      <c r="B87" s="375"/>
      <c r="C87" s="408"/>
      <c r="D87" s="408"/>
      <c r="E87" s="408"/>
      <c r="F87" s="408"/>
      <c r="G87" s="408"/>
      <c r="H87" s="408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9"/>
      <c r="U87" s="409"/>
      <c r="V87" s="410"/>
      <c r="W87" s="410"/>
      <c r="X87" s="410"/>
      <c r="Y87" s="401"/>
      <c r="Z87" s="401"/>
      <c r="AA87" s="401"/>
      <c r="AB87" s="401"/>
      <c r="AC87" s="401"/>
      <c r="AD87" s="402"/>
      <c r="AF87" s="53"/>
    </row>
    <row r="88" spans="1:32" ht="30.75" customHeight="1" thickBot="1">
      <c r="A88" s="403">
        <v>3</v>
      </c>
      <c r="B88" s="404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05"/>
      <c r="O88" s="405"/>
      <c r="P88" s="405"/>
      <c r="Q88" s="405"/>
      <c r="R88" s="405"/>
      <c r="S88" s="405"/>
      <c r="T88" s="405"/>
      <c r="U88" s="405"/>
      <c r="V88" s="405"/>
      <c r="W88" s="405"/>
      <c r="X88" s="405"/>
      <c r="Y88" s="406"/>
      <c r="Z88" s="406"/>
      <c r="AA88" s="406"/>
      <c r="AB88" s="406"/>
      <c r="AC88" s="406"/>
      <c r="AD88" s="407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3F23-DD40-4BF5-867B-86E20205FF21}">
  <sheetPr>
    <pageSetUpPr fitToPage="1"/>
  </sheetPr>
  <dimension ref="A1:AF87"/>
  <sheetViews>
    <sheetView tabSelected="1"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386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285" t="s">
        <v>17</v>
      </c>
      <c r="L5" s="285" t="s">
        <v>18</v>
      </c>
      <c r="M5" s="285" t="s">
        <v>19</v>
      </c>
      <c r="N5" s="28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7" si="0">L6</f>
        <v>0</v>
      </c>
      <c r="L6" s="15"/>
      <c r="M6" s="16">
        <f t="shared" ref="M6:M21" si="1">L6-N6</f>
        <v>0</v>
      </c>
      <c r="N6" s="16">
        <v>0</v>
      </c>
      <c r="O6" s="62" t="str">
        <f t="shared" ref="O6:O22" si="2">IF(L6=0,"0",N6/L6)</f>
        <v>0</v>
      </c>
      <c r="P6" s="42" t="str">
        <f t="shared" ref="P6:P21" si="3">IF(L6=0,"0",(24-Q6))</f>
        <v>0</v>
      </c>
      <c r="Q6" s="43">
        <f t="shared" ref="Q6:Q21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9">
        <f t="shared" ref="AE6:AE21" si="8">$AD$22</f>
        <v>0.52777777777777779</v>
      </c>
      <c r="AF6" s="93">
        <f t="shared" ref="AF6:AF21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0.52777777777777779</v>
      </c>
      <c r="AF7" s="93">
        <f t="shared" si="9"/>
        <v>2</v>
      </c>
    </row>
    <row r="8" spans="1:32" ht="27" customHeight="1">
      <c r="A8" s="108">
        <v>3</v>
      </c>
      <c r="B8" s="11"/>
      <c r="C8" s="37"/>
      <c r="D8" s="55"/>
      <c r="E8" s="57"/>
      <c r="F8" s="33"/>
      <c r="G8" s="36"/>
      <c r="H8" s="38"/>
      <c r="I8" s="7"/>
      <c r="J8" s="5"/>
      <c r="K8" s="15"/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>
        <v>24</v>
      </c>
      <c r="S8" s="6"/>
      <c r="T8" s="17"/>
      <c r="U8" s="17"/>
      <c r="V8" s="18"/>
      <c r="W8" s="19"/>
      <c r="X8" s="17"/>
      <c r="Y8" s="20"/>
      <c r="Z8" s="20"/>
      <c r="AA8" s="21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0.52777777777777779</v>
      </c>
      <c r="AF8" s="93">
        <f t="shared" si="9"/>
        <v>3</v>
      </c>
    </row>
    <row r="9" spans="1:32" ht="27" customHeight="1">
      <c r="A9" s="109">
        <v>4</v>
      </c>
      <c r="B9" s="11" t="s">
        <v>57</v>
      </c>
      <c r="C9" s="11" t="s">
        <v>180</v>
      </c>
      <c r="D9" s="55" t="s">
        <v>220</v>
      </c>
      <c r="E9" s="57" t="s">
        <v>221</v>
      </c>
      <c r="F9" s="33" t="s">
        <v>222</v>
      </c>
      <c r="G9" s="36">
        <v>1</v>
      </c>
      <c r="H9" s="38">
        <v>24</v>
      </c>
      <c r="I9" s="7">
        <v>31000</v>
      </c>
      <c r="J9" s="14">
        <v>4378</v>
      </c>
      <c r="K9" s="15">
        <f>L9+4382+2780+2137+4437+2876</f>
        <v>20990</v>
      </c>
      <c r="L9" s="15">
        <f>2895+1483</f>
        <v>4378</v>
      </c>
      <c r="M9" s="16">
        <f t="shared" si="1"/>
        <v>4378</v>
      </c>
      <c r="N9" s="16">
        <v>0</v>
      </c>
      <c r="O9" s="62">
        <f t="shared" si="2"/>
        <v>0</v>
      </c>
      <c r="P9" s="42">
        <f t="shared" si="3"/>
        <v>21</v>
      </c>
      <c r="Q9" s="43">
        <f t="shared" si="4"/>
        <v>3</v>
      </c>
      <c r="R9" s="7"/>
      <c r="S9" s="6">
        <v>3</v>
      </c>
      <c r="T9" s="17"/>
      <c r="U9" s="17"/>
      <c r="V9" s="18"/>
      <c r="W9" s="19"/>
      <c r="X9" s="17"/>
      <c r="Y9" s="20"/>
      <c r="Z9" s="20"/>
      <c r="AA9" s="21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9">
        <f t="shared" si="8"/>
        <v>0.52777777777777779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180</v>
      </c>
      <c r="D10" s="55" t="s">
        <v>167</v>
      </c>
      <c r="E10" s="57" t="s">
        <v>363</v>
      </c>
      <c r="F10" s="12" t="s">
        <v>169</v>
      </c>
      <c r="G10" s="12">
        <v>1</v>
      </c>
      <c r="H10" s="13">
        <v>20</v>
      </c>
      <c r="I10" s="7">
        <v>20000</v>
      </c>
      <c r="J10" s="14">
        <v>6237</v>
      </c>
      <c r="K10" s="15">
        <f>L10+4702</f>
        <v>10939</v>
      </c>
      <c r="L10" s="15">
        <f>3158+3079</f>
        <v>6237</v>
      </c>
      <c r="M10" s="16">
        <f t="shared" si="1"/>
        <v>6237</v>
      </c>
      <c r="N10" s="16">
        <v>0</v>
      </c>
      <c r="O10" s="62">
        <f t="shared" si="2"/>
        <v>0</v>
      </c>
      <c r="P10" s="42">
        <f t="shared" si="3"/>
        <v>24</v>
      </c>
      <c r="Q10" s="43">
        <f t="shared" si="4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5"/>
        <v>1</v>
      </c>
      <c r="AC10" s="9">
        <f t="shared" si="6"/>
        <v>1</v>
      </c>
      <c r="AD10" s="10">
        <f t="shared" si="7"/>
        <v>1</v>
      </c>
      <c r="AE10" s="39">
        <f t="shared" si="8"/>
        <v>0.52777777777777779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119</v>
      </c>
      <c r="D11" s="55" t="s">
        <v>173</v>
      </c>
      <c r="E11" s="57" t="s">
        <v>330</v>
      </c>
      <c r="F11" s="12" t="s">
        <v>125</v>
      </c>
      <c r="G11" s="12">
        <v>1</v>
      </c>
      <c r="H11" s="13">
        <v>24</v>
      </c>
      <c r="I11" s="7">
        <v>7000</v>
      </c>
      <c r="J11" s="14">
        <v>3690</v>
      </c>
      <c r="K11" s="15">
        <f>L11+3660</f>
        <v>7350</v>
      </c>
      <c r="L11" s="15">
        <f>694+2996</f>
        <v>3690</v>
      </c>
      <c r="M11" s="16">
        <f t="shared" si="1"/>
        <v>3690</v>
      </c>
      <c r="N11" s="16">
        <v>0</v>
      </c>
      <c r="O11" s="62">
        <f t="shared" si="2"/>
        <v>0</v>
      </c>
      <c r="P11" s="42">
        <f t="shared" si="3"/>
        <v>18</v>
      </c>
      <c r="Q11" s="43">
        <f t="shared" si="4"/>
        <v>6</v>
      </c>
      <c r="R11" s="7"/>
      <c r="S11" s="6"/>
      <c r="T11" s="17"/>
      <c r="U11" s="17"/>
      <c r="V11" s="18"/>
      <c r="W11" s="19">
        <v>6</v>
      </c>
      <c r="X11" s="17"/>
      <c r="Y11" s="20"/>
      <c r="Z11" s="20"/>
      <c r="AA11" s="21"/>
      <c r="AB11" s="8">
        <f t="shared" si="5"/>
        <v>1</v>
      </c>
      <c r="AC11" s="9">
        <f t="shared" si="6"/>
        <v>0.75</v>
      </c>
      <c r="AD11" s="10">
        <f t="shared" si="7"/>
        <v>0.75</v>
      </c>
      <c r="AE11" s="39">
        <f t="shared" si="8"/>
        <v>0.52777777777777779</v>
      </c>
      <c r="AF11" s="93">
        <f t="shared" si="9"/>
        <v>6</v>
      </c>
    </row>
    <row r="12" spans="1:32" ht="27" customHeight="1">
      <c r="A12" s="109">
        <v>7</v>
      </c>
      <c r="B12" s="11" t="s">
        <v>57</v>
      </c>
      <c r="C12" s="11" t="s">
        <v>180</v>
      </c>
      <c r="D12" s="55" t="s">
        <v>358</v>
      </c>
      <c r="E12" s="57" t="s">
        <v>359</v>
      </c>
      <c r="F12" s="33" t="s">
        <v>127</v>
      </c>
      <c r="G12" s="36">
        <v>1</v>
      </c>
      <c r="H12" s="38">
        <v>20</v>
      </c>
      <c r="I12" s="7">
        <v>3000</v>
      </c>
      <c r="J12" s="14">
        <v>3010</v>
      </c>
      <c r="K12" s="15">
        <f>L12+2911+3010</f>
        <v>5921</v>
      </c>
      <c r="L12" s="15"/>
      <c r="M12" s="16">
        <f t="shared" si="1"/>
        <v>0</v>
      </c>
      <c r="N12" s="16">
        <v>0</v>
      </c>
      <c r="O12" s="62" t="str">
        <f t="shared" si="2"/>
        <v>0</v>
      </c>
      <c r="P12" s="42" t="str">
        <f t="shared" si="3"/>
        <v>0</v>
      </c>
      <c r="Q12" s="43">
        <f t="shared" si="4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5"/>
        <v>0</v>
      </c>
      <c r="AC12" s="9">
        <f t="shared" si="6"/>
        <v>0</v>
      </c>
      <c r="AD12" s="10">
        <f t="shared" si="7"/>
        <v>0</v>
      </c>
      <c r="AE12" s="39">
        <f t="shared" si="8"/>
        <v>0.52777777777777779</v>
      </c>
      <c r="AF12" s="93">
        <f t="shared" si="9"/>
        <v>7</v>
      </c>
    </row>
    <row r="13" spans="1:32" ht="27" customHeight="1">
      <c r="A13" s="109">
        <v>8</v>
      </c>
      <c r="B13" s="11" t="s">
        <v>57</v>
      </c>
      <c r="C13" s="11" t="s">
        <v>114</v>
      </c>
      <c r="D13" s="55" t="s">
        <v>387</v>
      </c>
      <c r="E13" s="57" t="s">
        <v>388</v>
      </c>
      <c r="F13" s="33" t="s">
        <v>169</v>
      </c>
      <c r="G13" s="36">
        <v>1</v>
      </c>
      <c r="H13" s="38">
        <v>24</v>
      </c>
      <c r="I13" s="7">
        <v>150</v>
      </c>
      <c r="J13" s="14">
        <v>180</v>
      </c>
      <c r="K13" s="15">
        <f>L13</f>
        <v>180</v>
      </c>
      <c r="L13" s="15">
        <v>180</v>
      </c>
      <c r="M13" s="16">
        <f t="shared" si="1"/>
        <v>180</v>
      </c>
      <c r="N13" s="16">
        <v>0</v>
      </c>
      <c r="O13" s="62">
        <f t="shared" si="2"/>
        <v>0</v>
      </c>
      <c r="P13" s="42">
        <f t="shared" si="3"/>
        <v>4</v>
      </c>
      <c r="Q13" s="43">
        <f t="shared" si="4"/>
        <v>20</v>
      </c>
      <c r="R13" s="7"/>
      <c r="S13" s="6"/>
      <c r="T13" s="17"/>
      <c r="U13" s="17"/>
      <c r="V13" s="18"/>
      <c r="W13" s="19">
        <v>20</v>
      </c>
      <c r="X13" s="17"/>
      <c r="Y13" s="20"/>
      <c r="Z13" s="20"/>
      <c r="AA13" s="21"/>
      <c r="AB13" s="8">
        <f t="shared" si="5"/>
        <v>1</v>
      </c>
      <c r="AC13" s="9">
        <f t="shared" si="6"/>
        <v>0.16666666666666666</v>
      </c>
      <c r="AD13" s="10">
        <f t="shared" si="7"/>
        <v>0.16666666666666666</v>
      </c>
      <c r="AE13" s="39">
        <f t="shared" si="8"/>
        <v>0.52777777777777779</v>
      </c>
      <c r="AF13" s="93">
        <f t="shared" si="9"/>
        <v>8</v>
      </c>
    </row>
    <row r="14" spans="1:32" ht="27" customHeight="1">
      <c r="A14" s="125">
        <v>9</v>
      </c>
      <c r="B14" s="11" t="s">
        <v>57</v>
      </c>
      <c r="C14" s="37" t="s">
        <v>180</v>
      </c>
      <c r="D14" s="55" t="s">
        <v>120</v>
      </c>
      <c r="E14" s="57" t="s">
        <v>278</v>
      </c>
      <c r="F14" s="33" t="s">
        <v>179</v>
      </c>
      <c r="G14" s="36">
        <v>1</v>
      </c>
      <c r="H14" s="38">
        <v>24</v>
      </c>
      <c r="I14" s="7">
        <v>29000</v>
      </c>
      <c r="J14" s="5">
        <v>4696</v>
      </c>
      <c r="K14" s="15">
        <f>L14+3139+1810+4248+4762+4974+4785</f>
        <v>28414</v>
      </c>
      <c r="L14" s="15">
        <f>2399+2297</f>
        <v>4696</v>
      </c>
      <c r="M14" s="16">
        <f t="shared" si="1"/>
        <v>4696</v>
      </c>
      <c r="N14" s="16">
        <v>0</v>
      </c>
      <c r="O14" s="62">
        <f t="shared" si="2"/>
        <v>0</v>
      </c>
      <c r="P14" s="42">
        <f t="shared" si="3"/>
        <v>24</v>
      </c>
      <c r="Q14" s="43">
        <f t="shared" si="4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5"/>
        <v>1</v>
      </c>
      <c r="AC14" s="9">
        <f t="shared" si="6"/>
        <v>1</v>
      </c>
      <c r="AD14" s="10">
        <f t="shared" si="7"/>
        <v>1</v>
      </c>
      <c r="AE14" s="39">
        <f t="shared" si="8"/>
        <v>0.52777777777777779</v>
      </c>
      <c r="AF14" s="93">
        <f t="shared" si="9"/>
        <v>9</v>
      </c>
    </row>
    <row r="15" spans="1:32" ht="27" customHeight="1">
      <c r="A15" s="108">
        <v>10</v>
      </c>
      <c r="B15" s="11" t="s">
        <v>57</v>
      </c>
      <c r="C15" s="37" t="s">
        <v>180</v>
      </c>
      <c r="D15" s="55" t="s">
        <v>175</v>
      </c>
      <c r="E15" s="57" t="s">
        <v>373</v>
      </c>
      <c r="F15" s="12">
        <v>8301</v>
      </c>
      <c r="G15" s="12">
        <v>1</v>
      </c>
      <c r="H15" s="13">
        <v>20</v>
      </c>
      <c r="I15" s="34">
        <v>600</v>
      </c>
      <c r="J15" s="14">
        <v>736</v>
      </c>
      <c r="K15" s="15">
        <f>L15</f>
        <v>736</v>
      </c>
      <c r="L15" s="15">
        <f>736</f>
        <v>736</v>
      </c>
      <c r="M15" s="16">
        <f t="shared" si="1"/>
        <v>736</v>
      </c>
      <c r="N15" s="16">
        <v>0</v>
      </c>
      <c r="O15" s="62">
        <f t="shared" si="2"/>
        <v>0</v>
      </c>
      <c r="P15" s="42">
        <f t="shared" si="3"/>
        <v>6</v>
      </c>
      <c r="Q15" s="43">
        <f t="shared" si="4"/>
        <v>18</v>
      </c>
      <c r="R15" s="7"/>
      <c r="S15" s="6"/>
      <c r="T15" s="17"/>
      <c r="U15" s="17"/>
      <c r="V15" s="18"/>
      <c r="W15" s="19">
        <v>18</v>
      </c>
      <c r="X15" s="17"/>
      <c r="Y15" s="20"/>
      <c r="Z15" s="20"/>
      <c r="AA15" s="21"/>
      <c r="AB15" s="8">
        <f t="shared" si="5"/>
        <v>1</v>
      </c>
      <c r="AC15" s="9">
        <f t="shared" si="6"/>
        <v>0.25</v>
      </c>
      <c r="AD15" s="10">
        <f t="shared" si="7"/>
        <v>0.25</v>
      </c>
      <c r="AE15" s="39">
        <f t="shared" si="8"/>
        <v>0.52777777777777779</v>
      </c>
      <c r="AF15" s="93">
        <f t="shared" si="9"/>
        <v>10</v>
      </c>
    </row>
    <row r="16" spans="1:32" ht="27" customHeight="1">
      <c r="A16" s="108">
        <v>11</v>
      </c>
      <c r="B16" s="11" t="s">
        <v>57</v>
      </c>
      <c r="C16" s="11" t="s">
        <v>119</v>
      </c>
      <c r="D16" s="55" t="s">
        <v>135</v>
      </c>
      <c r="E16" s="57" t="s">
        <v>374</v>
      </c>
      <c r="F16" s="12" t="s">
        <v>179</v>
      </c>
      <c r="G16" s="12">
        <v>2</v>
      </c>
      <c r="H16" s="13">
        <v>24</v>
      </c>
      <c r="I16" s="7">
        <v>2000</v>
      </c>
      <c r="J16" s="14">
        <v>2206</v>
      </c>
      <c r="K16" s="15">
        <f>L16</f>
        <v>2206</v>
      </c>
      <c r="L16" s="15">
        <f>1103*2</f>
        <v>2206</v>
      </c>
      <c r="M16" s="16">
        <f t="shared" si="1"/>
        <v>2206</v>
      </c>
      <c r="N16" s="16">
        <v>0</v>
      </c>
      <c r="O16" s="62">
        <f t="shared" si="2"/>
        <v>0</v>
      </c>
      <c r="P16" s="42">
        <f t="shared" si="3"/>
        <v>6</v>
      </c>
      <c r="Q16" s="43">
        <f t="shared" si="4"/>
        <v>18</v>
      </c>
      <c r="R16" s="7"/>
      <c r="S16" s="6"/>
      <c r="T16" s="17"/>
      <c r="U16" s="17"/>
      <c r="V16" s="18"/>
      <c r="W16" s="19">
        <v>18</v>
      </c>
      <c r="X16" s="17"/>
      <c r="Y16" s="20"/>
      <c r="Z16" s="20"/>
      <c r="AA16" s="21"/>
      <c r="AB16" s="8">
        <f t="shared" si="5"/>
        <v>1</v>
      </c>
      <c r="AC16" s="9">
        <f t="shared" si="6"/>
        <v>0.25</v>
      </c>
      <c r="AD16" s="10">
        <f t="shared" si="7"/>
        <v>0.25</v>
      </c>
      <c r="AE16" s="39">
        <f t="shared" si="8"/>
        <v>0.52777777777777779</v>
      </c>
      <c r="AF16" s="93">
        <f t="shared" si="9"/>
        <v>11</v>
      </c>
    </row>
    <row r="17" spans="1:32" ht="27" customHeight="1">
      <c r="A17" s="108">
        <v>11</v>
      </c>
      <c r="B17" s="11" t="s">
        <v>57</v>
      </c>
      <c r="C17" s="11" t="s">
        <v>119</v>
      </c>
      <c r="D17" s="55" t="s">
        <v>389</v>
      </c>
      <c r="E17" s="57" t="s">
        <v>390</v>
      </c>
      <c r="F17" s="12" t="s">
        <v>179</v>
      </c>
      <c r="G17" s="12" t="s">
        <v>138</v>
      </c>
      <c r="H17" s="13">
        <v>24</v>
      </c>
      <c r="I17" s="7">
        <v>2000</v>
      </c>
      <c r="J17" s="14">
        <v>2407</v>
      </c>
      <c r="K17" s="15">
        <f>L17</f>
        <v>2407</v>
      </c>
      <c r="L17" s="15">
        <f>572+1835</f>
        <v>2407</v>
      </c>
      <c r="M17" s="16">
        <f t="shared" ref="M17" si="10">L17-N17</f>
        <v>2407</v>
      </c>
      <c r="N17" s="16">
        <v>0</v>
      </c>
      <c r="O17" s="62">
        <f t="shared" ref="O17" si="11">IF(L17=0,"0",N17/L17)</f>
        <v>0</v>
      </c>
      <c r="P17" s="42">
        <f t="shared" ref="P17" si="12">IF(L17=0,"0",(24-Q17))</f>
        <v>17</v>
      </c>
      <c r="Q17" s="43">
        <f t="shared" ref="Q17" si="13">SUM(R17:AA17)</f>
        <v>7</v>
      </c>
      <c r="R17" s="7"/>
      <c r="S17" s="6"/>
      <c r="T17" s="17"/>
      <c r="U17" s="17"/>
      <c r="V17" s="18"/>
      <c r="W17" s="19">
        <v>7</v>
      </c>
      <c r="X17" s="17"/>
      <c r="Y17" s="20"/>
      <c r="Z17" s="20"/>
      <c r="AA17" s="21"/>
      <c r="AB17" s="8">
        <f t="shared" ref="AB17" si="14">IF(J17=0,"0",(L17/J17))</f>
        <v>1</v>
      </c>
      <c r="AC17" s="9">
        <f t="shared" ref="AC17" si="15">IF(P17=0,"0",(P17/24))</f>
        <v>0.70833333333333337</v>
      </c>
      <c r="AD17" s="10">
        <f t="shared" ref="AD17" si="16">AC17*AB17*(1-O17)</f>
        <v>0.70833333333333337</v>
      </c>
      <c r="AE17" s="39">
        <f t="shared" si="8"/>
        <v>0.52777777777777779</v>
      </c>
      <c r="AF17" s="93">
        <f t="shared" ref="AF17" si="17">A17</f>
        <v>11</v>
      </c>
    </row>
    <row r="18" spans="1:32" ht="27" customHeight="1">
      <c r="A18" s="108">
        <v>12</v>
      </c>
      <c r="B18" s="11" t="s">
        <v>57</v>
      </c>
      <c r="C18" s="37" t="s">
        <v>119</v>
      </c>
      <c r="D18" s="55" t="s">
        <v>193</v>
      </c>
      <c r="E18" s="57" t="s">
        <v>315</v>
      </c>
      <c r="F18" s="12" t="s">
        <v>125</v>
      </c>
      <c r="G18" s="12">
        <v>2</v>
      </c>
      <c r="H18" s="13">
        <v>20</v>
      </c>
      <c r="I18" s="34">
        <v>14000</v>
      </c>
      <c r="J18" s="14">
        <v>16210</v>
      </c>
      <c r="K18" s="15">
        <f>L18+3532</f>
        <v>19742</v>
      </c>
      <c r="L18" s="15">
        <f>4358*2+3747*2</f>
        <v>16210</v>
      </c>
      <c r="M18" s="16">
        <f t="shared" si="1"/>
        <v>16210</v>
      </c>
      <c r="N18" s="16">
        <v>0</v>
      </c>
      <c r="O18" s="62">
        <f t="shared" si="2"/>
        <v>0</v>
      </c>
      <c r="P18" s="42">
        <f t="shared" si="3"/>
        <v>24</v>
      </c>
      <c r="Q18" s="43">
        <f t="shared" si="4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5"/>
        <v>1</v>
      </c>
      <c r="AC18" s="9">
        <f t="shared" si="6"/>
        <v>1</v>
      </c>
      <c r="AD18" s="10">
        <f t="shared" si="7"/>
        <v>1</v>
      </c>
      <c r="AE18" s="39">
        <f t="shared" si="8"/>
        <v>0.52777777777777779</v>
      </c>
      <c r="AF18" s="93">
        <f t="shared" si="9"/>
        <v>12</v>
      </c>
    </row>
    <row r="19" spans="1:32" ht="27" customHeight="1">
      <c r="A19" s="109">
        <v>13</v>
      </c>
      <c r="B19" s="11" t="s">
        <v>57</v>
      </c>
      <c r="C19" s="37" t="s">
        <v>119</v>
      </c>
      <c r="D19" s="55" t="s">
        <v>198</v>
      </c>
      <c r="E19" s="57" t="s">
        <v>328</v>
      </c>
      <c r="F19" s="33" t="s">
        <v>124</v>
      </c>
      <c r="G19" s="36">
        <v>1</v>
      </c>
      <c r="H19" s="38">
        <v>24</v>
      </c>
      <c r="I19" s="7">
        <v>7000</v>
      </c>
      <c r="J19" s="5">
        <v>5387</v>
      </c>
      <c r="K19" s="15">
        <f>L19+3079</f>
        <v>8466</v>
      </c>
      <c r="L19" s="15">
        <f>3257+2130</f>
        <v>5387</v>
      </c>
      <c r="M19" s="16">
        <f t="shared" si="1"/>
        <v>5387</v>
      </c>
      <c r="N19" s="16">
        <v>0</v>
      </c>
      <c r="O19" s="62">
        <f t="shared" si="2"/>
        <v>0</v>
      </c>
      <c r="P19" s="42">
        <f t="shared" si="3"/>
        <v>24</v>
      </c>
      <c r="Q19" s="43">
        <f t="shared" si="4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9">
        <f t="shared" si="8"/>
        <v>0.52777777777777779</v>
      </c>
      <c r="AF19" s="93">
        <f t="shared" si="9"/>
        <v>13</v>
      </c>
    </row>
    <row r="20" spans="1:32" ht="27" customHeight="1">
      <c r="A20" s="109">
        <v>14</v>
      </c>
      <c r="B20" s="11" t="s">
        <v>57</v>
      </c>
      <c r="C20" s="37" t="s">
        <v>119</v>
      </c>
      <c r="D20" s="55" t="s">
        <v>117</v>
      </c>
      <c r="E20" s="57" t="s">
        <v>316</v>
      </c>
      <c r="F20" s="12" t="s">
        <v>162</v>
      </c>
      <c r="G20" s="36">
        <v>1</v>
      </c>
      <c r="H20" s="38">
        <v>24</v>
      </c>
      <c r="I20" s="7">
        <v>7000</v>
      </c>
      <c r="J20" s="5">
        <v>4609</v>
      </c>
      <c r="K20" s="15">
        <f>L20+759</f>
        <v>5368</v>
      </c>
      <c r="L20" s="15">
        <f>2918+1691</f>
        <v>4609</v>
      </c>
      <c r="M20" s="16">
        <f t="shared" si="1"/>
        <v>4609</v>
      </c>
      <c r="N20" s="16">
        <v>0</v>
      </c>
      <c r="O20" s="62">
        <f t="shared" si="2"/>
        <v>0</v>
      </c>
      <c r="P20" s="42">
        <f t="shared" si="3"/>
        <v>22</v>
      </c>
      <c r="Q20" s="43">
        <f t="shared" si="4"/>
        <v>2</v>
      </c>
      <c r="R20" s="7"/>
      <c r="S20" s="6">
        <v>2</v>
      </c>
      <c r="T20" s="17"/>
      <c r="U20" s="17"/>
      <c r="V20" s="18"/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0.91666666666666663</v>
      </c>
      <c r="AD20" s="10">
        <f>AC20*AB20*(1-O20)</f>
        <v>0.91666666666666663</v>
      </c>
      <c r="AE20" s="39">
        <f t="shared" si="8"/>
        <v>0.52777777777777779</v>
      </c>
      <c r="AF20" s="93">
        <f t="shared" si="9"/>
        <v>14</v>
      </c>
    </row>
    <row r="21" spans="1:32" ht="27" customHeight="1" thickBot="1">
      <c r="A21" s="109">
        <v>15</v>
      </c>
      <c r="B21" s="11" t="s">
        <v>57</v>
      </c>
      <c r="C21" s="11" t="s">
        <v>115</v>
      </c>
      <c r="D21" s="55"/>
      <c r="E21" s="56" t="s">
        <v>353</v>
      </c>
      <c r="F21" s="12" t="s">
        <v>116</v>
      </c>
      <c r="G21" s="12">
        <v>4</v>
      </c>
      <c r="H21" s="38">
        <v>20</v>
      </c>
      <c r="I21" s="7">
        <v>30000</v>
      </c>
      <c r="J21" s="14">
        <v>27044</v>
      </c>
      <c r="K21" s="15">
        <f>L21+27044</f>
        <v>27044</v>
      </c>
      <c r="L21" s="15"/>
      <c r="M21" s="16">
        <f t="shared" si="1"/>
        <v>0</v>
      </c>
      <c r="N21" s="16">
        <v>0</v>
      </c>
      <c r="O21" s="62" t="str">
        <f t="shared" si="2"/>
        <v>0</v>
      </c>
      <c r="P21" s="42" t="str">
        <f t="shared" si="3"/>
        <v>0</v>
      </c>
      <c r="Q21" s="43">
        <f t="shared" si="4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5"/>
        <v>0</v>
      </c>
      <c r="AC21" s="9">
        <f t="shared" si="6"/>
        <v>0</v>
      </c>
      <c r="AD21" s="10">
        <f t="shared" si="7"/>
        <v>0</v>
      </c>
      <c r="AE21" s="39">
        <f t="shared" si="8"/>
        <v>0.52777777777777779</v>
      </c>
      <c r="AF21" s="93">
        <f t="shared" si="9"/>
        <v>15</v>
      </c>
    </row>
    <row r="22" spans="1:32" ht="31.5" customHeight="1" thickBot="1">
      <c r="A22" s="312" t="s">
        <v>34</v>
      </c>
      <c r="B22" s="313"/>
      <c r="C22" s="313"/>
      <c r="D22" s="313"/>
      <c r="E22" s="313"/>
      <c r="F22" s="313"/>
      <c r="G22" s="313"/>
      <c r="H22" s="314"/>
      <c r="I22" s="25">
        <f t="shared" ref="I22:N22" si="18">SUM(I6:I21)</f>
        <v>152750</v>
      </c>
      <c r="J22" s="22">
        <f t="shared" si="18"/>
        <v>80790</v>
      </c>
      <c r="K22" s="23">
        <f t="shared" si="18"/>
        <v>139763</v>
      </c>
      <c r="L22" s="24">
        <f t="shared" si="18"/>
        <v>50736</v>
      </c>
      <c r="M22" s="23">
        <f t="shared" si="18"/>
        <v>50736</v>
      </c>
      <c r="N22" s="24">
        <f t="shared" si="18"/>
        <v>0</v>
      </c>
      <c r="O22" s="44">
        <f t="shared" si="2"/>
        <v>0</v>
      </c>
      <c r="P22" s="45">
        <f t="shared" ref="P22:AA22" si="19">SUM(P6:P21)</f>
        <v>190</v>
      </c>
      <c r="Q22" s="46">
        <f t="shared" si="19"/>
        <v>194</v>
      </c>
      <c r="R22" s="26">
        <f t="shared" si="19"/>
        <v>48</v>
      </c>
      <c r="S22" s="27">
        <f t="shared" si="19"/>
        <v>5</v>
      </c>
      <c r="T22" s="27">
        <f t="shared" si="19"/>
        <v>0</v>
      </c>
      <c r="U22" s="27">
        <f t="shared" si="19"/>
        <v>0</v>
      </c>
      <c r="V22" s="28">
        <f t="shared" si="19"/>
        <v>0</v>
      </c>
      <c r="W22" s="29">
        <f t="shared" si="19"/>
        <v>141</v>
      </c>
      <c r="X22" s="30">
        <f t="shared" si="19"/>
        <v>0</v>
      </c>
      <c r="Y22" s="30">
        <f t="shared" si="19"/>
        <v>0</v>
      </c>
      <c r="Z22" s="30">
        <f t="shared" si="19"/>
        <v>0</v>
      </c>
      <c r="AA22" s="30">
        <f t="shared" si="19"/>
        <v>0</v>
      </c>
      <c r="AB22" s="31">
        <f>SUM(AB6:AB21)/15</f>
        <v>0.73333333333333328</v>
      </c>
      <c r="AC22" s="4">
        <f>SUM(AC6:AC21)/15</f>
        <v>0.52777777777777779</v>
      </c>
      <c r="AD22" s="4">
        <f>SUM(AD6:AD21)/15</f>
        <v>0.52777777777777779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15" t="s">
        <v>45</v>
      </c>
      <c r="B49" s="315"/>
      <c r="C49" s="315"/>
      <c r="D49" s="315"/>
      <c r="E49" s="31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16" t="s">
        <v>391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19" t="s">
        <v>394</v>
      </c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1"/>
    </row>
    <row r="51" spans="1:32" ht="27" customHeight="1">
      <c r="A51" s="322" t="s">
        <v>2</v>
      </c>
      <c r="B51" s="323"/>
      <c r="C51" s="286" t="s">
        <v>46</v>
      </c>
      <c r="D51" s="286" t="s">
        <v>47</v>
      </c>
      <c r="E51" s="286" t="s">
        <v>108</v>
      </c>
      <c r="F51" s="323" t="s">
        <v>107</v>
      </c>
      <c r="G51" s="323"/>
      <c r="H51" s="323"/>
      <c r="I51" s="323"/>
      <c r="J51" s="323"/>
      <c r="K51" s="323"/>
      <c r="L51" s="323"/>
      <c r="M51" s="324"/>
      <c r="N51" s="73" t="s">
        <v>112</v>
      </c>
      <c r="O51" s="286" t="s">
        <v>46</v>
      </c>
      <c r="P51" s="325" t="s">
        <v>47</v>
      </c>
      <c r="Q51" s="326"/>
      <c r="R51" s="325" t="s">
        <v>38</v>
      </c>
      <c r="S51" s="327"/>
      <c r="T51" s="327"/>
      <c r="U51" s="326"/>
      <c r="V51" s="325" t="s">
        <v>48</v>
      </c>
      <c r="W51" s="327"/>
      <c r="X51" s="327"/>
      <c r="Y51" s="327"/>
      <c r="Z51" s="327"/>
      <c r="AA51" s="327"/>
      <c r="AB51" s="327"/>
      <c r="AC51" s="327"/>
      <c r="AD51" s="328"/>
    </row>
    <row r="52" spans="1:32" ht="27" customHeight="1">
      <c r="A52" s="339" t="s">
        <v>180</v>
      </c>
      <c r="B52" s="340"/>
      <c r="C52" s="288" t="s">
        <v>276</v>
      </c>
      <c r="D52" s="288" t="s">
        <v>220</v>
      </c>
      <c r="E52" s="288" t="s">
        <v>221</v>
      </c>
      <c r="F52" s="341" t="s">
        <v>392</v>
      </c>
      <c r="G52" s="342"/>
      <c r="H52" s="342"/>
      <c r="I52" s="342"/>
      <c r="J52" s="342"/>
      <c r="K52" s="342"/>
      <c r="L52" s="342"/>
      <c r="M52" s="343"/>
      <c r="N52" s="287" t="s">
        <v>119</v>
      </c>
      <c r="O52" s="296" t="s">
        <v>136</v>
      </c>
      <c r="P52" s="340" t="s">
        <v>117</v>
      </c>
      <c r="Q52" s="340"/>
      <c r="R52" s="340" t="s">
        <v>316</v>
      </c>
      <c r="S52" s="340"/>
      <c r="T52" s="340"/>
      <c r="U52" s="340"/>
      <c r="V52" s="346" t="s">
        <v>392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119</v>
      </c>
      <c r="B53" s="340"/>
      <c r="C53" s="288" t="s">
        <v>136</v>
      </c>
      <c r="D53" s="288" t="s">
        <v>117</v>
      </c>
      <c r="E53" s="288" t="s">
        <v>316</v>
      </c>
      <c r="F53" s="341" t="s">
        <v>236</v>
      </c>
      <c r="G53" s="342"/>
      <c r="H53" s="342"/>
      <c r="I53" s="342"/>
      <c r="J53" s="342"/>
      <c r="K53" s="342"/>
      <c r="L53" s="342"/>
      <c r="M53" s="343"/>
      <c r="N53" s="287" t="s">
        <v>180</v>
      </c>
      <c r="O53" s="296" t="s">
        <v>186</v>
      </c>
      <c r="P53" s="340" t="s">
        <v>135</v>
      </c>
      <c r="Q53" s="340"/>
      <c r="R53" s="340" t="s">
        <v>395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119</v>
      </c>
      <c r="B54" s="340"/>
      <c r="C54" s="288" t="s">
        <v>188</v>
      </c>
      <c r="D54" s="288" t="s">
        <v>198</v>
      </c>
      <c r="E54" s="288" t="s">
        <v>328</v>
      </c>
      <c r="F54" s="341" t="s">
        <v>392</v>
      </c>
      <c r="G54" s="342"/>
      <c r="H54" s="342"/>
      <c r="I54" s="342"/>
      <c r="J54" s="342"/>
      <c r="K54" s="342"/>
      <c r="L54" s="342"/>
      <c r="M54" s="343"/>
      <c r="N54" s="287" t="s">
        <v>180</v>
      </c>
      <c r="O54" s="296" t="s">
        <v>199</v>
      </c>
      <c r="P54" s="340" t="s">
        <v>220</v>
      </c>
      <c r="Q54" s="340"/>
      <c r="R54" s="340" t="s">
        <v>396</v>
      </c>
      <c r="S54" s="340"/>
      <c r="T54" s="340"/>
      <c r="U54" s="340"/>
      <c r="V54" s="346" t="s">
        <v>131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114</v>
      </c>
      <c r="B55" s="340"/>
      <c r="C55" s="288" t="s">
        <v>184</v>
      </c>
      <c r="D55" s="288" t="s">
        <v>387</v>
      </c>
      <c r="E55" s="288" t="s">
        <v>388</v>
      </c>
      <c r="F55" s="341" t="s">
        <v>131</v>
      </c>
      <c r="G55" s="342"/>
      <c r="H55" s="342"/>
      <c r="I55" s="342"/>
      <c r="J55" s="342"/>
      <c r="K55" s="342"/>
      <c r="L55" s="342"/>
      <c r="M55" s="343"/>
      <c r="N55" s="287" t="s">
        <v>119</v>
      </c>
      <c r="O55" s="296" t="s">
        <v>188</v>
      </c>
      <c r="P55" s="344" t="s">
        <v>117</v>
      </c>
      <c r="Q55" s="345"/>
      <c r="R55" s="340" t="s">
        <v>129</v>
      </c>
      <c r="S55" s="340"/>
      <c r="T55" s="340"/>
      <c r="U55" s="340"/>
      <c r="V55" s="346" t="s">
        <v>131</v>
      </c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 t="s">
        <v>119</v>
      </c>
      <c r="B56" s="340"/>
      <c r="C56" s="288" t="s">
        <v>186</v>
      </c>
      <c r="D56" s="288" t="s">
        <v>135</v>
      </c>
      <c r="E56" s="288" t="s">
        <v>375</v>
      </c>
      <c r="F56" s="341" t="s">
        <v>131</v>
      </c>
      <c r="G56" s="342"/>
      <c r="H56" s="342"/>
      <c r="I56" s="342"/>
      <c r="J56" s="342"/>
      <c r="K56" s="342"/>
      <c r="L56" s="342"/>
      <c r="M56" s="343"/>
      <c r="N56" s="287"/>
      <c r="O56" s="296"/>
      <c r="P56" s="340"/>
      <c r="Q56" s="340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 t="s">
        <v>119</v>
      </c>
      <c r="B57" s="340"/>
      <c r="C57" s="288" t="s">
        <v>186</v>
      </c>
      <c r="D57" s="288" t="s">
        <v>393</v>
      </c>
      <c r="E57" s="288" t="s">
        <v>376</v>
      </c>
      <c r="F57" s="341" t="s">
        <v>131</v>
      </c>
      <c r="G57" s="342"/>
      <c r="H57" s="342"/>
      <c r="I57" s="342"/>
      <c r="J57" s="342"/>
      <c r="K57" s="342"/>
      <c r="L57" s="342"/>
      <c r="M57" s="343"/>
      <c r="N57" s="287"/>
      <c r="O57" s="296"/>
      <c r="P57" s="344"/>
      <c r="Q57" s="345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 t="s">
        <v>119</v>
      </c>
      <c r="B58" s="340"/>
      <c r="C58" s="288" t="s">
        <v>186</v>
      </c>
      <c r="D58" s="288" t="s">
        <v>377</v>
      </c>
      <c r="E58" s="288" t="s">
        <v>374</v>
      </c>
      <c r="F58" s="341" t="s">
        <v>131</v>
      </c>
      <c r="G58" s="342"/>
      <c r="H58" s="342"/>
      <c r="I58" s="342"/>
      <c r="J58" s="342"/>
      <c r="K58" s="342"/>
      <c r="L58" s="342"/>
      <c r="M58" s="343"/>
      <c r="N58" s="287"/>
      <c r="O58" s="296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288"/>
      <c r="D59" s="288"/>
      <c r="E59" s="288"/>
      <c r="F59" s="346"/>
      <c r="G59" s="346"/>
      <c r="H59" s="346"/>
      <c r="I59" s="346"/>
      <c r="J59" s="346"/>
      <c r="K59" s="346"/>
      <c r="L59" s="346"/>
      <c r="M59" s="347"/>
      <c r="N59" s="287"/>
      <c r="O59" s="296"/>
      <c r="P59" s="344"/>
      <c r="Q59" s="345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</row>
    <row r="60" spans="1:32" ht="27" customHeight="1">
      <c r="A60" s="339"/>
      <c r="B60" s="340"/>
      <c r="C60" s="288"/>
      <c r="D60" s="288"/>
      <c r="E60" s="288"/>
      <c r="F60" s="341"/>
      <c r="G60" s="342"/>
      <c r="H60" s="342"/>
      <c r="I60" s="342"/>
      <c r="J60" s="342"/>
      <c r="K60" s="342"/>
      <c r="L60" s="342"/>
      <c r="M60" s="343"/>
      <c r="N60" s="287"/>
      <c r="O60" s="296"/>
      <c r="P60" s="340"/>
      <c r="Q60" s="340"/>
      <c r="R60" s="340"/>
      <c r="S60" s="340"/>
      <c r="T60" s="340"/>
      <c r="U60" s="340"/>
      <c r="V60" s="346"/>
      <c r="W60" s="346"/>
      <c r="X60" s="346"/>
      <c r="Y60" s="346"/>
      <c r="Z60" s="346"/>
      <c r="AA60" s="346"/>
      <c r="AB60" s="346"/>
      <c r="AC60" s="346"/>
      <c r="AD60" s="347"/>
      <c r="AF60" s="93">
        <f>8*3000</f>
        <v>24000</v>
      </c>
    </row>
    <row r="61" spans="1:32" ht="27" customHeight="1" thickBot="1">
      <c r="A61" s="348"/>
      <c r="B61" s="349"/>
      <c r="C61" s="290"/>
      <c r="D61" s="290"/>
      <c r="E61" s="290"/>
      <c r="F61" s="350"/>
      <c r="G61" s="350"/>
      <c r="H61" s="350"/>
      <c r="I61" s="350"/>
      <c r="J61" s="350"/>
      <c r="K61" s="350"/>
      <c r="L61" s="350"/>
      <c r="M61" s="351"/>
      <c r="N61" s="289"/>
      <c r="O61" s="120"/>
      <c r="P61" s="349"/>
      <c r="Q61" s="349"/>
      <c r="R61" s="349"/>
      <c r="S61" s="349"/>
      <c r="T61" s="349"/>
      <c r="U61" s="349"/>
      <c r="V61" s="352"/>
      <c r="W61" s="352"/>
      <c r="X61" s="352"/>
      <c r="Y61" s="352"/>
      <c r="Z61" s="352"/>
      <c r="AA61" s="352"/>
      <c r="AB61" s="352"/>
      <c r="AC61" s="352"/>
      <c r="AD61" s="353"/>
      <c r="AF61" s="93">
        <f>16*3000</f>
        <v>48000</v>
      </c>
    </row>
    <row r="62" spans="1:32" ht="27.75" thickBot="1">
      <c r="A62" s="354" t="s">
        <v>397</v>
      </c>
      <c r="B62" s="354"/>
      <c r="C62" s="354"/>
      <c r="D62" s="354"/>
      <c r="E62" s="35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55" t="s">
        <v>113</v>
      </c>
      <c r="B63" s="356"/>
      <c r="C63" s="291" t="s">
        <v>2</v>
      </c>
      <c r="D63" s="291" t="s">
        <v>37</v>
      </c>
      <c r="E63" s="291" t="s">
        <v>3</v>
      </c>
      <c r="F63" s="356" t="s">
        <v>110</v>
      </c>
      <c r="G63" s="356"/>
      <c r="H63" s="356"/>
      <c r="I63" s="356"/>
      <c r="J63" s="356"/>
      <c r="K63" s="356" t="s">
        <v>39</v>
      </c>
      <c r="L63" s="356"/>
      <c r="M63" s="291" t="s">
        <v>40</v>
      </c>
      <c r="N63" s="356" t="s">
        <v>41</v>
      </c>
      <c r="O63" s="356"/>
      <c r="P63" s="357" t="s">
        <v>42</v>
      </c>
      <c r="Q63" s="358"/>
      <c r="R63" s="357" t="s">
        <v>43</v>
      </c>
      <c r="S63" s="359"/>
      <c r="T63" s="359"/>
      <c r="U63" s="359"/>
      <c r="V63" s="359"/>
      <c r="W63" s="359"/>
      <c r="X63" s="359"/>
      <c r="Y63" s="359"/>
      <c r="Z63" s="359"/>
      <c r="AA63" s="358"/>
      <c r="AB63" s="356" t="s">
        <v>44</v>
      </c>
      <c r="AC63" s="356"/>
      <c r="AD63" s="360"/>
      <c r="AF63" s="93">
        <f>SUM(AF60:AF62)</f>
        <v>96000</v>
      </c>
    </row>
    <row r="64" spans="1:32" ht="25.5" customHeight="1">
      <c r="A64" s="361">
        <v>1</v>
      </c>
      <c r="B64" s="362"/>
      <c r="C64" s="123" t="s">
        <v>180</v>
      </c>
      <c r="D64" s="294"/>
      <c r="E64" s="292" t="s">
        <v>135</v>
      </c>
      <c r="F64" s="363" t="s">
        <v>279</v>
      </c>
      <c r="G64" s="364"/>
      <c r="H64" s="364"/>
      <c r="I64" s="364"/>
      <c r="J64" s="364"/>
      <c r="K64" s="364" t="s">
        <v>231</v>
      </c>
      <c r="L64" s="364"/>
      <c r="M64" s="54" t="s">
        <v>223</v>
      </c>
      <c r="N64" s="411" t="s">
        <v>184</v>
      </c>
      <c r="O64" s="411"/>
      <c r="P64" s="365">
        <v>100</v>
      </c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2</v>
      </c>
      <c r="B65" s="362"/>
      <c r="C65" s="123"/>
      <c r="D65" s="294"/>
      <c r="E65" s="292"/>
      <c r="F65" s="363"/>
      <c r="G65" s="364"/>
      <c r="H65" s="364"/>
      <c r="I65" s="364"/>
      <c r="J65" s="364"/>
      <c r="K65" s="364"/>
      <c r="L65" s="364"/>
      <c r="M65" s="54"/>
      <c r="N65" s="364"/>
      <c r="O65" s="364"/>
      <c r="P65" s="365"/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3</v>
      </c>
      <c r="B66" s="362"/>
      <c r="C66" s="123"/>
      <c r="D66" s="294"/>
      <c r="E66" s="292"/>
      <c r="F66" s="363"/>
      <c r="G66" s="364"/>
      <c r="H66" s="364"/>
      <c r="I66" s="364"/>
      <c r="J66" s="364"/>
      <c r="K66" s="364"/>
      <c r="L66" s="364"/>
      <c r="M66" s="54"/>
      <c r="N66" s="364"/>
      <c r="O66" s="364"/>
      <c r="P66" s="365"/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4</v>
      </c>
      <c r="B67" s="362"/>
      <c r="C67" s="123"/>
      <c r="D67" s="294"/>
      <c r="E67" s="292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5</v>
      </c>
      <c r="B68" s="362"/>
      <c r="C68" s="123"/>
      <c r="D68" s="294"/>
      <c r="E68" s="292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6</v>
      </c>
      <c r="B69" s="362"/>
      <c r="C69" s="123"/>
      <c r="D69" s="294"/>
      <c r="E69" s="292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7</v>
      </c>
      <c r="B70" s="362"/>
      <c r="C70" s="123"/>
      <c r="D70" s="294"/>
      <c r="E70" s="292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5.5" customHeight="1">
      <c r="A71" s="361">
        <v>8</v>
      </c>
      <c r="B71" s="362"/>
      <c r="C71" s="123"/>
      <c r="D71" s="294"/>
      <c r="E71" s="292"/>
      <c r="F71" s="363"/>
      <c r="G71" s="364"/>
      <c r="H71" s="364"/>
      <c r="I71" s="364"/>
      <c r="J71" s="364"/>
      <c r="K71" s="364"/>
      <c r="L71" s="364"/>
      <c r="M71" s="54"/>
      <c r="N71" s="364"/>
      <c r="O71" s="364"/>
      <c r="P71" s="365"/>
      <c r="Q71" s="365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64"/>
      <c r="AC71" s="364"/>
      <c r="AD71" s="366"/>
      <c r="AF71" s="53"/>
    </row>
    <row r="72" spans="1:32" ht="26.25" customHeight="1" thickBot="1">
      <c r="A72" s="367" t="s">
        <v>398</v>
      </c>
      <c r="B72" s="367"/>
      <c r="C72" s="367"/>
      <c r="D72" s="367"/>
      <c r="E72" s="36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8" t="s">
        <v>113</v>
      </c>
      <c r="B73" s="369"/>
      <c r="C73" s="293" t="s">
        <v>2</v>
      </c>
      <c r="D73" s="293" t="s">
        <v>37</v>
      </c>
      <c r="E73" s="293" t="s">
        <v>3</v>
      </c>
      <c r="F73" s="369" t="s">
        <v>38</v>
      </c>
      <c r="G73" s="369"/>
      <c r="H73" s="369"/>
      <c r="I73" s="369"/>
      <c r="J73" s="369"/>
      <c r="K73" s="370" t="s">
        <v>58</v>
      </c>
      <c r="L73" s="371"/>
      <c r="M73" s="371"/>
      <c r="N73" s="371"/>
      <c r="O73" s="371"/>
      <c r="P73" s="371"/>
      <c r="Q73" s="371"/>
      <c r="R73" s="371"/>
      <c r="S73" s="372"/>
      <c r="T73" s="369" t="s">
        <v>49</v>
      </c>
      <c r="U73" s="369"/>
      <c r="V73" s="370" t="s">
        <v>50</v>
      </c>
      <c r="W73" s="372"/>
      <c r="X73" s="371" t="s">
        <v>51</v>
      </c>
      <c r="Y73" s="371"/>
      <c r="Z73" s="371"/>
      <c r="AA73" s="371"/>
      <c r="AB73" s="371"/>
      <c r="AC73" s="371"/>
      <c r="AD73" s="373"/>
      <c r="AF73" s="53"/>
    </row>
    <row r="74" spans="1:32" ht="33.75" customHeight="1">
      <c r="A74" s="382">
        <v>1</v>
      </c>
      <c r="B74" s="383"/>
      <c r="C74" s="295" t="s">
        <v>114</v>
      </c>
      <c r="D74" s="295"/>
      <c r="E74" s="71" t="s">
        <v>122</v>
      </c>
      <c r="F74" s="384" t="s">
        <v>121</v>
      </c>
      <c r="G74" s="385"/>
      <c r="H74" s="385"/>
      <c r="I74" s="385"/>
      <c r="J74" s="386"/>
      <c r="K74" s="387" t="s">
        <v>123</v>
      </c>
      <c r="L74" s="388"/>
      <c r="M74" s="388"/>
      <c r="N74" s="388"/>
      <c r="O74" s="388"/>
      <c r="P74" s="388"/>
      <c r="Q74" s="388"/>
      <c r="R74" s="388"/>
      <c r="S74" s="389"/>
      <c r="T74" s="390">
        <v>43384</v>
      </c>
      <c r="U74" s="391"/>
      <c r="V74" s="392"/>
      <c r="W74" s="392"/>
      <c r="X74" s="393"/>
      <c r="Y74" s="393"/>
      <c r="Z74" s="393"/>
      <c r="AA74" s="393"/>
      <c r="AB74" s="393"/>
      <c r="AC74" s="393"/>
      <c r="AD74" s="394"/>
      <c r="AF74" s="53"/>
    </row>
    <row r="75" spans="1:32" ht="30" customHeight="1">
      <c r="A75" s="374">
        <f>A74+1</f>
        <v>2</v>
      </c>
      <c r="B75" s="375"/>
      <c r="C75" s="294"/>
      <c r="D75" s="294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ref="A76:A82" si="20">A75+1</f>
        <v>3</v>
      </c>
      <c r="B76" s="375"/>
      <c r="C76" s="294"/>
      <c r="D76" s="294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20"/>
        <v>4</v>
      </c>
      <c r="B77" s="375"/>
      <c r="C77" s="294"/>
      <c r="D77" s="294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20"/>
        <v>5</v>
      </c>
      <c r="B78" s="375"/>
      <c r="C78" s="294"/>
      <c r="D78" s="294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20"/>
        <v>6</v>
      </c>
      <c r="B79" s="375"/>
      <c r="C79" s="294"/>
      <c r="D79" s="294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20"/>
        <v>7</v>
      </c>
      <c r="B80" s="375"/>
      <c r="C80" s="294"/>
      <c r="D80" s="294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20"/>
        <v>8</v>
      </c>
      <c r="B81" s="375"/>
      <c r="C81" s="294"/>
      <c r="D81" s="294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0" customHeight="1">
      <c r="A82" s="374">
        <f t="shared" si="20"/>
        <v>9</v>
      </c>
      <c r="B82" s="375"/>
      <c r="C82" s="294"/>
      <c r="D82" s="294"/>
      <c r="E82" s="35"/>
      <c r="F82" s="375"/>
      <c r="G82" s="375"/>
      <c r="H82" s="375"/>
      <c r="I82" s="375"/>
      <c r="J82" s="375"/>
      <c r="K82" s="376"/>
      <c r="L82" s="377"/>
      <c r="M82" s="377"/>
      <c r="N82" s="377"/>
      <c r="O82" s="377"/>
      <c r="P82" s="377"/>
      <c r="Q82" s="377"/>
      <c r="R82" s="377"/>
      <c r="S82" s="378"/>
      <c r="T82" s="379"/>
      <c r="U82" s="379"/>
      <c r="V82" s="379"/>
      <c r="W82" s="379"/>
      <c r="X82" s="380"/>
      <c r="Y82" s="380"/>
      <c r="Z82" s="380"/>
      <c r="AA82" s="380"/>
      <c r="AB82" s="380"/>
      <c r="AC82" s="380"/>
      <c r="AD82" s="381"/>
      <c r="AF82" s="53"/>
    </row>
    <row r="83" spans="1:32" ht="36" thickBot="1">
      <c r="A83" s="367" t="s">
        <v>399</v>
      </c>
      <c r="B83" s="367"/>
      <c r="C83" s="367"/>
      <c r="D83" s="367"/>
      <c r="E83" s="36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68" t="s">
        <v>113</v>
      </c>
      <c r="B84" s="369"/>
      <c r="C84" s="395" t="s">
        <v>52</v>
      </c>
      <c r="D84" s="395"/>
      <c r="E84" s="395" t="s">
        <v>53</v>
      </c>
      <c r="F84" s="395"/>
      <c r="G84" s="395"/>
      <c r="H84" s="395"/>
      <c r="I84" s="395"/>
      <c r="J84" s="395"/>
      <c r="K84" s="395" t="s">
        <v>54</v>
      </c>
      <c r="L84" s="395"/>
      <c r="M84" s="395"/>
      <c r="N84" s="395"/>
      <c r="O84" s="395"/>
      <c r="P84" s="395"/>
      <c r="Q84" s="395"/>
      <c r="R84" s="395"/>
      <c r="S84" s="395"/>
      <c r="T84" s="395" t="s">
        <v>55</v>
      </c>
      <c r="U84" s="395"/>
      <c r="V84" s="395" t="s">
        <v>56</v>
      </c>
      <c r="W84" s="395"/>
      <c r="X84" s="395"/>
      <c r="Y84" s="395" t="s">
        <v>51</v>
      </c>
      <c r="Z84" s="395"/>
      <c r="AA84" s="395"/>
      <c r="AB84" s="395"/>
      <c r="AC84" s="395"/>
      <c r="AD84" s="396"/>
      <c r="AF84" s="53"/>
    </row>
    <row r="85" spans="1:32" ht="30.75" customHeight="1">
      <c r="A85" s="382">
        <v>1</v>
      </c>
      <c r="B85" s="383"/>
      <c r="C85" s="397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8"/>
      <c r="W85" s="398"/>
      <c r="X85" s="398"/>
      <c r="Y85" s="399"/>
      <c r="Z85" s="399"/>
      <c r="AA85" s="399"/>
      <c r="AB85" s="399"/>
      <c r="AC85" s="399"/>
      <c r="AD85" s="400"/>
      <c r="AF85" s="53"/>
    </row>
    <row r="86" spans="1:32" ht="30.75" customHeight="1">
      <c r="A86" s="374">
        <v>2</v>
      </c>
      <c r="B86" s="375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9"/>
      <c r="U86" s="409"/>
      <c r="V86" s="410"/>
      <c r="W86" s="410"/>
      <c r="X86" s="410"/>
      <c r="Y86" s="401"/>
      <c r="Z86" s="401"/>
      <c r="AA86" s="401"/>
      <c r="AB86" s="401"/>
      <c r="AC86" s="401"/>
      <c r="AD86" s="402"/>
      <c r="AF86" s="53"/>
    </row>
    <row r="87" spans="1:32" ht="30.75" customHeight="1" thickBot="1">
      <c r="A87" s="403">
        <v>3</v>
      </c>
      <c r="B87" s="404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6"/>
      <c r="Z87" s="406"/>
      <c r="AA87" s="406"/>
      <c r="AB87" s="406"/>
      <c r="AC87" s="406"/>
      <c r="AD87" s="407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8396-3016-4BCA-90DD-5DF044227586}">
  <sheetPr>
    <pageSetUpPr fitToPage="1"/>
  </sheetPr>
  <dimension ref="A1:AF86"/>
  <sheetViews>
    <sheetView topLeftCell="A46" zoomScale="72" zoomScaleNormal="72" zoomScaleSheetLayoutView="70" workbookViewId="0">
      <selection activeCell="M15" sqref="M1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160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141" t="s">
        <v>17</v>
      </c>
      <c r="L5" s="141" t="s">
        <v>18</v>
      </c>
      <c r="M5" s="141" t="s">
        <v>19</v>
      </c>
      <c r="N5" s="14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15" si="0">L6</f>
        <v>0</v>
      </c>
      <c r="L6" s="15"/>
      <c r="M6" s="16">
        <f t="shared" ref="M6:M20" si="1">L6-N6</f>
        <v>0</v>
      </c>
      <c r="N6" s="16">
        <v>0</v>
      </c>
      <c r="O6" s="62" t="str">
        <f t="shared" ref="O6:O21" si="2">IF(L6=0,"0",N6/L6)</f>
        <v>0</v>
      </c>
      <c r="P6" s="42" t="str">
        <f t="shared" ref="P6:P20" si="3">IF(L6=0,"0",(24-Q6))</f>
        <v>0</v>
      </c>
      <c r="Q6" s="43">
        <f t="shared" ref="Q6:Q20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9">
        <f t="shared" ref="AE6:AE20" si="8">$AD$21</f>
        <v>0</v>
      </c>
      <c r="AF6" s="93">
        <f t="shared" ref="AF6:AF20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</v>
      </c>
      <c r="AF7" s="93">
        <f t="shared" si="9"/>
        <v>2</v>
      </c>
    </row>
    <row r="8" spans="1:32" ht="27" customHeight="1">
      <c r="A8" s="108">
        <v>3</v>
      </c>
      <c r="B8" s="11" t="s">
        <v>57</v>
      </c>
      <c r="C8" s="37" t="s">
        <v>119</v>
      </c>
      <c r="D8" s="55" t="s">
        <v>139</v>
      </c>
      <c r="E8" s="57" t="s">
        <v>140</v>
      </c>
      <c r="F8" s="33" t="s">
        <v>124</v>
      </c>
      <c r="G8" s="36" t="s">
        <v>138</v>
      </c>
      <c r="H8" s="38">
        <v>24</v>
      </c>
      <c r="I8" s="7">
        <v>1300</v>
      </c>
      <c r="J8" s="5">
        <v>1570</v>
      </c>
      <c r="K8" s="15">
        <f>L8+1570</f>
        <v>1570</v>
      </c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14</v>
      </c>
      <c r="R8" s="7"/>
      <c r="S8" s="6"/>
      <c r="T8" s="17"/>
      <c r="U8" s="17"/>
      <c r="V8" s="18"/>
      <c r="W8" s="19">
        <v>14</v>
      </c>
      <c r="X8" s="17"/>
      <c r="Y8" s="20"/>
      <c r="Z8" s="20"/>
      <c r="AA8" s="21"/>
      <c r="AB8" s="8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</v>
      </c>
      <c r="AF8" s="93">
        <f t="shared" si="9"/>
        <v>3</v>
      </c>
    </row>
    <row r="9" spans="1:32" ht="27" customHeight="1">
      <c r="A9" s="109">
        <v>4</v>
      </c>
      <c r="B9" s="11"/>
      <c r="C9" s="11"/>
      <c r="D9" s="55"/>
      <c r="E9" s="57"/>
      <c r="F9" s="33"/>
      <c r="G9" s="36"/>
      <c r="H9" s="38"/>
      <c r="I9" s="7"/>
      <c r="J9" s="14">
        <v>0</v>
      </c>
      <c r="K9" s="15">
        <f t="shared" si="0"/>
        <v>0</v>
      </c>
      <c r="L9" s="15"/>
      <c r="M9" s="16">
        <f t="shared" si="1"/>
        <v>0</v>
      </c>
      <c r="N9" s="16">
        <v>0</v>
      </c>
      <c r="O9" s="62" t="str">
        <f t="shared" si="2"/>
        <v>0</v>
      </c>
      <c r="P9" s="42" t="str">
        <f t="shared" si="3"/>
        <v>0</v>
      </c>
      <c r="Q9" s="43">
        <f t="shared" si="4"/>
        <v>24</v>
      </c>
      <c r="R9" s="7"/>
      <c r="S9" s="6"/>
      <c r="T9" s="17"/>
      <c r="U9" s="17"/>
      <c r="V9" s="18"/>
      <c r="W9" s="19"/>
      <c r="X9" s="17"/>
      <c r="Y9" s="20"/>
      <c r="Z9" s="20"/>
      <c r="AA9" s="21">
        <v>24</v>
      </c>
      <c r="AB9" s="8" t="str">
        <f t="shared" si="5"/>
        <v>0</v>
      </c>
      <c r="AC9" s="9">
        <f t="shared" si="6"/>
        <v>0</v>
      </c>
      <c r="AD9" s="10">
        <f t="shared" si="7"/>
        <v>0</v>
      </c>
      <c r="AE9" s="39">
        <f t="shared" si="8"/>
        <v>0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149</v>
      </c>
      <c r="D10" s="55"/>
      <c r="E10" s="57" t="s">
        <v>154</v>
      </c>
      <c r="F10" s="12">
        <v>7301</v>
      </c>
      <c r="G10" s="12">
        <v>1</v>
      </c>
      <c r="H10" s="13">
        <v>24</v>
      </c>
      <c r="I10" s="7">
        <v>2000</v>
      </c>
      <c r="J10" s="14">
        <v>6301</v>
      </c>
      <c r="K10" s="15">
        <f>L10+6301</f>
        <v>6301</v>
      </c>
      <c r="L10" s="15"/>
      <c r="M10" s="16">
        <f t="shared" si="1"/>
        <v>0</v>
      </c>
      <c r="N10" s="16">
        <v>0</v>
      </c>
      <c r="O10" s="62" t="str">
        <f t="shared" si="2"/>
        <v>0</v>
      </c>
      <c r="P10" s="42" t="str">
        <f t="shared" si="3"/>
        <v>0</v>
      </c>
      <c r="Q10" s="43">
        <f t="shared" si="4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5"/>
        <v>0</v>
      </c>
      <c r="AC10" s="9">
        <f t="shared" si="6"/>
        <v>0</v>
      </c>
      <c r="AD10" s="10">
        <f t="shared" si="7"/>
        <v>0</v>
      </c>
      <c r="AE10" s="39">
        <f t="shared" si="8"/>
        <v>0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119</v>
      </c>
      <c r="D11" s="55" t="s">
        <v>135</v>
      </c>
      <c r="E11" s="57" t="s">
        <v>145</v>
      </c>
      <c r="F11" s="12" t="s">
        <v>125</v>
      </c>
      <c r="G11" s="12">
        <v>2</v>
      </c>
      <c r="H11" s="13">
        <v>22</v>
      </c>
      <c r="I11" s="7">
        <v>12000</v>
      </c>
      <c r="J11" s="14">
        <v>12728</v>
      </c>
      <c r="K11" s="15">
        <f>L11+12728</f>
        <v>12728</v>
      </c>
      <c r="L11" s="15"/>
      <c r="M11" s="16">
        <f t="shared" si="1"/>
        <v>0</v>
      </c>
      <c r="N11" s="16">
        <v>0</v>
      </c>
      <c r="O11" s="62" t="str">
        <f t="shared" si="2"/>
        <v>0</v>
      </c>
      <c r="P11" s="42" t="str">
        <f t="shared" si="3"/>
        <v>0</v>
      </c>
      <c r="Q11" s="43">
        <f t="shared" si="4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5"/>
        <v>0</v>
      </c>
      <c r="AC11" s="9">
        <f t="shared" si="6"/>
        <v>0</v>
      </c>
      <c r="AD11" s="10">
        <f t="shared" si="7"/>
        <v>0</v>
      </c>
      <c r="AE11" s="39">
        <f t="shared" si="8"/>
        <v>0</v>
      </c>
      <c r="AF11" s="93">
        <f t="shared" si="9"/>
        <v>6</v>
      </c>
    </row>
    <row r="12" spans="1:32" ht="27" customHeight="1">
      <c r="A12" s="109">
        <v>7</v>
      </c>
      <c r="B12" s="11"/>
      <c r="C12" s="11"/>
      <c r="D12" s="55"/>
      <c r="E12" s="57"/>
      <c r="F12" s="33"/>
      <c r="G12" s="36"/>
      <c r="H12" s="38"/>
      <c r="I12" s="7"/>
      <c r="J12" s="14"/>
      <c r="K12" s="15"/>
      <c r="L12" s="15"/>
      <c r="M12" s="16">
        <f t="shared" si="1"/>
        <v>0</v>
      </c>
      <c r="N12" s="16">
        <v>0</v>
      </c>
      <c r="O12" s="62" t="str">
        <f t="shared" si="2"/>
        <v>0</v>
      </c>
      <c r="P12" s="42" t="str">
        <f t="shared" si="3"/>
        <v>0</v>
      </c>
      <c r="Q12" s="43">
        <f t="shared" si="4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 t="str">
        <f t="shared" si="5"/>
        <v>0</v>
      </c>
      <c r="AC12" s="9">
        <f t="shared" si="6"/>
        <v>0</v>
      </c>
      <c r="AD12" s="10">
        <f t="shared" si="7"/>
        <v>0</v>
      </c>
      <c r="AE12" s="39">
        <f t="shared" si="8"/>
        <v>0</v>
      </c>
      <c r="AF12" s="93">
        <f t="shared" si="9"/>
        <v>7</v>
      </c>
    </row>
    <row r="13" spans="1:32" ht="27" customHeight="1">
      <c r="A13" s="109">
        <v>8</v>
      </c>
      <c r="B13" s="11" t="s">
        <v>57</v>
      </c>
      <c r="C13" s="11" t="s">
        <v>142</v>
      </c>
      <c r="D13" s="55" t="s">
        <v>151</v>
      </c>
      <c r="E13" s="57" t="s">
        <v>152</v>
      </c>
      <c r="F13" s="33" t="s">
        <v>127</v>
      </c>
      <c r="G13" s="36">
        <v>1</v>
      </c>
      <c r="H13" s="38">
        <v>40</v>
      </c>
      <c r="I13" s="7">
        <v>3000</v>
      </c>
      <c r="J13" s="14">
        <v>3272</v>
      </c>
      <c r="K13" s="15">
        <f>L13+3005+3272</f>
        <v>6277</v>
      </c>
      <c r="L13" s="15"/>
      <c r="M13" s="16">
        <f t="shared" si="1"/>
        <v>0</v>
      </c>
      <c r="N13" s="16">
        <v>0</v>
      </c>
      <c r="O13" s="62" t="str">
        <f t="shared" si="2"/>
        <v>0</v>
      </c>
      <c r="P13" s="42" t="str">
        <f t="shared" si="3"/>
        <v>0</v>
      </c>
      <c r="Q13" s="43">
        <f t="shared" si="4"/>
        <v>7</v>
      </c>
      <c r="R13" s="7"/>
      <c r="S13" s="6"/>
      <c r="T13" s="17"/>
      <c r="U13" s="17"/>
      <c r="V13" s="18"/>
      <c r="W13" s="19">
        <v>7</v>
      </c>
      <c r="X13" s="17"/>
      <c r="Y13" s="20"/>
      <c r="Z13" s="20"/>
      <c r="AA13" s="21"/>
      <c r="AB13" s="8">
        <f t="shared" si="5"/>
        <v>0</v>
      </c>
      <c r="AC13" s="9">
        <f t="shared" si="6"/>
        <v>0</v>
      </c>
      <c r="AD13" s="10">
        <f t="shared" si="7"/>
        <v>0</v>
      </c>
      <c r="AE13" s="39">
        <f t="shared" si="8"/>
        <v>0</v>
      </c>
      <c r="AF13" s="93">
        <f t="shared" si="9"/>
        <v>8</v>
      </c>
    </row>
    <row r="14" spans="1:32" ht="27" customHeight="1">
      <c r="A14" s="125">
        <v>9</v>
      </c>
      <c r="B14" s="11"/>
      <c r="C14" s="37"/>
      <c r="D14" s="55"/>
      <c r="E14" s="57"/>
      <c r="F14" s="33"/>
      <c r="G14" s="36"/>
      <c r="H14" s="38"/>
      <c r="I14" s="7"/>
      <c r="J14" s="5">
        <v>0</v>
      </c>
      <c r="K14" s="15">
        <f t="shared" si="0"/>
        <v>0</v>
      </c>
      <c r="L14" s="15"/>
      <c r="M14" s="16">
        <f t="shared" si="1"/>
        <v>0</v>
      </c>
      <c r="N14" s="16">
        <v>0</v>
      </c>
      <c r="O14" s="62" t="str">
        <f t="shared" si="2"/>
        <v>0</v>
      </c>
      <c r="P14" s="42" t="str">
        <f t="shared" si="3"/>
        <v>0</v>
      </c>
      <c r="Q14" s="43">
        <f t="shared" si="4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9">
        <f t="shared" si="8"/>
        <v>0</v>
      </c>
      <c r="AF14" s="93">
        <f t="shared" si="9"/>
        <v>9</v>
      </c>
    </row>
    <row r="15" spans="1:32" ht="27" customHeight="1">
      <c r="A15" s="108">
        <v>10</v>
      </c>
      <c r="B15" s="11"/>
      <c r="C15" s="37"/>
      <c r="D15" s="55"/>
      <c r="E15" s="57"/>
      <c r="F15" s="12"/>
      <c r="G15" s="12"/>
      <c r="H15" s="13"/>
      <c r="I15" s="34"/>
      <c r="J15" s="14">
        <v>0</v>
      </c>
      <c r="K15" s="15">
        <f t="shared" si="0"/>
        <v>0</v>
      </c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</v>
      </c>
      <c r="AF15" s="93">
        <f t="shared" si="9"/>
        <v>10</v>
      </c>
    </row>
    <row r="16" spans="1:32" ht="27" customHeight="1">
      <c r="A16" s="108">
        <v>11</v>
      </c>
      <c r="B16" s="11" t="s">
        <v>57</v>
      </c>
      <c r="C16" s="11" t="s">
        <v>149</v>
      </c>
      <c r="D16" s="55"/>
      <c r="E16" s="57" t="s">
        <v>150</v>
      </c>
      <c r="F16" s="12">
        <v>7301</v>
      </c>
      <c r="G16" s="12">
        <v>1</v>
      </c>
      <c r="H16" s="13">
        <v>24</v>
      </c>
      <c r="I16" s="7">
        <v>2000</v>
      </c>
      <c r="J16" s="14">
        <v>3121</v>
      </c>
      <c r="K16" s="15">
        <f>L16+5204+3121</f>
        <v>8325</v>
      </c>
      <c r="L16" s="15"/>
      <c r="M16" s="16">
        <f t="shared" si="1"/>
        <v>0</v>
      </c>
      <c r="N16" s="16">
        <v>0</v>
      </c>
      <c r="O16" s="62" t="str">
        <f t="shared" si="2"/>
        <v>0</v>
      </c>
      <c r="P16" s="42" t="str">
        <f t="shared" si="3"/>
        <v>0</v>
      </c>
      <c r="Q16" s="43">
        <f t="shared" si="4"/>
        <v>6</v>
      </c>
      <c r="R16" s="7"/>
      <c r="S16" s="6"/>
      <c r="T16" s="17"/>
      <c r="U16" s="17"/>
      <c r="V16" s="18"/>
      <c r="W16" s="19">
        <v>6</v>
      </c>
      <c r="X16" s="17"/>
      <c r="Y16" s="20"/>
      <c r="Z16" s="20"/>
      <c r="AA16" s="21"/>
      <c r="AB16" s="8">
        <f t="shared" si="5"/>
        <v>0</v>
      </c>
      <c r="AC16" s="9">
        <f t="shared" si="6"/>
        <v>0</v>
      </c>
      <c r="AD16" s="10">
        <f t="shared" si="7"/>
        <v>0</v>
      </c>
      <c r="AE16" s="39">
        <f t="shared" si="8"/>
        <v>0</v>
      </c>
      <c r="AF16" s="93">
        <f t="shared" si="9"/>
        <v>11</v>
      </c>
    </row>
    <row r="17" spans="1:32" ht="27" customHeight="1">
      <c r="A17" s="108">
        <v>12</v>
      </c>
      <c r="B17" s="11" t="s">
        <v>57</v>
      </c>
      <c r="C17" s="37" t="s">
        <v>119</v>
      </c>
      <c r="D17" s="55" t="s">
        <v>120</v>
      </c>
      <c r="E17" s="57" t="s">
        <v>144</v>
      </c>
      <c r="F17" s="12" t="s">
        <v>125</v>
      </c>
      <c r="G17" s="12">
        <v>1</v>
      </c>
      <c r="H17" s="13">
        <v>24</v>
      </c>
      <c r="I17" s="34">
        <v>6000</v>
      </c>
      <c r="J17" s="14">
        <v>6451</v>
      </c>
      <c r="K17" s="15">
        <f>L17+6451</f>
        <v>6451</v>
      </c>
      <c r="L17" s="15"/>
      <c r="M17" s="16">
        <f t="shared" si="1"/>
        <v>0</v>
      </c>
      <c r="N17" s="16">
        <v>0</v>
      </c>
      <c r="O17" s="62" t="str">
        <f t="shared" si="2"/>
        <v>0</v>
      </c>
      <c r="P17" s="42" t="str">
        <f t="shared" si="3"/>
        <v>0</v>
      </c>
      <c r="Q17" s="43">
        <f t="shared" si="4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5"/>
        <v>0</v>
      </c>
      <c r="AC17" s="9">
        <f t="shared" si="6"/>
        <v>0</v>
      </c>
      <c r="AD17" s="10">
        <f t="shared" si="7"/>
        <v>0</v>
      </c>
      <c r="AE17" s="39">
        <f t="shared" si="8"/>
        <v>0</v>
      </c>
      <c r="AF17" s="93">
        <f t="shared" si="9"/>
        <v>12</v>
      </c>
    </row>
    <row r="18" spans="1:32" ht="27" customHeight="1">
      <c r="A18" s="109">
        <v>13</v>
      </c>
      <c r="B18" s="11" t="s">
        <v>57</v>
      </c>
      <c r="C18" s="37" t="s">
        <v>155</v>
      </c>
      <c r="D18" s="55"/>
      <c r="E18" s="57" t="s">
        <v>156</v>
      </c>
      <c r="F18" s="33" t="s">
        <v>157</v>
      </c>
      <c r="G18" s="36">
        <v>2</v>
      </c>
      <c r="H18" s="38">
        <v>25</v>
      </c>
      <c r="I18" s="7">
        <v>6500</v>
      </c>
      <c r="J18" s="5">
        <v>6954</v>
      </c>
      <c r="K18" s="15">
        <f>L18+6954</f>
        <v>6954</v>
      </c>
      <c r="L18" s="15"/>
      <c r="M18" s="16">
        <f t="shared" si="1"/>
        <v>0</v>
      </c>
      <c r="N18" s="16">
        <v>0</v>
      </c>
      <c r="O18" s="62" t="str">
        <f t="shared" si="2"/>
        <v>0</v>
      </c>
      <c r="P18" s="42" t="str">
        <f t="shared" si="3"/>
        <v>0</v>
      </c>
      <c r="Q18" s="43">
        <f t="shared" si="4"/>
        <v>1</v>
      </c>
      <c r="R18" s="7"/>
      <c r="S18" s="6"/>
      <c r="T18" s="17">
        <v>1</v>
      </c>
      <c r="U18" s="17"/>
      <c r="V18" s="18"/>
      <c r="W18" s="19"/>
      <c r="X18" s="17"/>
      <c r="Y18" s="20"/>
      <c r="Z18" s="20"/>
      <c r="AA18" s="21"/>
      <c r="AB18" s="8">
        <f t="shared" si="5"/>
        <v>0</v>
      </c>
      <c r="AC18" s="9">
        <f t="shared" si="6"/>
        <v>0</v>
      </c>
      <c r="AD18" s="10">
        <f>AC18*AB18*(1-O18)</f>
        <v>0</v>
      </c>
      <c r="AE18" s="39">
        <f t="shared" si="8"/>
        <v>0</v>
      </c>
      <c r="AF18" s="93">
        <f t="shared" si="9"/>
        <v>13</v>
      </c>
    </row>
    <row r="19" spans="1:32" ht="27" customHeight="1">
      <c r="A19" s="109">
        <v>14</v>
      </c>
      <c r="B19" s="11" t="s">
        <v>57</v>
      </c>
      <c r="C19" s="37" t="s">
        <v>119</v>
      </c>
      <c r="D19" s="55" t="s">
        <v>117</v>
      </c>
      <c r="E19" s="57" t="s">
        <v>129</v>
      </c>
      <c r="F19" s="12" t="s">
        <v>124</v>
      </c>
      <c r="G19" s="36">
        <v>4</v>
      </c>
      <c r="H19" s="38">
        <v>24</v>
      </c>
      <c r="I19" s="7">
        <v>400000</v>
      </c>
      <c r="J19" s="5">
        <v>17176</v>
      </c>
      <c r="K19" s="15">
        <f>L19+12380+14384+22568+16460+13888+20848+20972+20888+19996+10224+14424+21632+20220+19704+9284+22304+15876+16404+16660+17141+13660+19120+18700+19248+17176</f>
        <v>434161</v>
      </c>
      <c r="L19" s="15"/>
      <c r="M19" s="16">
        <f t="shared" si="1"/>
        <v>0</v>
      </c>
      <c r="N19" s="16">
        <v>0</v>
      </c>
      <c r="O19" s="62" t="str">
        <f t="shared" si="2"/>
        <v>0</v>
      </c>
      <c r="P19" s="42" t="str">
        <f t="shared" si="3"/>
        <v>0</v>
      </c>
      <c r="Q19" s="43">
        <f t="shared" si="4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5"/>
        <v>0</v>
      </c>
      <c r="AC19" s="9">
        <f t="shared" si="6"/>
        <v>0</v>
      </c>
      <c r="AD19" s="10">
        <f>AC19*AB19*(1-O19)</f>
        <v>0</v>
      </c>
      <c r="AE19" s="39">
        <f t="shared" si="8"/>
        <v>0</v>
      </c>
      <c r="AF19" s="93">
        <f t="shared" si="9"/>
        <v>14</v>
      </c>
    </row>
    <row r="20" spans="1:32" ht="27" customHeight="1" thickBot="1">
      <c r="A20" s="109">
        <v>15</v>
      </c>
      <c r="B20" s="11" t="s">
        <v>57</v>
      </c>
      <c r="C20" s="11" t="s">
        <v>115</v>
      </c>
      <c r="D20" s="55"/>
      <c r="E20" s="56" t="s">
        <v>153</v>
      </c>
      <c r="F20" s="12" t="s">
        <v>116</v>
      </c>
      <c r="G20" s="12">
        <v>4</v>
      </c>
      <c r="H20" s="38">
        <v>20</v>
      </c>
      <c r="I20" s="7">
        <v>100000</v>
      </c>
      <c r="J20" s="14">
        <v>82568</v>
      </c>
      <c r="K20" s="15">
        <f>L20+38852+82568</f>
        <v>121420</v>
      </c>
      <c r="L20" s="15"/>
      <c r="M20" s="16">
        <f t="shared" si="1"/>
        <v>0</v>
      </c>
      <c r="N20" s="16">
        <v>0</v>
      </c>
      <c r="O20" s="62" t="str">
        <f t="shared" si="2"/>
        <v>0</v>
      </c>
      <c r="P20" s="42" t="str">
        <f t="shared" si="3"/>
        <v>0</v>
      </c>
      <c r="Q20" s="43">
        <f t="shared" si="4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5"/>
        <v>0</v>
      </c>
      <c r="AC20" s="9">
        <f t="shared" si="6"/>
        <v>0</v>
      </c>
      <c r="AD20" s="10">
        <f t="shared" si="7"/>
        <v>0</v>
      </c>
      <c r="AE20" s="39">
        <f t="shared" si="8"/>
        <v>0</v>
      </c>
      <c r="AF20" s="93">
        <f t="shared" si="9"/>
        <v>15</v>
      </c>
    </row>
    <row r="21" spans="1:32" ht="31.5" customHeight="1" thickBot="1">
      <c r="A21" s="312" t="s">
        <v>34</v>
      </c>
      <c r="B21" s="313"/>
      <c r="C21" s="313"/>
      <c r="D21" s="313"/>
      <c r="E21" s="313"/>
      <c r="F21" s="313"/>
      <c r="G21" s="313"/>
      <c r="H21" s="314"/>
      <c r="I21" s="25">
        <f t="shared" ref="I21:N21" si="10">SUM(I6:I20)</f>
        <v>532800</v>
      </c>
      <c r="J21" s="22">
        <f t="shared" si="10"/>
        <v>140141</v>
      </c>
      <c r="K21" s="23">
        <f t="shared" si="10"/>
        <v>604187</v>
      </c>
      <c r="L21" s="24">
        <f t="shared" si="10"/>
        <v>0</v>
      </c>
      <c r="M21" s="23">
        <f t="shared" si="10"/>
        <v>0</v>
      </c>
      <c r="N21" s="24">
        <f t="shared" si="10"/>
        <v>0</v>
      </c>
      <c r="O21" s="44" t="str">
        <f t="shared" si="2"/>
        <v>0</v>
      </c>
      <c r="P21" s="45">
        <f t="shared" ref="P21:AA21" si="11">SUM(P6:P20)</f>
        <v>0</v>
      </c>
      <c r="Q21" s="46">
        <f t="shared" si="11"/>
        <v>172</v>
      </c>
      <c r="R21" s="26">
        <f t="shared" si="11"/>
        <v>24</v>
      </c>
      <c r="S21" s="27">
        <f t="shared" si="11"/>
        <v>0</v>
      </c>
      <c r="T21" s="27">
        <f t="shared" si="11"/>
        <v>1</v>
      </c>
      <c r="U21" s="27">
        <f t="shared" si="11"/>
        <v>0</v>
      </c>
      <c r="V21" s="28">
        <f t="shared" si="11"/>
        <v>0</v>
      </c>
      <c r="W21" s="29">
        <f t="shared" si="11"/>
        <v>123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24</v>
      </c>
      <c r="AB21" s="31">
        <f>SUM(AB6:AB20)/15</f>
        <v>0</v>
      </c>
      <c r="AC21" s="4">
        <f>SUM(AC6:AC20)/15</f>
        <v>0</v>
      </c>
      <c r="AD21" s="4">
        <f>SUM(AD6:AD20)/15</f>
        <v>0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15" t="s">
        <v>45</v>
      </c>
      <c r="B48" s="315"/>
      <c r="C48" s="315"/>
      <c r="D48" s="315"/>
      <c r="E48" s="31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16" t="s">
        <v>130</v>
      </c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8"/>
      <c r="N49" s="319" t="s">
        <v>143</v>
      </c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1"/>
    </row>
    <row r="50" spans="1:32" ht="27" customHeight="1">
      <c r="A50" s="322" t="s">
        <v>2</v>
      </c>
      <c r="B50" s="323"/>
      <c r="C50" s="140" t="s">
        <v>46</v>
      </c>
      <c r="D50" s="140" t="s">
        <v>47</v>
      </c>
      <c r="E50" s="140" t="s">
        <v>108</v>
      </c>
      <c r="F50" s="323" t="s">
        <v>107</v>
      </c>
      <c r="G50" s="323"/>
      <c r="H50" s="323"/>
      <c r="I50" s="323"/>
      <c r="J50" s="323"/>
      <c r="K50" s="323"/>
      <c r="L50" s="323"/>
      <c r="M50" s="324"/>
      <c r="N50" s="73" t="s">
        <v>112</v>
      </c>
      <c r="O50" s="140" t="s">
        <v>46</v>
      </c>
      <c r="P50" s="325" t="s">
        <v>47</v>
      </c>
      <c r="Q50" s="326"/>
      <c r="R50" s="325" t="s">
        <v>38</v>
      </c>
      <c r="S50" s="327"/>
      <c r="T50" s="327"/>
      <c r="U50" s="326"/>
      <c r="V50" s="325" t="s">
        <v>48</v>
      </c>
      <c r="W50" s="327"/>
      <c r="X50" s="327"/>
      <c r="Y50" s="327"/>
      <c r="Z50" s="327"/>
      <c r="AA50" s="327"/>
      <c r="AB50" s="327"/>
      <c r="AC50" s="327"/>
      <c r="AD50" s="328"/>
    </row>
    <row r="51" spans="1:32" ht="27" customHeight="1">
      <c r="A51" s="339"/>
      <c r="B51" s="340"/>
      <c r="C51" s="137"/>
      <c r="D51" s="137"/>
      <c r="E51" s="137"/>
      <c r="F51" s="341"/>
      <c r="G51" s="342"/>
      <c r="H51" s="342"/>
      <c r="I51" s="342"/>
      <c r="J51" s="342"/>
      <c r="K51" s="342"/>
      <c r="L51" s="342"/>
      <c r="M51" s="343"/>
      <c r="N51" s="136" t="s">
        <v>119</v>
      </c>
      <c r="O51" s="124" t="s">
        <v>118</v>
      </c>
      <c r="P51" s="344" t="s">
        <v>158</v>
      </c>
      <c r="Q51" s="345"/>
      <c r="R51" s="340" t="s">
        <v>141</v>
      </c>
      <c r="S51" s="340"/>
      <c r="T51" s="340"/>
      <c r="U51" s="340"/>
      <c r="V51" s="346" t="s">
        <v>131</v>
      </c>
      <c r="W51" s="346"/>
      <c r="X51" s="346"/>
      <c r="Y51" s="346"/>
      <c r="Z51" s="346"/>
      <c r="AA51" s="346"/>
      <c r="AB51" s="346"/>
      <c r="AC51" s="346"/>
      <c r="AD51" s="347"/>
    </row>
    <row r="52" spans="1:32" ht="27" customHeight="1">
      <c r="A52" s="339"/>
      <c r="B52" s="340"/>
      <c r="C52" s="137"/>
      <c r="D52" s="137"/>
      <c r="E52" s="137"/>
      <c r="F52" s="341"/>
      <c r="G52" s="342"/>
      <c r="H52" s="342"/>
      <c r="I52" s="342"/>
      <c r="J52" s="342"/>
      <c r="K52" s="342"/>
      <c r="L52" s="342"/>
      <c r="M52" s="343"/>
      <c r="N52" s="136" t="s">
        <v>119</v>
      </c>
      <c r="O52" s="124" t="s">
        <v>136</v>
      </c>
      <c r="P52" s="340" t="s">
        <v>137</v>
      </c>
      <c r="Q52" s="340"/>
      <c r="R52" s="340" t="s">
        <v>128</v>
      </c>
      <c r="S52" s="340"/>
      <c r="T52" s="340"/>
      <c r="U52" s="340"/>
      <c r="V52" s="346" t="s">
        <v>131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/>
      <c r="B53" s="340"/>
      <c r="C53" s="137"/>
      <c r="D53" s="137"/>
      <c r="E53" s="137"/>
      <c r="F53" s="341"/>
      <c r="G53" s="342"/>
      <c r="H53" s="342"/>
      <c r="I53" s="342"/>
      <c r="J53" s="342"/>
      <c r="K53" s="342"/>
      <c r="L53" s="342"/>
      <c r="M53" s="343"/>
      <c r="N53" s="136" t="s">
        <v>115</v>
      </c>
      <c r="O53" s="124" t="s">
        <v>147</v>
      </c>
      <c r="P53" s="340"/>
      <c r="Q53" s="340"/>
      <c r="R53" s="340" t="s">
        <v>126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/>
      <c r="B54" s="340"/>
      <c r="C54" s="137"/>
      <c r="D54" s="137"/>
      <c r="E54" s="137"/>
      <c r="F54" s="341"/>
      <c r="G54" s="342"/>
      <c r="H54" s="342"/>
      <c r="I54" s="342"/>
      <c r="J54" s="342"/>
      <c r="K54" s="342"/>
      <c r="L54" s="342"/>
      <c r="M54" s="343"/>
      <c r="N54" s="136"/>
      <c r="O54" s="124"/>
      <c r="P54" s="344"/>
      <c r="Q54" s="345"/>
      <c r="R54" s="340"/>
      <c r="S54" s="340"/>
      <c r="T54" s="340"/>
      <c r="U54" s="340"/>
      <c r="V54" s="346"/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/>
      <c r="B55" s="340"/>
      <c r="C55" s="137"/>
      <c r="D55" s="137"/>
      <c r="E55" s="137"/>
      <c r="F55" s="341"/>
      <c r="G55" s="342"/>
      <c r="H55" s="342"/>
      <c r="I55" s="342"/>
      <c r="J55" s="342"/>
      <c r="K55" s="342"/>
      <c r="L55" s="342"/>
      <c r="M55" s="343"/>
      <c r="N55" s="136"/>
      <c r="O55" s="124"/>
      <c r="P55" s="340"/>
      <c r="Q55" s="340"/>
      <c r="R55" s="340"/>
      <c r="S55" s="340"/>
      <c r="T55" s="340"/>
      <c r="U55" s="340"/>
      <c r="V55" s="346"/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/>
      <c r="B56" s="340"/>
      <c r="C56" s="137"/>
      <c r="D56" s="137"/>
      <c r="E56" s="137"/>
      <c r="F56" s="341"/>
      <c r="G56" s="342"/>
      <c r="H56" s="342"/>
      <c r="I56" s="342"/>
      <c r="J56" s="342"/>
      <c r="K56" s="342"/>
      <c r="L56" s="342"/>
      <c r="M56" s="343"/>
      <c r="N56" s="136"/>
      <c r="O56" s="124"/>
      <c r="P56" s="344"/>
      <c r="Q56" s="345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137"/>
      <c r="D57" s="137"/>
      <c r="E57" s="137"/>
      <c r="F57" s="341"/>
      <c r="G57" s="342"/>
      <c r="H57" s="342"/>
      <c r="I57" s="342"/>
      <c r="J57" s="342"/>
      <c r="K57" s="342"/>
      <c r="L57" s="342"/>
      <c r="M57" s="343"/>
      <c r="N57" s="136"/>
      <c r="O57" s="124"/>
      <c r="P57" s="344"/>
      <c r="Q57" s="345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137"/>
      <c r="D58" s="137"/>
      <c r="E58" s="137"/>
      <c r="F58" s="346"/>
      <c r="G58" s="346"/>
      <c r="H58" s="346"/>
      <c r="I58" s="346"/>
      <c r="J58" s="346"/>
      <c r="K58" s="346"/>
      <c r="L58" s="346"/>
      <c r="M58" s="347"/>
      <c r="N58" s="136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137"/>
      <c r="D59" s="137"/>
      <c r="E59" s="137"/>
      <c r="F59" s="341"/>
      <c r="G59" s="342"/>
      <c r="H59" s="342"/>
      <c r="I59" s="342"/>
      <c r="J59" s="342"/>
      <c r="K59" s="342"/>
      <c r="L59" s="342"/>
      <c r="M59" s="343"/>
      <c r="N59" s="136"/>
      <c r="O59" s="124"/>
      <c r="P59" s="340"/>
      <c r="Q59" s="340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  <c r="AF59" s="93">
        <f>8*3000</f>
        <v>24000</v>
      </c>
    </row>
    <row r="60" spans="1:32" ht="27" customHeight="1" thickBot="1">
      <c r="A60" s="348"/>
      <c r="B60" s="349"/>
      <c r="C60" s="139"/>
      <c r="D60" s="139"/>
      <c r="E60" s="139"/>
      <c r="F60" s="350"/>
      <c r="G60" s="350"/>
      <c r="H60" s="350"/>
      <c r="I60" s="350"/>
      <c r="J60" s="350"/>
      <c r="K60" s="350"/>
      <c r="L60" s="350"/>
      <c r="M60" s="351"/>
      <c r="N60" s="138"/>
      <c r="O60" s="120"/>
      <c r="P60" s="349"/>
      <c r="Q60" s="349"/>
      <c r="R60" s="349"/>
      <c r="S60" s="349"/>
      <c r="T60" s="349"/>
      <c r="U60" s="349"/>
      <c r="V60" s="352"/>
      <c r="W60" s="352"/>
      <c r="X60" s="352"/>
      <c r="Y60" s="352"/>
      <c r="Z60" s="352"/>
      <c r="AA60" s="352"/>
      <c r="AB60" s="352"/>
      <c r="AC60" s="352"/>
      <c r="AD60" s="353"/>
      <c r="AF60" s="93">
        <f>16*3000</f>
        <v>48000</v>
      </c>
    </row>
    <row r="61" spans="1:32" ht="27.75" thickBot="1">
      <c r="A61" s="354" t="s">
        <v>132</v>
      </c>
      <c r="B61" s="354"/>
      <c r="C61" s="354"/>
      <c r="D61" s="354"/>
      <c r="E61" s="35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55" t="s">
        <v>113</v>
      </c>
      <c r="B62" s="356"/>
      <c r="C62" s="135" t="s">
        <v>2</v>
      </c>
      <c r="D62" s="135" t="s">
        <v>37</v>
      </c>
      <c r="E62" s="135" t="s">
        <v>3</v>
      </c>
      <c r="F62" s="356" t="s">
        <v>110</v>
      </c>
      <c r="G62" s="356"/>
      <c r="H62" s="356"/>
      <c r="I62" s="356"/>
      <c r="J62" s="356"/>
      <c r="K62" s="356" t="s">
        <v>39</v>
      </c>
      <c r="L62" s="356"/>
      <c r="M62" s="135" t="s">
        <v>40</v>
      </c>
      <c r="N62" s="356" t="s">
        <v>41</v>
      </c>
      <c r="O62" s="356"/>
      <c r="P62" s="357" t="s">
        <v>42</v>
      </c>
      <c r="Q62" s="358"/>
      <c r="R62" s="357" t="s">
        <v>43</v>
      </c>
      <c r="S62" s="359"/>
      <c r="T62" s="359"/>
      <c r="U62" s="359"/>
      <c r="V62" s="359"/>
      <c r="W62" s="359"/>
      <c r="X62" s="359"/>
      <c r="Y62" s="359"/>
      <c r="Z62" s="359"/>
      <c r="AA62" s="358"/>
      <c r="AB62" s="356" t="s">
        <v>44</v>
      </c>
      <c r="AC62" s="356"/>
      <c r="AD62" s="360"/>
      <c r="AF62" s="93">
        <f>SUM(AF59:AF61)</f>
        <v>96000</v>
      </c>
    </row>
    <row r="63" spans="1:32" ht="25.5" customHeight="1">
      <c r="A63" s="361">
        <v>1</v>
      </c>
      <c r="B63" s="362"/>
      <c r="C63" s="123" t="s">
        <v>114</v>
      </c>
      <c r="D63" s="131"/>
      <c r="E63" s="134" t="s">
        <v>117</v>
      </c>
      <c r="F63" s="363" t="s">
        <v>148</v>
      </c>
      <c r="G63" s="364"/>
      <c r="H63" s="364"/>
      <c r="I63" s="364"/>
      <c r="J63" s="364"/>
      <c r="K63" s="364" t="s">
        <v>162</v>
      </c>
      <c r="L63" s="364"/>
      <c r="M63" s="54" t="s">
        <v>146</v>
      </c>
      <c r="N63" s="364">
        <v>4</v>
      </c>
      <c r="O63" s="364"/>
      <c r="P63" s="365">
        <v>250</v>
      </c>
      <c r="Q63" s="365"/>
      <c r="R63" s="346" t="s">
        <v>159</v>
      </c>
      <c r="S63" s="346"/>
      <c r="T63" s="346"/>
      <c r="U63" s="346"/>
      <c r="V63" s="346"/>
      <c r="W63" s="346"/>
      <c r="X63" s="346"/>
      <c r="Y63" s="346"/>
      <c r="Z63" s="346"/>
      <c r="AA63" s="346"/>
      <c r="AB63" s="364"/>
      <c r="AC63" s="364"/>
      <c r="AD63" s="366"/>
      <c r="AF63" s="53"/>
    </row>
    <row r="64" spans="1:32" ht="25.5" customHeight="1">
      <c r="A64" s="361">
        <v>2</v>
      </c>
      <c r="B64" s="362"/>
      <c r="C64" s="123"/>
      <c r="D64" s="131"/>
      <c r="E64" s="134"/>
      <c r="F64" s="363"/>
      <c r="G64" s="364"/>
      <c r="H64" s="364"/>
      <c r="I64" s="364"/>
      <c r="J64" s="364"/>
      <c r="K64" s="364"/>
      <c r="L64" s="364"/>
      <c r="M64" s="54"/>
      <c r="N64" s="364"/>
      <c r="O64" s="364"/>
      <c r="P64" s="365"/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3</v>
      </c>
      <c r="B65" s="362"/>
      <c r="C65" s="123"/>
      <c r="D65" s="131"/>
      <c r="E65" s="134"/>
      <c r="F65" s="363"/>
      <c r="G65" s="364"/>
      <c r="H65" s="364"/>
      <c r="I65" s="364"/>
      <c r="J65" s="364"/>
      <c r="K65" s="364"/>
      <c r="L65" s="364"/>
      <c r="M65" s="54"/>
      <c r="N65" s="364"/>
      <c r="O65" s="364"/>
      <c r="P65" s="365"/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4</v>
      </c>
      <c r="B66" s="362"/>
      <c r="C66" s="123"/>
      <c r="D66" s="131"/>
      <c r="E66" s="134"/>
      <c r="F66" s="363"/>
      <c r="G66" s="364"/>
      <c r="H66" s="364"/>
      <c r="I66" s="364"/>
      <c r="J66" s="364"/>
      <c r="K66" s="364"/>
      <c r="L66" s="364"/>
      <c r="M66" s="54"/>
      <c r="N66" s="364"/>
      <c r="O66" s="364"/>
      <c r="P66" s="365"/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5</v>
      </c>
      <c r="B67" s="362"/>
      <c r="C67" s="123"/>
      <c r="D67" s="131"/>
      <c r="E67" s="134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6</v>
      </c>
      <c r="B68" s="362"/>
      <c r="C68" s="123"/>
      <c r="D68" s="131"/>
      <c r="E68" s="134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7</v>
      </c>
      <c r="B69" s="362"/>
      <c r="C69" s="123"/>
      <c r="D69" s="131"/>
      <c r="E69" s="134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8</v>
      </c>
      <c r="B70" s="362"/>
      <c r="C70" s="123"/>
      <c r="D70" s="131"/>
      <c r="E70" s="134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6.25" customHeight="1" thickBot="1">
      <c r="A71" s="367" t="s">
        <v>133</v>
      </c>
      <c r="B71" s="367"/>
      <c r="C71" s="367"/>
      <c r="D71" s="367"/>
      <c r="E71" s="36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8" t="s">
        <v>113</v>
      </c>
      <c r="B72" s="369"/>
      <c r="C72" s="133" t="s">
        <v>2</v>
      </c>
      <c r="D72" s="133" t="s">
        <v>37</v>
      </c>
      <c r="E72" s="133" t="s">
        <v>3</v>
      </c>
      <c r="F72" s="369" t="s">
        <v>38</v>
      </c>
      <c r="G72" s="369"/>
      <c r="H72" s="369"/>
      <c r="I72" s="369"/>
      <c r="J72" s="369"/>
      <c r="K72" s="370" t="s">
        <v>58</v>
      </c>
      <c r="L72" s="371"/>
      <c r="M72" s="371"/>
      <c r="N72" s="371"/>
      <c r="O72" s="371"/>
      <c r="P72" s="371"/>
      <c r="Q72" s="371"/>
      <c r="R72" s="371"/>
      <c r="S72" s="372"/>
      <c r="T72" s="369" t="s">
        <v>49</v>
      </c>
      <c r="U72" s="369"/>
      <c r="V72" s="370" t="s">
        <v>50</v>
      </c>
      <c r="W72" s="372"/>
      <c r="X72" s="371" t="s">
        <v>51</v>
      </c>
      <c r="Y72" s="371"/>
      <c r="Z72" s="371"/>
      <c r="AA72" s="371"/>
      <c r="AB72" s="371"/>
      <c r="AC72" s="371"/>
      <c r="AD72" s="373"/>
      <c r="AF72" s="53"/>
    </row>
    <row r="73" spans="1:32" ht="33.75" customHeight="1">
      <c r="A73" s="382">
        <v>1</v>
      </c>
      <c r="B73" s="383"/>
      <c r="C73" s="132" t="s">
        <v>114</v>
      </c>
      <c r="D73" s="132"/>
      <c r="E73" s="71" t="s">
        <v>122</v>
      </c>
      <c r="F73" s="384" t="s">
        <v>121</v>
      </c>
      <c r="G73" s="385"/>
      <c r="H73" s="385"/>
      <c r="I73" s="385"/>
      <c r="J73" s="386"/>
      <c r="K73" s="387" t="s">
        <v>123</v>
      </c>
      <c r="L73" s="388"/>
      <c r="M73" s="388"/>
      <c r="N73" s="388"/>
      <c r="O73" s="388"/>
      <c r="P73" s="388"/>
      <c r="Q73" s="388"/>
      <c r="R73" s="388"/>
      <c r="S73" s="389"/>
      <c r="T73" s="390">
        <v>43384</v>
      </c>
      <c r="U73" s="391"/>
      <c r="V73" s="392"/>
      <c r="W73" s="392"/>
      <c r="X73" s="393"/>
      <c r="Y73" s="393"/>
      <c r="Z73" s="393"/>
      <c r="AA73" s="393"/>
      <c r="AB73" s="393"/>
      <c r="AC73" s="393"/>
      <c r="AD73" s="394"/>
      <c r="AF73" s="53"/>
    </row>
    <row r="74" spans="1:32" ht="30" customHeight="1">
      <c r="A74" s="374">
        <f>A73+1</f>
        <v>2</v>
      </c>
      <c r="B74" s="375"/>
      <c r="C74" s="131"/>
      <c r="D74" s="131"/>
      <c r="E74" s="35"/>
      <c r="F74" s="375"/>
      <c r="G74" s="375"/>
      <c r="H74" s="375"/>
      <c r="I74" s="375"/>
      <c r="J74" s="375"/>
      <c r="K74" s="376"/>
      <c r="L74" s="377"/>
      <c r="M74" s="377"/>
      <c r="N74" s="377"/>
      <c r="O74" s="377"/>
      <c r="P74" s="377"/>
      <c r="Q74" s="377"/>
      <c r="R74" s="377"/>
      <c r="S74" s="378"/>
      <c r="T74" s="379"/>
      <c r="U74" s="379"/>
      <c r="V74" s="379"/>
      <c r="W74" s="379"/>
      <c r="X74" s="380"/>
      <c r="Y74" s="380"/>
      <c r="Z74" s="380"/>
      <c r="AA74" s="380"/>
      <c r="AB74" s="380"/>
      <c r="AC74" s="380"/>
      <c r="AD74" s="381"/>
      <c r="AF74" s="53"/>
    </row>
    <row r="75" spans="1:32" ht="30" customHeight="1">
      <c r="A75" s="374">
        <f t="shared" ref="A75:A81" si="12">A74+1</f>
        <v>3</v>
      </c>
      <c r="B75" s="375"/>
      <c r="C75" s="131"/>
      <c r="D75" s="131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si="12"/>
        <v>4</v>
      </c>
      <c r="B76" s="375"/>
      <c r="C76" s="131"/>
      <c r="D76" s="131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12"/>
        <v>5</v>
      </c>
      <c r="B77" s="375"/>
      <c r="C77" s="131"/>
      <c r="D77" s="131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12"/>
        <v>6</v>
      </c>
      <c r="B78" s="375"/>
      <c r="C78" s="131"/>
      <c r="D78" s="131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12"/>
        <v>7</v>
      </c>
      <c r="B79" s="375"/>
      <c r="C79" s="131"/>
      <c r="D79" s="131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12"/>
        <v>8</v>
      </c>
      <c r="B80" s="375"/>
      <c r="C80" s="131"/>
      <c r="D80" s="131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12"/>
        <v>9</v>
      </c>
      <c r="B81" s="375"/>
      <c r="C81" s="131"/>
      <c r="D81" s="131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6" thickBot="1">
      <c r="A82" s="367" t="s">
        <v>134</v>
      </c>
      <c r="B82" s="367"/>
      <c r="C82" s="367"/>
      <c r="D82" s="367"/>
      <c r="E82" s="36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68" t="s">
        <v>113</v>
      </c>
      <c r="B83" s="369"/>
      <c r="C83" s="395" t="s">
        <v>52</v>
      </c>
      <c r="D83" s="395"/>
      <c r="E83" s="395" t="s">
        <v>53</v>
      </c>
      <c r="F83" s="395"/>
      <c r="G83" s="395"/>
      <c r="H83" s="395"/>
      <c r="I83" s="395"/>
      <c r="J83" s="395"/>
      <c r="K83" s="395" t="s">
        <v>54</v>
      </c>
      <c r="L83" s="395"/>
      <c r="M83" s="395"/>
      <c r="N83" s="395"/>
      <c r="O83" s="395"/>
      <c r="P83" s="395"/>
      <c r="Q83" s="395"/>
      <c r="R83" s="395"/>
      <c r="S83" s="395"/>
      <c r="T83" s="395" t="s">
        <v>55</v>
      </c>
      <c r="U83" s="395"/>
      <c r="V83" s="395" t="s">
        <v>56</v>
      </c>
      <c r="W83" s="395"/>
      <c r="X83" s="395"/>
      <c r="Y83" s="395" t="s">
        <v>51</v>
      </c>
      <c r="Z83" s="395"/>
      <c r="AA83" s="395"/>
      <c r="AB83" s="395"/>
      <c r="AC83" s="395"/>
      <c r="AD83" s="396"/>
      <c r="AF83" s="53"/>
    </row>
    <row r="84" spans="1:32" ht="30.75" customHeight="1">
      <c r="A84" s="382">
        <v>1</v>
      </c>
      <c r="B84" s="383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8"/>
      <c r="W84" s="398"/>
      <c r="X84" s="398"/>
      <c r="Y84" s="399"/>
      <c r="Z84" s="399"/>
      <c r="AA84" s="399"/>
      <c r="AB84" s="399"/>
      <c r="AC84" s="399"/>
      <c r="AD84" s="400"/>
      <c r="AF84" s="53"/>
    </row>
    <row r="85" spans="1:32" ht="30.75" customHeight="1">
      <c r="A85" s="374">
        <v>2</v>
      </c>
      <c r="B85" s="375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9"/>
      <c r="U85" s="409"/>
      <c r="V85" s="410"/>
      <c r="W85" s="410"/>
      <c r="X85" s="410"/>
      <c r="Y85" s="401"/>
      <c r="Z85" s="401"/>
      <c r="AA85" s="401"/>
      <c r="AB85" s="401"/>
      <c r="AC85" s="401"/>
      <c r="AD85" s="402"/>
      <c r="AF85" s="53"/>
    </row>
    <row r="86" spans="1:32" ht="30.75" customHeight="1" thickBot="1">
      <c r="A86" s="403">
        <v>3</v>
      </c>
      <c r="B86" s="404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6"/>
      <c r="Z86" s="406"/>
      <c r="AA86" s="406"/>
      <c r="AB86" s="406"/>
      <c r="AC86" s="406"/>
      <c r="AD86" s="40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7C5D-9481-4D21-8BA0-65200C3B6445}">
  <sheetPr>
    <pageSetUpPr fitToPage="1"/>
  </sheetPr>
  <dimension ref="A1:AF88"/>
  <sheetViews>
    <sheetView zoomScale="72" zoomScaleNormal="72" zoomScaleSheetLayoutView="70" workbookViewId="0">
      <selection activeCell="M13" sqref="M1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163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152" t="s">
        <v>17</v>
      </c>
      <c r="L5" s="152" t="s">
        <v>18</v>
      </c>
      <c r="M5" s="152" t="s">
        <v>19</v>
      </c>
      <c r="N5" s="15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15" si="0">L6</f>
        <v>0</v>
      </c>
      <c r="L6" s="15"/>
      <c r="M6" s="16">
        <f t="shared" ref="M6:M22" si="1">L6-N6</f>
        <v>0</v>
      </c>
      <c r="N6" s="16">
        <v>0</v>
      </c>
      <c r="O6" s="62" t="str">
        <f t="shared" ref="O6:O23" si="2">IF(L6=0,"0",N6/L6)</f>
        <v>0</v>
      </c>
      <c r="P6" s="42" t="str">
        <f t="shared" ref="P6:P22" si="3">IF(L6=0,"0",(24-Q6))</f>
        <v>0</v>
      </c>
      <c r="Q6" s="43">
        <f t="shared" ref="Q6:Q22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9">
        <f t="shared" ref="AE6:AE22" si="8">$AD$23</f>
        <v>0.2638888888888889</v>
      </c>
      <c r="AF6" s="93">
        <f t="shared" ref="AF6:AF22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0.2638888888888889</v>
      </c>
      <c r="AF7" s="93">
        <f t="shared" si="9"/>
        <v>2</v>
      </c>
    </row>
    <row r="8" spans="1:32" ht="27" customHeight="1">
      <c r="A8" s="108">
        <v>3</v>
      </c>
      <c r="B8" s="11"/>
      <c r="C8" s="37"/>
      <c r="D8" s="55"/>
      <c r="E8" s="57"/>
      <c r="F8" s="33"/>
      <c r="G8" s="36"/>
      <c r="H8" s="38"/>
      <c r="I8" s="7"/>
      <c r="J8" s="5"/>
      <c r="K8" s="15"/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0.2638888888888889</v>
      </c>
      <c r="AF8" s="93">
        <f t="shared" si="9"/>
        <v>3</v>
      </c>
    </row>
    <row r="9" spans="1:32" ht="27" customHeight="1">
      <c r="A9" s="109">
        <v>4</v>
      </c>
      <c r="B9" s="11"/>
      <c r="C9" s="11"/>
      <c r="D9" s="55"/>
      <c r="E9" s="57"/>
      <c r="F9" s="33"/>
      <c r="G9" s="36"/>
      <c r="H9" s="38"/>
      <c r="I9" s="7"/>
      <c r="J9" s="14">
        <v>0</v>
      </c>
      <c r="K9" s="15">
        <f t="shared" si="0"/>
        <v>0</v>
      </c>
      <c r="L9" s="15"/>
      <c r="M9" s="16">
        <f t="shared" si="1"/>
        <v>0</v>
      </c>
      <c r="N9" s="16">
        <v>0</v>
      </c>
      <c r="O9" s="62" t="str">
        <f t="shared" si="2"/>
        <v>0</v>
      </c>
      <c r="P9" s="42" t="str">
        <f t="shared" si="3"/>
        <v>0</v>
      </c>
      <c r="Q9" s="43">
        <f t="shared" si="4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 t="str">
        <f t="shared" si="5"/>
        <v>0</v>
      </c>
      <c r="AC9" s="9">
        <f t="shared" si="6"/>
        <v>0</v>
      </c>
      <c r="AD9" s="10">
        <f t="shared" si="7"/>
        <v>0</v>
      </c>
      <c r="AE9" s="39">
        <f t="shared" si="8"/>
        <v>0.2638888888888889</v>
      </c>
      <c r="AF9" s="93">
        <f t="shared" si="9"/>
        <v>4</v>
      </c>
    </row>
    <row r="10" spans="1:32" ht="27" customHeight="1">
      <c r="A10" s="109">
        <v>5</v>
      </c>
      <c r="B10" s="11"/>
      <c r="C10" s="11"/>
      <c r="D10" s="55"/>
      <c r="E10" s="57"/>
      <c r="F10" s="12"/>
      <c r="G10" s="12"/>
      <c r="H10" s="13"/>
      <c r="I10" s="7"/>
      <c r="J10" s="14"/>
      <c r="K10" s="15"/>
      <c r="L10" s="15"/>
      <c r="M10" s="16">
        <f t="shared" si="1"/>
        <v>0</v>
      </c>
      <c r="N10" s="16">
        <v>0</v>
      </c>
      <c r="O10" s="62" t="str">
        <f t="shared" si="2"/>
        <v>0</v>
      </c>
      <c r="P10" s="42" t="str">
        <f t="shared" si="3"/>
        <v>0</v>
      </c>
      <c r="Q10" s="43">
        <f t="shared" si="4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 t="str">
        <f t="shared" si="5"/>
        <v>0</v>
      </c>
      <c r="AC10" s="9">
        <f t="shared" si="6"/>
        <v>0</v>
      </c>
      <c r="AD10" s="10">
        <f t="shared" si="7"/>
        <v>0</v>
      </c>
      <c r="AE10" s="39">
        <f t="shared" si="8"/>
        <v>0.2638888888888889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114</v>
      </c>
      <c r="D11" s="55" t="s">
        <v>164</v>
      </c>
      <c r="E11" s="57" t="s">
        <v>165</v>
      </c>
      <c r="F11" s="12" t="s">
        <v>166</v>
      </c>
      <c r="G11" s="12">
        <v>1</v>
      </c>
      <c r="H11" s="13">
        <v>22</v>
      </c>
      <c r="I11" s="7">
        <v>400</v>
      </c>
      <c r="J11" s="14">
        <v>475</v>
      </c>
      <c r="K11" s="15">
        <f>L11</f>
        <v>475</v>
      </c>
      <c r="L11" s="15">
        <f>475</f>
        <v>475</v>
      </c>
      <c r="M11" s="16">
        <f t="shared" si="1"/>
        <v>475</v>
      </c>
      <c r="N11" s="16">
        <v>0</v>
      </c>
      <c r="O11" s="62">
        <f t="shared" si="2"/>
        <v>0</v>
      </c>
      <c r="P11" s="42">
        <f t="shared" si="3"/>
        <v>4</v>
      </c>
      <c r="Q11" s="43">
        <f t="shared" si="4"/>
        <v>20</v>
      </c>
      <c r="R11" s="7"/>
      <c r="S11" s="6"/>
      <c r="T11" s="17"/>
      <c r="U11" s="17"/>
      <c r="V11" s="18"/>
      <c r="W11" s="19">
        <v>20</v>
      </c>
      <c r="X11" s="17"/>
      <c r="Y11" s="20"/>
      <c r="Z11" s="20"/>
      <c r="AA11" s="21"/>
      <c r="AB11" s="8">
        <f t="shared" si="5"/>
        <v>1</v>
      </c>
      <c r="AC11" s="9">
        <f t="shared" si="6"/>
        <v>0.16666666666666666</v>
      </c>
      <c r="AD11" s="10">
        <f t="shared" si="7"/>
        <v>0.16666666666666666</v>
      </c>
      <c r="AE11" s="39">
        <f t="shared" si="8"/>
        <v>0.2638888888888889</v>
      </c>
      <c r="AF11" s="93">
        <f t="shared" si="9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167</v>
      </c>
      <c r="E12" s="57" t="s">
        <v>168</v>
      </c>
      <c r="F12" s="33" t="s">
        <v>169</v>
      </c>
      <c r="G12" s="36">
        <v>1</v>
      </c>
      <c r="H12" s="38">
        <v>22</v>
      </c>
      <c r="I12" s="7">
        <v>400</v>
      </c>
      <c r="J12" s="14">
        <v>473</v>
      </c>
      <c r="K12" s="15">
        <f>L12</f>
        <v>473</v>
      </c>
      <c r="L12" s="15">
        <v>473</v>
      </c>
      <c r="M12" s="16">
        <f t="shared" si="1"/>
        <v>473</v>
      </c>
      <c r="N12" s="16">
        <v>0</v>
      </c>
      <c r="O12" s="62">
        <f t="shared" si="2"/>
        <v>0</v>
      </c>
      <c r="P12" s="42">
        <f t="shared" si="3"/>
        <v>4</v>
      </c>
      <c r="Q12" s="43">
        <f t="shared" si="4"/>
        <v>20</v>
      </c>
      <c r="R12" s="7"/>
      <c r="S12" s="6"/>
      <c r="T12" s="17"/>
      <c r="U12" s="17"/>
      <c r="V12" s="18"/>
      <c r="W12" s="19">
        <v>20</v>
      </c>
      <c r="X12" s="17"/>
      <c r="Y12" s="20"/>
      <c r="Z12" s="20"/>
      <c r="AA12" s="21"/>
      <c r="AB12" s="8">
        <f t="shared" si="5"/>
        <v>1</v>
      </c>
      <c r="AC12" s="9">
        <f t="shared" si="6"/>
        <v>0.16666666666666666</v>
      </c>
      <c r="AD12" s="10">
        <f t="shared" si="7"/>
        <v>0.16666666666666666</v>
      </c>
      <c r="AE12" s="39">
        <f t="shared" si="8"/>
        <v>0.2638888888888889</v>
      </c>
      <c r="AF12" s="93">
        <f t="shared" si="9"/>
        <v>7</v>
      </c>
    </row>
    <row r="13" spans="1:32" ht="27" customHeight="1">
      <c r="A13" s="109">
        <v>8</v>
      </c>
      <c r="B13" s="11" t="s">
        <v>57</v>
      </c>
      <c r="C13" s="11" t="s">
        <v>119</v>
      </c>
      <c r="D13" s="55" t="s">
        <v>170</v>
      </c>
      <c r="E13" s="57" t="s">
        <v>171</v>
      </c>
      <c r="F13" s="33" t="s">
        <v>127</v>
      </c>
      <c r="G13" s="36" t="s">
        <v>138</v>
      </c>
      <c r="H13" s="38">
        <v>40</v>
      </c>
      <c r="I13" s="7">
        <v>3000</v>
      </c>
      <c r="J13" s="14">
        <v>3864</v>
      </c>
      <c r="K13" s="15">
        <f>L13</f>
        <v>3864</v>
      </c>
      <c r="L13" s="15">
        <f>695+3169</f>
        <v>3864</v>
      </c>
      <c r="M13" s="16">
        <f t="shared" si="1"/>
        <v>3864</v>
      </c>
      <c r="N13" s="16">
        <v>0</v>
      </c>
      <c r="O13" s="62">
        <f t="shared" si="2"/>
        <v>0</v>
      </c>
      <c r="P13" s="42">
        <f t="shared" si="3"/>
        <v>20</v>
      </c>
      <c r="Q13" s="43">
        <f t="shared" si="4"/>
        <v>4</v>
      </c>
      <c r="R13" s="7"/>
      <c r="S13" s="6"/>
      <c r="T13" s="17">
        <v>4</v>
      </c>
      <c r="U13" s="17"/>
      <c r="V13" s="18"/>
      <c r="W13" s="19"/>
      <c r="X13" s="17"/>
      <c r="Y13" s="20"/>
      <c r="Z13" s="20"/>
      <c r="AA13" s="21"/>
      <c r="AB13" s="8">
        <f t="shared" si="5"/>
        <v>1</v>
      </c>
      <c r="AC13" s="9">
        <f t="shared" si="6"/>
        <v>0.83333333333333337</v>
      </c>
      <c r="AD13" s="10">
        <f t="shared" si="7"/>
        <v>0.83333333333333337</v>
      </c>
      <c r="AE13" s="39">
        <f t="shared" si="8"/>
        <v>0.2638888888888889</v>
      </c>
      <c r="AF13" s="93">
        <f t="shared" si="9"/>
        <v>8</v>
      </c>
    </row>
    <row r="14" spans="1:32" ht="27" customHeight="1">
      <c r="A14" s="125">
        <v>9</v>
      </c>
      <c r="B14" s="11"/>
      <c r="C14" s="37"/>
      <c r="D14" s="55"/>
      <c r="E14" s="57"/>
      <c r="F14" s="33"/>
      <c r="G14" s="36"/>
      <c r="H14" s="38"/>
      <c r="I14" s="7"/>
      <c r="J14" s="5">
        <v>0</v>
      </c>
      <c r="K14" s="15">
        <f t="shared" si="0"/>
        <v>0</v>
      </c>
      <c r="L14" s="15"/>
      <c r="M14" s="16">
        <f t="shared" si="1"/>
        <v>0</v>
      </c>
      <c r="N14" s="16">
        <v>0</v>
      </c>
      <c r="O14" s="62" t="str">
        <f t="shared" si="2"/>
        <v>0</v>
      </c>
      <c r="P14" s="42" t="str">
        <f t="shared" si="3"/>
        <v>0</v>
      </c>
      <c r="Q14" s="43">
        <f t="shared" si="4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9">
        <f t="shared" si="8"/>
        <v>0.2638888888888889</v>
      </c>
      <c r="AF14" s="93">
        <f t="shared" si="9"/>
        <v>9</v>
      </c>
    </row>
    <row r="15" spans="1:32" ht="27" customHeight="1">
      <c r="A15" s="108">
        <v>10</v>
      </c>
      <c r="B15" s="11"/>
      <c r="C15" s="37"/>
      <c r="D15" s="55"/>
      <c r="E15" s="57"/>
      <c r="F15" s="12"/>
      <c r="G15" s="12"/>
      <c r="H15" s="13"/>
      <c r="I15" s="34"/>
      <c r="J15" s="14">
        <v>0</v>
      </c>
      <c r="K15" s="15">
        <f t="shared" si="0"/>
        <v>0</v>
      </c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0.2638888888888889</v>
      </c>
      <c r="AF15" s="93">
        <f t="shared" si="9"/>
        <v>10</v>
      </c>
    </row>
    <row r="16" spans="1:32" ht="27" customHeight="1">
      <c r="A16" s="108">
        <v>11</v>
      </c>
      <c r="B16" s="11" t="s">
        <v>57</v>
      </c>
      <c r="C16" s="11" t="s">
        <v>114</v>
      </c>
      <c r="D16" s="55" t="s">
        <v>122</v>
      </c>
      <c r="E16" s="57" t="s">
        <v>172</v>
      </c>
      <c r="F16" s="12">
        <v>7301</v>
      </c>
      <c r="G16" s="12">
        <v>1</v>
      </c>
      <c r="H16" s="13">
        <v>24</v>
      </c>
      <c r="I16" s="7">
        <v>1000</v>
      </c>
      <c r="J16" s="14">
        <v>4347</v>
      </c>
      <c r="K16" s="15">
        <f>L16</f>
        <v>4347</v>
      </c>
      <c r="L16" s="15">
        <f>1519+2828</f>
        <v>4347</v>
      </c>
      <c r="M16" s="16">
        <f t="shared" si="1"/>
        <v>4347</v>
      </c>
      <c r="N16" s="16">
        <v>0</v>
      </c>
      <c r="O16" s="62">
        <f t="shared" si="2"/>
        <v>0</v>
      </c>
      <c r="P16" s="42">
        <f t="shared" si="3"/>
        <v>23</v>
      </c>
      <c r="Q16" s="43">
        <f t="shared" si="4"/>
        <v>1</v>
      </c>
      <c r="R16" s="7"/>
      <c r="S16" s="6"/>
      <c r="T16" s="17">
        <v>1</v>
      </c>
      <c r="U16" s="17"/>
      <c r="V16" s="18"/>
      <c r="W16" s="19"/>
      <c r="X16" s="17"/>
      <c r="Y16" s="20"/>
      <c r="Z16" s="20"/>
      <c r="AA16" s="21"/>
      <c r="AB16" s="8">
        <f t="shared" si="5"/>
        <v>1</v>
      </c>
      <c r="AC16" s="9">
        <f t="shared" si="6"/>
        <v>0.95833333333333337</v>
      </c>
      <c r="AD16" s="10">
        <f t="shared" si="7"/>
        <v>0.95833333333333337</v>
      </c>
      <c r="AE16" s="39">
        <f t="shared" si="8"/>
        <v>0.2638888888888889</v>
      </c>
      <c r="AF16" s="93">
        <f t="shared" si="9"/>
        <v>11</v>
      </c>
    </row>
    <row r="17" spans="1:32" ht="27" customHeight="1">
      <c r="A17" s="108">
        <v>12</v>
      </c>
      <c r="B17" s="11" t="s">
        <v>57</v>
      </c>
      <c r="C17" s="37" t="s">
        <v>114</v>
      </c>
      <c r="D17" s="55" t="s">
        <v>175</v>
      </c>
      <c r="E17" s="57" t="s">
        <v>176</v>
      </c>
      <c r="F17" s="12" t="s">
        <v>177</v>
      </c>
      <c r="G17" s="12">
        <v>1</v>
      </c>
      <c r="H17" s="13">
        <v>24</v>
      </c>
      <c r="I17" s="34">
        <v>400</v>
      </c>
      <c r="J17" s="14">
        <v>660</v>
      </c>
      <c r="K17" s="15">
        <f>L17</f>
        <v>660</v>
      </c>
      <c r="L17" s="15">
        <v>660</v>
      </c>
      <c r="M17" s="16">
        <f t="shared" ref="M17" si="10">L17-N17</f>
        <v>660</v>
      </c>
      <c r="N17" s="16">
        <v>0</v>
      </c>
      <c r="O17" s="62">
        <f t="shared" ref="O17" si="11">IF(L17=0,"0",N17/L17)</f>
        <v>0</v>
      </c>
      <c r="P17" s="42">
        <f t="shared" ref="P17" si="12">IF(L17=0,"0",(24-Q17))</f>
        <v>4</v>
      </c>
      <c r="Q17" s="43">
        <f t="shared" ref="Q17" si="13">SUM(R17:AA17)</f>
        <v>20</v>
      </c>
      <c r="R17" s="7"/>
      <c r="S17" s="6"/>
      <c r="T17" s="17"/>
      <c r="U17" s="17"/>
      <c r="V17" s="18"/>
      <c r="W17" s="19">
        <v>20</v>
      </c>
      <c r="X17" s="17"/>
      <c r="Y17" s="20"/>
      <c r="Z17" s="20"/>
      <c r="AA17" s="21"/>
      <c r="AB17" s="8">
        <f t="shared" ref="AB17" si="14">IF(J17=0,"0",(L17/J17))</f>
        <v>1</v>
      </c>
      <c r="AC17" s="9">
        <f t="shared" ref="AC17" si="15">IF(P17=0,"0",(P17/24))</f>
        <v>0.16666666666666666</v>
      </c>
      <c r="AD17" s="10">
        <f t="shared" ref="AD17" si="16">AC17*AB17*(1-O17)</f>
        <v>0.16666666666666666</v>
      </c>
      <c r="AE17" s="39">
        <f t="shared" si="8"/>
        <v>0.2638888888888889</v>
      </c>
      <c r="AF17" s="93">
        <f t="shared" ref="AF17" si="17">A17</f>
        <v>12</v>
      </c>
    </row>
    <row r="18" spans="1:32" ht="27" customHeight="1">
      <c r="A18" s="108">
        <v>12</v>
      </c>
      <c r="B18" s="11" t="s">
        <v>57</v>
      </c>
      <c r="C18" s="37" t="s">
        <v>119</v>
      </c>
      <c r="D18" s="55" t="s">
        <v>173</v>
      </c>
      <c r="E18" s="57" t="s">
        <v>174</v>
      </c>
      <c r="F18" s="12">
        <v>8301</v>
      </c>
      <c r="G18" s="12">
        <v>1</v>
      </c>
      <c r="H18" s="13">
        <v>24</v>
      </c>
      <c r="I18" s="34">
        <v>3000</v>
      </c>
      <c r="J18" s="14">
        <v>3195</v>
      </c>
      <c r="K18" s="15">
        <f>L18</f>
        <v>3195</v>
      </c>
      <c r="L18" s="15">
        <f>2590+605</f>
        <v>3195</v>
      </c>
      <c r="M18" s="16">
        <f t="shared" si="1"/>
        <v>3195</v>
      </c>
      <c r="N18" s="16">
        <v>0</v>
      </c>
      <c r="O18" s="62">
        <f t="shared" si="2"/>
        <v>0</v>
      </c>
      <c r="P18" s="42">
        <f t="shared" si="3"/>
        <v>18</v>
      </c>
      <c r="Q18" s="43">
        <f t="shared" si="4"/>
        <v>6</v>
      </c>
      <c r="R18" s="7"/>
      <c r="S18" s="6"/>
      <c r="T18" s="17">
        <v>6</v>
      </c>
      <c r="U18" s="17"/>
      <c r="V18" s="18"/>
      <c r="W18" s="19"/>
      <c r="X18" s="17"/>
      <c r="Y18" s="20"/>
      <c r="Z18" s="20"/>
      <c r="AA18" s="21"/>
      <c r="AB18" s="8">
        <f t="shared" si="5"/>
        <v>1</v>
      </c>
      <c r="AC18" s="9">
        <f t="shared" si="6"/>
        <v>0.75</v>
      </c>
      <c r="AD18" s="10">
        <f t="shared" si="7"/>
        <v>0.75</v>
      </c>
      <c r="AE18" s="39">
        <f t="shared" si="8"/>
        <v>0.2638888888888889</v>
      </c>
      <c r="AF18" s="93">
        <f t="shared" si="9"/>
        <v>12</v>
      </c>
    </row>
    <row r="19" spans="1:32" ht="27" customHeight="1">
      <c r="A19" s="109">
        <v>13</v>
      </c>
      <c r="B19" s="11" t="s">
        <v>57</v>
      </c>
      <c r="C19" s="37" t="s">
        <v>114</v>
      </c>
      <c r="D19" s="55" t="s">
        <v>120</v>
      </c>
      <c r="E19" s="57" t="s">
        <v>178</v>
      </c>
      <c r="F19" s="33" t="s">
        <v>179</v>
      </c>
      <c r="G19" s="36">
        <v>1</v>
      </c>
      <c r="H19" s="38">
        <v>25</v>
      </c>
      <c r="I19" s="7">
        <v>400</v>
      </c>
      <c r="J19" s="5">
        <v>445</v>
      </c>
      <c r="K19" s="15">
        <f>L19</f>
        <v>445</v>
      </c>
      <c r="L19" s="15">
        <f>445</f>
        <v>445</v>
      </c>
      <c r="M19" s="16">
        <f t="shared" ref="M19" si="18">L19-N19</f>
        <v>445</v>
      </c>
      <c r="N19" s="16">
        <v>0</v>
      </c>
      <c r="O19" s="62">
        <f t="shared" ref="O19" si="19">IF(L19=0,"0",N19/L19)</f>
        <v>0</v>
      </c>
      <c r="P19" s="42">
        <f t="shared" ref="P19" si="20">IF(L19=0,"0",(24-Q19))</f>
        <v>4</v>
      </c>
      <c r="Q19" s="43">
        <f t="shared" ref="Q19" si="21">SUM(R19:AA19)</f>
        <v>20</v>
      </c>
      <c r="R19" s="7"/>
      <c r="S19" s="6"/>
      <c r="T19" s="17"/>
      <c r="U19" s="17"/>
      <c r="V19" s="18"/>
      <c r="W19" s="19">
        <v>20</v>
      </c>
      <c r="X19" s="17"/>
      <c r="Y19" s="20"/>
      <c r="Z19" s="20"/>
      <c r="AA19" s="21"/>
      <c r="AB19" s="8">
        <f t="shared" ref="AB19" si="22">IF(J19=0,"0",(L19/J19))</f>
        <v>1</v>
      </c>
      <c r="AC19" s="9">
        <f t="shared" ref="AC19" si="23">IF(P19=0,"0",(P19/24))</f>
        <v>0.16666666666666666</v>
      </c>
      <c r="AD19" s="10">
        <f>AC19*AB19*(1-O19)</f>
        <v>0.16666666666666666</v>
      </c>
      <c r="AE19" s="39">
        <f t="shared" si="8"/>
        <v>0.2638888888888889</v>
      </c>
      <c r="AF19" s="93">
        <f t="shared" ref="AF19" si="24">A19</f>
        <v>13</v>
      </c>
    </row>
    <row r="20" spans="1:32" ht="27" customHeight="1">
      <c r="A20" s="109">
        <v>13</v>
      </c>
      <c r="B20" s="11" t="s">
        <v>57</v>
      </c>
      <c r="C20" s="37" t="s">
        <v>180</v>
      </c>
      <c r="D20" s="55" t="s">
        <v>117</v>
      </c>
      <c r="E20" s="57" t="s">
        <v>181</v>
      </c>
      <c r="F20" s="33" t="s">
        <v>162</v>
      </c>
      <c r="G20" s="36">
        <v>1</v>
      </c>
      <c r="H20" s="38">
        <v>25</v>
      </c>
      <c r="I20" s="7">
        <v>3000</v>
      </c>
      <c r="J20" s="5">
        <v>3708</v>
      </c>
      <c r="K20" s="15">
        <f>L20</f>
        <v>3708</v>
      </c>
      <c r="L20" s="15">
        <f>414+3294</f>
        <v>3708</v>
      </c>
      <c r="M20" s="16">
        <f t="shared" si="1"/>
        <v>3708</v>
      </c>
      <c r="N20" s="16">
        <v>0</v>
      </c>
      <c r="O20" s="62">
        <f t="shared" si="2"/>
        <v>0</v>
      </c>
      <c r="P20" s="42">
        <f t="shared" si="3"/>
        <v>18</v>
      </c>
      <c r="Q20" s="43">
        <f t="shared" si="4"/>
        <v>6</v>
      </c>
      <c r="R20" s="7"/>
      <c r="S20" s="6"/>
      <c r="T20" s="17">
        <v>6</v>
      </c>
      <c r="U20" s="17"/>
      <c r="V20" s="18"/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0.75</v>
      </c>
      <c r="AD20" s="10">
        <f>AC20*AB20*(1-O20)</f>
        <v>0.75</v>
      </c>
      <c r="AE20" s="39">
        <f t="shared" si="8"/>
        <v>0.2638888888888889</v>
      </c>
      <c r="AF20" s="93">
        <f t="shared" si="9"/>
        <v>13</v>
      </c>
    </row>
    <row r="21" spans="1:32" ht="27" customHeight="1">
      <c r="A21" s="109">
        <v>14</v>
      </c>
      <c r="B21" s="11" t="s">
        <v>57</v>
      </c>
      <c r="C21" s="37" t="s">
        <v>119</v>
      </c>
      <c r="D21" s="55" t="s">
        <v>117</v>
      </c>
      <c r="E21" s="57" t="s">
        <v>129</v>
      </c>
      <c r="F21" s="12" t="s">
        <v>124</v>
      </c>
      <c r="G21" s="36">
        <v>4</v>
      </c>
      <c r="H21" s="38">
        <v>24</v>
      </c>
      <c r="I21" s="7">
        <v>400000</v>
      </c>
      <c r="J21" s="5">
        <v>17176</v>
      </c>
      <c r="K21" s="15">
        <f>L21+12380+14384+22568+16460+13888+20848+20972+20888+19996+10224+14424+21632+20220+19704+9284+22304+15876+16404+16660+17141+13660+19120+18700+19248+17176</f>
        <v>434161</v>
      </c>
      <c r="L21" s="15"/>
      <c r="M21" s="16">
        <f t="shared" si="1"/>
        <v>0</v>
      </c>
      <c r="N21" s="16">
        <v>0</v>
      </c>
      <c r="O21" s="62" t="str">
        <f t="shared" si="2"/>
        <v>0</v>
      </c>
      <c r="P21" s="42" t="str">
        <f t="shared" si="3"/>
        <v>0</v>
      </c>
      <c r="Q21" s="43">
        <f t="shared" si="4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5"/>
        <v>0</v>
      </c>
      <c r="AC21" s="9">
        <f t="shared" si="6"/>
        <v>0</v>
      </c>
      <c r="AD21" s="10">
        <f>AC21*AB21*(1-O21)</f>
        <v>0</v>
      </c>
      <c r="AE21" s="39">
        <f t="shared" si="8"/>
        <v>0.2638888888888889</v>
      </c>
      <c r="AF21" s="93">
        <f t="shared" si="9"/>
        <v>14</v>
      </c>
    </row>
    <row r="22" spans="1:32" ht="27" customHeight="1" thickBot="1">
      <c r="A22" s="109">
        <v>15</v>
      </c>
      <c r="B22" s="11" t="s">
        <v>57</v>
      </c>
      <c r="C22" s="11" t="s">
        <v>115</v>
      </c>
      <c r="D22" s="55"/>
      <c r="E22" s="56" t="s">
        <v>153</v>
      </c>
      <c r="F22" s="12" t="s">
        <v>116</v>
      </c>
      <c r="G22" s="12">
        <v>4</v>
      </c>
      <c r="H22" s="38">
        <v>20</v>
      </c>
      <c r="I22" s="7">
        <v>100000</v>
      </c>
      <c r="J22" s="14">
        <v>82568</v>
      </c>
      <c r="K22" s="15">
        <f>L22+38852+82568</f>
        <v>121420</v>
      </c>
      <c r="L22" s="15"/>
      <c r="M22" s="16">
        <f t="shared" si="1"/>
        <v>0</v>
      </c>
      <c r="N22" s="16">
        <v>0</v>
      </c>
      <c r="O22" s="62" t="str">
        <f t="shared" si="2"/>
        <v>0</v>
      </c>
      <c r="P22" s="42" t="str">
        <f t="shared" si="3"/>
        <v>0</v>
      </c>
      <c r="Q22" s="43">
        <f t="shared" si="4"/>
        <v>0</v>
      </c>
      <c r="R22" s="7"/>
      <c r="S22" s="6"/>
      <c r="T22" s="17"/>
      <c r="U22" s="17"/>
      <c r="V22" s="18"/>
      <c r="W22" s="19"/>
      <c r="X22" s="17"/>
      <c r="Y22" s="20"/>
      <c r="Z22" s="20"/>
      <c r="AA22" s="21"/>
      <c r="AB22" s="8">
        <f t="shared" si="5"/>
        <v>0</v>
      </c>
      <c r="AC22" s="9">
        <f t="shared" si="6"/>
        <v>0</v>
      </c>
      <c r="AD22" s="10">
        <f t="shared" si="7"/>
        <v>0</v>
      </c>
      <c r="AE22" s="39">
        <f t="shared" si="8"/>
        <v>0.2638888888888889</v>
      </c>
      <c r="AF22" s="93">
        <f t="shared" si="9"/>
        <v>15</v>
      </c>
    </row>
    <row r="23" spans="1:32" ht="31.5" customHeight="1" thickBot="1">
      <c r="A23" s="312" t="s">
        <v>34</v>
      </c>
      <c r="B23" s="313"/>
      <c r="C23" s="313"/>
      <c r="D23" s="313"/>
      <c r="E23" s="313"/>
      <c r="F23" s="313"/>
      <c r="G23" s="313"/>
      <c r="H23" s="314"/>
      <c r="I23" s="25">
        <f t="shared" ref="I23:N23" si="25">SUM(I6:I22)</f>
        <v>511600</v>
      </c>
      <c r="J23" s="22">
        <f t="shared" si="25"/>
        <v>116911</v>
      </c>
      <c r="K23" s="23">
        <f t="shared" si="25"/>
        <v>572748</v>
      </c>
      <c r="L23" s="24">
        <f t="shared" si="25"/>
        <v>17167</v>
      </c>
      <c r="M23" s="23">
        <f t="shared" si="25"/>
        <v>17167</v>
      </c>
      <c r="N23" s="24">
        <f t="shared" si="25"/>
        <v>0</v>
      </c>
      <c r="O23" s="44">
        <f t="shared" si="2"/>
        <v>0</v>
      </c>
      <c r="P23" s="45">
        <f t="shared" ref="P23:AA23" si="26">SUM(P6:P22)</f>
        <v>95</v>
      </c>
      <c r="Q23" s="46">
        <f t="shared" si="26"/>
        <v>265</v>
      </c>
      <c r="R23" s="26">
        <f t="shared" si="26"/>
        <v>24</v>
      </c>
      <c r="S23" s="27">
        <f t="shared" si="26"/>
        <v>0</v>
      </c>
      <c r="T23" s="27">
        <f t="shared" si="26"/>
        <v>17</v>
      </c>
      <c r="U23" s="27">
        <f t="shared" si="26"/>
        <v>0</v>
      </c>
      <c r="V23" s="28">
        <f t="shared" si="26"/>
        <v>0</v>
      </c>
      <c r="W23" s="29">
        <f t="shared" si="26"/>
        <v>224</v>
      </c>
      <c r="X23" s="30">
        <f t="shared" si="26"/>
        <v>0</v>
      </c>
      <c r="Y23" s="30">
        <f t="shared" si="26"/>
        <v>0</v>
      </c>
      <c r="Z23" s="30">
        <f t="shared" si="26"/>
        <v>0</v>
      </c>
      <c r="AA23" s="30">
        <f t="shared" si="26"/>
        <v>0</v>
      </c>
      <c r="AB23" s="31">
        <f>SUM(AB6:AB22)/15</f>
        <v>0.53333333333333333</v>
      </c>
      <c r="AC23" s="4">
        <f>SUM(AC6:AC22)/15</f>
        <v>0.2638888888888889</v>
      </c>
      <c r="AD23" s="4">
        <f>SUM(AD6:AD22)/15</f>
        <v>0.2638888888888889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315" t="s">
        <v>45</v>
      </c>
      <c r="B50" s="315"/>
      <c r="C50" s="315"/>
      <c r="D50" s="315"/>
      <c r="E50" s="315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316" t="s">
        <v>182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19" t="s">
        <v>191</v>
      </c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1"/>
    </row>
    <row r="52" spans="1:32" ht="27" customHeight="1">
      <c r="A52" s="322" t="s">
        <v>2</v>
      </c>
      <c r="B52" s="323"/>
      <c r="C52" s="151" t="s">
        <v>46</v>
      </c>
      <c r="D52" s="151" t="s">
        <v>47</v>
      </c>
      <c r="E52" s="151" t="s">
        <v>108</v>
      </c>
      <c r="F52" s="323" t="s">
        <v>107</v>
      </c>
      <c r="G52" s="323"/>
      <c r="H52" s="323"/>
      <c r="I52" s="323"/>
      <c r="J52" s="323"/>
      <c r="K52" s="323"/>
      <c r="L52" s="323"/>
      <c r="M52" s="324"/>
      <c r="N52" s="73" t="s">
        <v>112</v>
      </c>
      <c r="O52" s="151" t="s">
        <v>46</v>
      </c>
      <c r="P52" s="325" t="s">
        <v>47</v>
      </c>
      <c r="Q52" s="326"/>
      <c r="R52" s="325" t="s">
        <v>38</v>
      </c>
      <c r="S52" s="327"/>
      <c r="T52" s="327"/>
      <c r="U52" s="326"/>
      <c r="V52" s="325" t="s">
        <v>48</v>
      </c>
      <c r="W52" s="327"/>
      <c r="X52" s="327"/>
      <c r="Y52" s="327"/>
      <c r="Z52" s="327"/>
      <c r="AA52" s="327"/>
      <c r="AB52" s="327"/>
      <c r="AC52" s="327"/>
      <c r="AD52" s="328"/>
    </row>
    <row r="53" spans="1:32" ht="27" customHeight="1">
      <c r="A53" s="339" t="s">
        <v>114</v>
      </c>
      <c r="B53" s="340"/>
      <c r="C53" s="148" t="s">
        <v>183</v>
      </c>
      <c r="D53" s="148" t="s">
        <v>164</v>
      </c>
      <c r="E53" s="148" t="s">
        <v>165</v>
      </c>
      <c r="F53" s="341" t="s">
        <v>131</v>
      </c>
      <c r="G53" s="342"/>
      <c r="H53" s="342"/>
      <c r="I53" s="342"/>
      <c r="J53" s="342"/>
      <c r="K53" s="342"/>
      <c r="L53" s="342"/>
      <c r="M53" s="343"/>
      <c r="N53" s="147" t="s">
        <v>115</v>
      </c>
      <c r="O53" s="124" t="s">
        <v>147</v>
      </c>
      <c r="P53" s="340"/>
      <c r="Q53" s="340"/>
      <c r="R53" s="340" t="s">
        <v>126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119</v>
      </c>
      <c r="B54" s="340"/>
      <c r="C54" s="148" t="s">
        <v>184</v>
      </c>
      <c r="D54" s="148" t="s">
        <v>170</v>
      </c>
      <c r="E54" s="148" t="s">
        <v>171</v>
      </c>
      <c r="F54" s="341" t="s">
        <v>131</v>
      </c>
      <c r="G54" s="342"/>
      <c r="H54" s="342"/>
      <c r="I54" s="342"/>
      <c r="J54" s="342"/>
      <c r="K54" s="342"/>
      <c r="L54" s="342"/>
      <c r="M54" s="343"/>
      <c r="N54" s="147" t="s">
        <v>119</v>
      </c>
      <c r="O54" s="124" t="s">
        <v>187</v>
      </c>
      <c r="P54" s="340" t="s">
        <v>193</v>
      </c>
      <c r="Q54" s="340"/>
      <c r="R54" s="340" t="s">
        <v>192</v>
      </c>
      <c r="S54" s="340"/>
      <c r="T54" s="340"/>
      <c r="U54" s="340"/>
      <c r="V54" s="346" t="s">
        <v>131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114</v>
      </c>
      <c r="B55" s="340"/>
      <c r="C55" s="148" t="s">
        <v>186</v>
      </c>
      <c r="D55" s="148" t="s">
        <v>122</v>
      </c>
      <c r="E55" s="148" t="s">
        <v>185</v>
      </c>
      <c r="F55" s="341" t="s">
        <v>131</v>
      </c>
      <c r="G55" s="342"/>
      <c r="H55" s="342"/>
      <c r="I55" s="342"/>
      <c r="J55" s="342"/>
      <c r="K55" s="342"/>
      <c r="L55" s="342"/>
      <c r="M55" s="343"/>
      <c r="N55" s="147" t="s">
        <v>119</v>
      </c>
      <c r="O55" s="124" t="s">
        <v>186</v>
      </c>
      <c r="P55" s="340" t="s">
        <v>195</v>
      </c>
      <c r="Q55" s="340"/>
      <c r="R55" s="340" t="s">
        <v>194</v>
      </c>
      <c r="S55" s="340"/>
      <c r="T55" s="340"/>
      <c r="U55" s="340"/>
      <c r="V55" s="346" t="s">
        <v>131</v>
      </c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 t="s">
        <v>114</v>
      </c>
      <c r="B56" s="340"/>
      <c r="C56" s="148" t="s">
        <v>187</v>
      </c>
      <c r="D56" s="148" t="s">
        <v>175</v>
      </c>
      <c r="E56" s="148" t="s">
        <v>176</v>
      </c>
      <c r="F56" s="341" t="s">
        <v>131</v>
      </c>
      <c r="G56" s="342"/>
      <c r="H56" s="342"/>
      <c r="I56" s="342"/>
      <c r="J56" s="342"/>
      <c r="K56" s="342"/>
      <c r="L56" s="342"/>
      <c r="M56" s="343"/>
      <c r="N56" s="147" t="s">
        <v>119</v>
      </c>
      <c r="O56" s="124" t="s">
        <v>184</v>
      </c>
      <c r="P56" s="344" t="s">
        <v>170</v>
      </c>
      <c r="Q56" s="345"/>
      <c r="R56" s="340" t="s">
        <v>196</v>
      </c>
      <c r="S56" s="340"/>
      <c r="T56" s="340"/>
      <c r="U56" s="340"/>
      <c r="V56" s="346" t="s">
        <v>131</v>
      </c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 t="s">
        <v>119</v>
      </c>
      <c r="B57" s="340"/>
      <c r="C57" s="148" t="s">
        <v>187</v>
      </c>
      <c r="D57" s="148" t="s">
        <v>173</v>
      </c>
      <c r="E57" s="148" t="s">
        <v>174</v>
      </c>
      <c r="F57" s="341" t="s">
        <v>131</v>
      </c>
      <c r="G57" s="342"/>
      <c r="H57" s="342"/>
      <c r="I57" s="342"/>
      <c r="J57" s="342"/>
      <c r="K57" s="342"/>
      <c r="L57" s="342"/>
      <c r="M57" s="343"/>
      <c r="N57" s="147" t="s">
        <v>119</v>
      </c>
      <c r="O57" s="124" t="s">
        <v>199</v>
      </c>
      <c r="P57" s="340" t="s">
        <v>198</v>
      </c>
      <c r="Q57" s="340"/>
      <c r="R57" s="340" t="s">
        <v>197</v>
      </c>
      <c r="S57" s="340"/>
      <c r="T57" s="340"/>
      <c r="U57" s="340"/>
      <c r="V57" s="346" t="s">
        <v>131</v>
      </c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 t="s">
        <v>114</v>
      </c>
      <c r="B58" s="340"/>
      <c r="C58" s="148" t="s">
        <v>188</v>
      </c>
      <c r="D58" s="148" t="s">
        <v>120</v>
      </c>
      <c r="E58" s="148" t="s">
        <v>178</v>
      </c>
      <c r="F58" s="341" t="s">
        <v>131</v>
      </c>
      <c r="G58" s="342"/>
      <c r="H58" s="342"/>
      <c r="I58" s="342"/>
      <c r="J58" s="342"/>
      <c r="K58" s="342"/>
      <c r="L58" s="342"/>
      <c r="M58" s="343"/>
      <c r="N58" s="147" t="s">
        <v>119</v>
      </c>
      <c r="O58" s="124" t="s">
        <v>183</v>
      </c>
      <c r="P58" s="344" t="s">
        <v>173</v>
      </c>
      <c r="Q58" s="345"/>
      <c r="R58" s="340" t="s">
        <v>200</v>
      </c>
      <c r="S58" s="340"/>
      <c r="T58" s="340"/>
      <c r="U58" s="340"/>
      <c r="V58" s="346" t="s">
        <v>131</v>
      </c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 t="s">
        <v>180</v>
      </c>
      <c r="B59" s="340"/>
      <c r="C59" s="148" t="s">
        <v>188</v>
      </c>
      <c r="D59" s="148" t="s">
        <v>117</v>
      </c>
      <c r="E59" s="148" t="s">
        <v>181</v>
      </c>
      <c r="F59" s="341" t="s">
        <v>131</v>
      </c>
      <c r="G59" s="342"/>
      <c r="H59" s="342"/>
      <c r="I59" s="342"/>
      <c r="J59" s="342"/>
      <c r="K59" s="342"/>
      <c r="L59" s="342"/>
      <c r="M59" s="343"/>
      <c r="N59" s="147"/>
      <c r="O59" s="124"/>
      <c r="P59" s="344"/>
      <c r="Q59" s="345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</row>
    <row r="60" spans="1:32" ht="27" customHeight="1">
      <c r="A60" s="339"/>
      <c r="B60" s="340"/>
      <c r="C60" s="148"/>
      <c r="D60" s="148"/>
      <c r="E60" s="148"/>
      <c r="F60" s="346"/>
      <c r="G60" s="346"/>
      <c r="H60" s="346"/>
      <c r="I60" s="346"/>
      <c r="J60" s="346"/>
      <c r="K60" s="346"/>
      <c r="L60" s="346"/>
      <c r="M60" s="347"/>
      <c r="N60" s="147"/>
      <c r="O60" s="124"/>
      <c r="P60" s="344"/>
      <c r="Q60" s="345"/>
      <c r="R60" s="340"/>
      <c r="S60" s="340"/>
      <c r="T60" s="340"/>
      <c r="U60" s="340"/>
      <c r="V60" s="346"/>
      <c r="W60" s="346"/>
      <c r="X60" s="346"/>
      <c r="Y60" s="346"/>
      <c r="Z60" s="346"/>
      <c r="AA60" s="346"/>
      <c r="AB60" s="346"/>
      <c r="AC60" s="346"/>
      <c r="AD60" s="347"/>
    </row>
    <row r="61" spans="1:32" ht="27" customHeight="1">
      <c r="A61" s="339"/>
      <c r="B61" s="340"/>
      <c r="C61" s="148"/>
      <c r="D61" s="148"/>
      <c r="E61" s="148"/>
      <c r="F61" s="341"/>
      <c r="G61" s="342"/>
      <c r="H61" s="342"/>
      <c r="I61" s="342"/>
      <c r="J61" s="342"/>
      <c r="K61" s="342"/>
      <c r="L61" s="342"/>
      <c r="M61" s="343"/>
      <c r="N61" s="147"/>
      <c r="O61" s="124"/>
      <c r="P61" s="340"/>
      <c r="Q61" s="340"/>
      <c r="R61" s="340"/>
      <c r="S61" s="340"/>
      <c r="T61" s="340"/>
      <c r="U61" s="340"/>
      <c r="V61" s="346"/>
      <c r="W61" s="346"/>
      <c r="X61" s="346"/>
      <c r="Y61" s="346"/>
      <c r="Z61" s="346"/>
      <c r="AA61" s="346"/>
      <c r="AB61" s="346"/>
      <c r="AC61" s="346"/>
      <c r="AD61" s="347"/>
      <c r="AF61" s="93">
        <f>8*3000</f>
        <v>24000</v>
      </c>
    </row>
    <row r="62" spans="1:32" ht="27" customHeight="1" thickBot="1">
      <c r="A62" s="348"/>
      <c r="B62" s="349"/>
      <c r="C62" s="150"/>
      <c r="D62" s="150"/>
      <c r="E62" s="150"/>
      <c r="F62" s="350"/>
      <c r="G62" s="350"/>
      <c r="H62" s="350"/>
      <c r="I62" s="350"/>
      <c r="J62" s="350"/>
      <c r="K62" s="350"/>
      <c r="L62" s="350"/>
      <c r="M62" s="351"/>
      <c r="N62" s="149"/>
      <c r="O62" s="120"/>
      <c r="P62" s="349"/>
      <c r="Q62" s="349"/>
      <c r="R62" s="349"/>
      <c r="S62" s="349"/>
      <c r="T62" s="349"/>
      <c r="U62" s="349"/>
      <c r="V62" s="352"/>
      <c r="W62" s="352"/>
      <c r="X62" s="352"/>
      <c r="Y62" s="352"/>
      <c r="Z62" s="352"/>
      <c r="AA62" s="352"/>
      <c r="AB62" s="352"/>
      <c r="AC62" s="352"/>
      <c r="AD62" s="353"/>
      <c r="AF62" s="93">
        <f>16*3000</f>
        <v>48000</v>
      </c>
    </row>
    <row r="63" spans="1:32" ht="27.75" thickBot="1">
      <c r="A63" s="354" t="s">
        <v>201</v>
      </c>
      <c r="B63" s="354"/>
      <c r="C63" s="354"/>
      <c r="D63" s="354"/>
      <c r="E63" s="354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355" t="s">
        <v>113</v>
      </c>
      <c r="B64" s="356"/>
      <c r="C64" s="146" t="s">
        <v>2</v>
      </c>
      <c r="D64" s="146" t="s">
        <v>37</v>
      </c>
      <c r="E64" s="146" t="s">
        <v>3</v>
      </c>
      <c r="F64" s="356" t="s">
        <v>110</v>
      </c>
      <c r="G64" s="356"/>
      <c r="H64" s="356"/>
      <c r="I64" s="356"/>
      <c r="J64" s="356"/>
      <c r="K64" s="356" t="s">
        <v>39</v>
      </c>
      <c r="L64" s="356"/>
      <c r="M64" s="146" t="s">
        <v>40</v>
      </c>
      <c r="N64" s="356" t="s">
        <v>41</v>
      </c>
      <c r="O64" s="356"/>
      <c r="P64" s="357" t="s">
        <v>42</v>
      </c>
      <c r="Q64" s="358"/>
      <c r="R64" s="357" t="s">
        <v>43</v>
      </c>
      <c r="S64" s="359"/>
      <c r="T64" s="359"/>
      <c r="U64" s="359"/>
      <c r="V64" s="359"/>
      <c r="W64" s="359"/>
      <c r="X64" s="359"/>
      <c r="Y64" s="359"/>
      <c r="Z64" s="359"/>
      <c r="AA64" s="358"/>
      <c r="AB64" s="356" t="s">
        <v>44</v>
      </c>
      <c r="AC64" s="356"/>
      <c r="AD64" s="360"/>
      <c r="AF64" s="93">
        <f>SUM(AF61:AF63)</f>
        <v>96000</v>
      </c>
    </row>
    <row r="65" spans="1:32" ht="25.5" customHeight="1">
      <c r="A65" s="361">
        <v>1</v>
      </c>
      <c r="B65" s="362"/>
      <c r="C65" s="123" t="s">
        <v>119</v>
      </c>
      <c r="D65" s="142"/>
      <c r="E65" s="145" t="s">
        <v>122</v>
      </c>
      <c r="F65" s="363" t="s">
        <v>189</v>
      </c>
      <c r="G65" s="364"/>
      <c r="H65" s="364"/>
      <c r="I65" s="364"/>
      <c r="J65" s="364"/>
      <c r="K65" s="364" t="s">
        <v>162</v>
      </c>
      <c r="L65" s="364"/>
      <c r="M65" s="54" t="s">
        <v>190</v>
      </c>
      <c r="N65" s="364">
        <v>14</v>
      </c>
      <c r="O65" s="364"/>
      <c r="P65" s="365">
        <v>100</v>
      </c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2</v>
      </c>
      <c r="B66" s="362"/>
      <c r="C66" s="123"/>
      <c r="D66" s="142"/>
      <c r="E66" s="145"/>
      <c r="F66" s="363"/>
      <c r="G66" s="364"/>
      <c r="H66" s="364"/>
      <c r="I66" s="364"/>
      <c r="J66" s="364"/>
      <c r="K66" s="364"/>
      <c r="L66" s="364"/>
      <c r="M66" s="54"/>
      <c r="N66" s="364"/>
      <c r="O66" s="364"/>
      <c r="P66" s="365"/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3</v>
      </c>
      <c r="B67" s="362"/>
      <c r="C67" s="123"/>
      <c r="D67" s="142"/>
      <c r="E67" s="145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4</v>
      </c>
      <c r="B68" s="362"/>
      <c r="C68" s="123"/>
      <c r="D68" s="142"/>
      <c r="E68" s="145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5</v>
      </c>
      <c r="B69" s="362"/>
      <c r="C69" s="123"/>
      <c r="D69" s="142"/>
      <c r="E69" s="145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6</v>
      </c>
      <c r="B70" s="362"/>
      <c r="C70" s="123"/>
      <c r="D70" s="142"/>
      <c r="E70" s="145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5.5" customHeight="1">
      <c r="A71" s="361">
        <v>7</v>
      </c>
      <c r="B71" s="362"/>
      <c r="C71" s="123"/>
      <c r="D71" s="142"/>
      <c r="E71" s="145"/>
      <c r="F71" s="363"/>
      <c r="G71" s="364"/>
      <c r="H71" s="364"/>
      <c r="I71" s="364"/>
      <c r="J71" s="364"/>
      <c r="K71" s="364"/>
      <c r="L71" s="364"/>
      <c r="M71" s="54"/>
      <c r="N71" s="364"/>
      <c r="O71" s="364"/>
      <c r="P71" s="365"/>
      <c r="Q71" s="365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64"/>
      <c r="AC71" s="364"/>
      <c r="AD71" s="366"/>
      <c r="AF71" s="53"/>
    </row>
    <row r="72" spans="1:32" ht="25.5" customHeight="1">
      <c r="A72" s="361">
        <v>8</v>
      </c>
      <c r="B72" s="362"/>
      <c r="C72" s="123"/>
      <c r="D72" s="142"/>
      <c r="E72" s="145"/>
      <c r="F72" s="363"/>
      <c r="G72" s="364"/>
      <c r="H72" s="364"/>
      <c r="I72" s="364"/>
      <c r="J72" s="364"/>
      <c r="K72" s="364"/>
      <c r="L72" s="364"/>
      <c r="M72" s="54"/>
      <c r="N72" s="364"/>
      <c r="O72" s="364"/>
      <c r="P72" s="365"/>
      <c r="Q72" s="365"/>
      <c r="R72" s="346"/>
      <c r="S72" s="346"/>
      <c r="T72" s="346"/>
      <c r="U72" s="346"/>
      <c r="V72" s="346"/>
      <c r="W72" s="346"/>
      <c r="X72" s="346"/>
      <c r="Y72" s="346"/>
      <c r="Z72" s="346"/>
      <c r="AA72" s="346"/>
      <c r="AB72" s="364"/>
      <c r="AC72" s="364"/>
      <c r="AD72" s="366"/>
      <c r="AF72" s="53"/>
    </row>
    <row r="73" spans="1:32" ht="26.25" customHeight="1" thickBot="1">
      <c r="A73" s="367" t="s">
        <v>202</v>
      </c>
      <c r="B73" s="367"/>
      <c r="C73" s="367"/>
      <c r="D73" s="367"/>
      <c r="E73" s="36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68" t="s">
        <v>113</v>
      </c>
      <c r="B74" s="369"/>
      <c r="C74" s="144" t="s">
        <v>2</v>
      </c>
      <c r="D74" s="144" t="s">
        <v>37</v>
      </c>
      <c r="E74" s="144" t="s">
        <v>3</v>
      </c>
      <c r="F74" s="369" t="s">
        <v>38</v>
      </c>
      <c r="G74" s="369"/>
      <c r="H74" s="369"/>
      <c r="I74" s="369"/>
      <c r="J74" s="369"/>
      <c r="K74" s="370" t="s">
        <v>58</v>
      </c>
      <c r="L74" s="371"/>
      <c r="M74" s="371"/>
      <c r="N74" s="371"/>
      <c r="O74" s="371"/>
      <c r="P74" s="371"/>
      <c r="Q74" s="371"/>
      <c r="R74" s="371"/>
      <c r="S74" s="372"/>
      <c r="T74" s="369" t="s">
        <v>49</v>
      </c>
      <c r="U74" s="369"/>
      <c r="V74" s="370" t="s">
        <v>50</v>
      </c>
      <c r="W74" s="372"/>
      <c r="X74" s="371" t="s">
        <v>51</v>
      </c>
      <c r="Y74" s="371"/>
      <c r="Z74" s="371"/>
      <c r="AA74" s="371"/>
      <c r="AB74" s="371"/>
      <c r="AC74" s="371"/>
      <c r="AD74" s="373"/>
      <c r="AF74" s="53"/>
    </row>
    <row r="75" spans="1:32" ht="33.75" customHeight="1">
      <c r="A75" s="382">
        <v>1</v>
      </c>
      <c r="B75" s="383"/>
      <c r="C75" s="143" t="s">
        <v>114</v>
      </c>
      <c r="D75" s="143"/>
      <c r="E75" s="71" t="s">
        <v>122</v>
      </c>
      <c r="F75" s="384" t="s">
        <v>121</v>
      </c>
      <c r="G75" s="385"/>
      <c r="H75" s="385"/>
      <c r="I75" s="385"/>
      <c r="J75" s="386"/>
      <c r="K75" s="387" t="s">
        <v>123</v>
      </c>
      <c r="L75" s="388"/>
      <c r="M75" s="388"/>
      <c r="N75" s="388"/>
      <c r="O75" s="388"/>
      <c r="P75" s="388"/>
      <c r="Q75" s="388"/>
      <c r="R75" s="388"/>
      <c r="S75" s="389"/>
      <c r="T75" s="390">
        <v>43384</v>
      </c>
      <c r="U75" s="391"/>
      <c r="V75" s="392"/>
      <c r="W75" s="392"/>
      <c r="X75" s="393"/>
      <c r="Y75" s="393"/>
      <c r="Z75" s="393"/>
      <c r="AA75" s="393"/>
      <c r="AB75" s="393"/>
      <c r="AC75" s="393"/>
      <c r="AD75" s="394"/>
      <c r="AF75" s="53"/>
    </row>
    <row r="76" spans="1:32" ht="30" customHeight="1">
      <c r="A76" s="374">
        <f>A75+1</f>
        <v>2</v>
      </c>
      <c r="B76" s="375"/>
      <c r="C76" s="142"/>
      <c r="D76" s="142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ref="A77:A83" si="27">A76+1</f>
        <v>3</v>
      </c>
      <c r="B77" s="375"/>
      <c r="C77" s="142"/>
      <c r="D77" s="142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27"/>
        <v>4</v>
      </c>
      <c r="B78" s="375"/>
      <c r="C78" s="142"/>
      <c r="D78" s="142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27"/>
        <v>5</v>
      </c>
      <c r="B79" s="375"/>
      <c r="C79" s="142"/>
      <c r="D79" s="142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27"/>
        <v>6</v>
      </c>
      <c r="B80" s="375"/>
      <c r="C80" s="142"/>
      <c r="D80" s="142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27"/>
        <v>7</v>
      </c>
      <c r="B81" s="375"/>
      <c r="C81" s="142"/>
      <c r="D81" s="142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0" customHeight="1">
      <c r="A82" s="374">
        <f t="shared" si="27"/>
        <v>8</v>
      </c>
      <c r="B82" s="375"/>
      <c r="C82" s="142"/>
      <c r="D82" s="142"/>
      <c r="E82" s="35"/>
      <c r="F82" s="375"/>
      <c r="G82" s="375"/>
      <c r="H82" s="375"/>
      <c r="I82" s="375"/>
      <c r="J82" s="375"/>
      <c r="K82" s="376"/>
      <c r="L82" s="377"/>
      <c r="M82" s="377"/>
      <c r="N82" s="377"/>
      <c r="O82" s="377"/>
      <c r="P82" s="377"/>
      <c r="Q82" s="377"/>
      <c r="R82" s="377"/>
      <c r="S82" s="378"/>
      <c r="T82" s="379"/>
      <c r="U82" s="379"/>
      <c r="V82" s="379"/>
      <c r="W82" s="379"/>
      <c r="X82" s="380"/>
      <c r="Y82" s="380"/>
      <c r="Z82" s="380"/>
      <c r="AA82" s="380"/>
      <c r="AB82" s="380"/>
      <c r="AC82" s="380"/>
      <c r="AD82" s="381"/>
      <c r="AF82" s="53"/>
    </row>
    <row r="83" spans="1:32" ht="30" customHeight="1">
      <c r="A83" s="374">
        <f t="shared" si="27"/>
        <v>9</v>
      </c>
      <c r="B83" s="375"/>
      <c r="C83" s="142"/>
      <c r="D83" s="142"/>
      <c r="E83" s="35"/>
      <c r="F83" s="375"/>
      <c r="G83" s="375"/>
      <c r="H83" s="375"/>
      <c r="I83" s="375"/>
      <c r="J83" s="375"/>
      <c r="K83" s="376"/>
      <c r="L83" s="377"/>
      <c r="M83" s="377"/>
      <c r="N83" s="377"/>
      <c r="O83" s="377"/>
      <c r="P83" s="377"/>
      <c r="Q83" s="377"/>
      <c r="R83" s="377"/>
      <c r="S83" s="378"/>
      <c r="T83" s="379"/>
      <c r="U83" s="379"/>
      <c r="V83" s="379"/>
      <c r="W83" s="379"/>
      <c r="X83" s="380"/>
      <c r="Y83" s="380"/>
      <c r="Z83" s="380"/>
      <c r="AA83" s="380"/>
      <c r="AB83" s="380"/>
      <c r="AC83" s="380"/>
      <c r="AD83" s="381"/>
      <c r="AF83" s="53"/>
    </row>
    <row r="84" spans="1:32" ht="36" thickBot="1">
      <c r="A84" s="367" t="s">
        <v>203</v>
      </c>
      <c r="B84" s="367"/>
      <c r="C84" s="367"/>
      <c r="D84" s="367"/>
      <c r="E84" s="36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68" t="s">
        <v>113</v>
      </c>
      <c r="B85" s="369"/>
      <c r="C85" s="395" t="s">
        <v>52</v>
      </c>
      <c r="D85" s="395"/>
      <c r="E85" s="395" t="s">
        <v>53</v>
      </c>
      <c r="F85" s="395"/>
      <c r="G85" s="395"/>
      <c r="H85" s="395"/>
      <c r="I85" s="395"/>
      <c r="J85" s="395"/>
      <c r="K85" s="395" t="s">
        <v>54</v>
      </c>
      <c r="L85" s="395"/>
      <c r="M85" s="395"/>
      <c r="N85" s="395"/>
      <c r="O85" s="395"/>
      <c r="P85" s="395"/>
      <c r="Q85" s="395"/>
      <c r="R85" s="395"/>
      <c r="S85" s="395"/>
      <c r="T85" s="395" t="s">
        <v>55</v>
      </c>
      <c r="U85" s="395"/>
      <c r="V85" s="395" t="s">
        <v>56</v>
      </c>
      <c r="W85" s="395"/>
      <c r="X85" s="395"/>
      <c r="Y85" s="395" t="s">
        <v>51</v>
      </c>
      <c r="Z85" s="395"/>
      <c r="AA85" s="395"/>
      <c r="AB85" s="395"/>
      <c r="AC85" s="395"/>
      <c r="AD85" s="396"/>
      <c r="AF85" s="53"/>
    </row>
    <row r="86" spans="1:32" ht="30.75" customHeight="1">
      <c r="A86" s="382">
        <v>1</v>
      </c>
      <c r="B86" s="383"/>
      <c r="C86" s="397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8"/>
      <c r="W86" s="398"/>
      <c r="X86" s="398"/>
      <c r="Y86" s="399"/>
      <c r="Z86" s="399"/>
      <c r="AA86" s="399"/>
      <c r="AB86" s="399"/>
      <c r="AC86" s="399"/>
      <c r="AD86" s="400"/>
      <c r="AF86" s="53"/>
    </row>
    <row r="87" spans="1:32" ht="30.75" customHeight="1">
      <c r="A87" s="374">
        <v>2</v>
      </c>
      <c r="B87" s="375"/>
      <c r="C87" s="408"/>
      <c r="D87" s="408"/>
      <c r="E87" s="408"/>
      <c r="F87" s="408"/>
      <c r="G87" s="408"/>
      <c r="H87" s="408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9"/>
      <c r="U87" s="409"/>
      <c r="V87" s="410"/>
      <c r="W87" s="410"/>
      <c r="X87" s="410"/>
      <c r="Y87" s="401"/>
      <c r="Z87" s="401"/>
      <c r="AA87" s="401"/>
      <c r="AB87" s="401"/>
      <c r="AC87" s="401"/>
      <c r="AD87" s="402"/>
      <c r="AF87" s="53"/>
    </row>
    <row r="88" spans="1:32" ht="30.75" customHeight="1" thickBot="1">
      <c r="A88" s="403">
        <v>3</v>
      </c>
      <c r="B88" s="404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05"/>
      <c r="O88" s="405"/>
      <c r="P88" s="405"/>
      <c r="Q88" s="405"/>
      <c r="R88" s="405"/>
      <c r="S88" s="405"/>
      <c r="T88" s="405"/>
      <c r="U88" s="405"/>
      <c r="V88" s="405"/>
      <c r="W88" s="405"/>
      <c r="X88" s="405"/>
      <c r="Y88" s="406"/>
      <c r="Z88" s="406"/>
      <c r="AA88" s="406"/>
      <c r="AB88" s="406"/>
      <c r="AC88" s="406"/>
      <c r="AD88" s="407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5AF9-27A7-42B8-8BDB-514E0FA1C0C3}">
  <sheetPr>
    <pageSetUpPr fitToPage="1"/>
  </sheetPr>
  <dimension ref="A1:AF86"/>
  <sheetViews>
    <sheetView zoomScale="72" zoomScaleNormal="72" zoomScaleSheetLayoutView="70" workbookViewId="0">
      <selection activeCell="L8" sqref="L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204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153" t="s">
        <v>17</v>
      </c>
      <c r="L5" s="153" t="s">
        <v>18</v>
      </c>
      <c r="M5" s="153" t="s">
        <v>19</v>
      </c>
      <c r="N5" s="15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15" si="0">L6</f>
        <v>0</v>
      </c>
      <c r="L6" s="15"/>
      <c r="M6" s="16">
        <f t="shared" ref="M6:M20" si="1">L6-N6</f>
        <v>0</v>
      </c>
      <c r="N6" s="16">
        <v>0</v>
      </c>
      <c r="O6" s="62" t="str">
        <f t="shared" ref="O6:O21" si="2">IF(L6=0,"0",N6/L6)</f>
        <v>0</v>
      </c>
      <c r="P6" s="42" t="str">
        <f t="shared" ref="P6:P20" si="3">IF(L6=0,"0",(24-Q6))</f>
        <v>0</v>
      </c>
      <c r="Q6" s="43">
        <f t="shared" ref="Q6:Q20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9">
        <f t="shared" ref="AE6:AE20" si="8">$AD$21</f>
        <v>0.32589717046238786</v>
      </c>
      <c r="AF6" s="93">
        <f t="shared" ref="AF6:AF20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0.32589717046238786</v>
      </c>
      <c r="AF7" s="93">
        <f t="shared" si="9"/>
        <v>2</v>
      </c>
    </row>
    <row r="8" spans="1:32" ht="27" customHeight="1">
      <c r="A8" s="108">
        <v>3</v>
      </c>
      <c r="B8" s="11"/>
      <c r="C8" s="37"/>
      <c r="D8" s="55"/>
      <c r="E8" s="57"/>
      <c r="F8" s="33"/>
      <c r="G8" s="36"/>
      <c r="H8" s="38"/>
      <c r="I8" s="7"/>
      <c r="J8" s="5"/>
      <c r="K8" s="15"/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0.32589717046238786</v>
      </c>
      <c r="AF8" s="93">
        <f t="shared" si="9"/>
        <v>3</v>
      </c>
    </row>
    <row r="9" spans="1:32" ht="27" customHeight="1">
      <c r="A9" s="109">
        <v>4</v>
      </c>
      <c r="B9" s="11"/>
      <c r="C9" s="11"/>
      <c r="D9" s="55"/>
      <c r="E9" s="57"/>
      <c r="F9" s="33"/>
      <c r="G9" s="36"/>
      <c r="H9" s="38"/>
      <c r="I9" s="7"/>
      <c r="J9" s="14">
        <v>0</v>
      </c>
      <c r="K9" s="15">
        <f t="shared" si="0"/>
        <v>0</v>
      </c>
      <c r="L9" s="15"/>
      <c r="M9" s="16">
        <f t="shared" si="1"/>
        <v>0</v>
      </c>
      <c r="N9" s="16">
        <v>0</v>
      </c>
      <c r="O9" s="62" t="str">
        <f t="shared" si="2"/>
        <v>0</v>
      </c>
      <c r="P9" s="42" t="str">
        <f t="shared" si="3"/>
        <v>0</v>
      </c>
      <c r="Q9" s="43">
        <f t="shared" si="4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 t="str">
        <f t="shared" si="5"/>
        <v>0</v>
      </c>
      <c r="AC9" s="9">
        <f t="shared" si="6"/>
        <v>0</v>
      </c>
      <c r="AD9" s="10">
        <f t="shared" si="7"/>
        <v>0</v>
      </c>
      <c r="AE9" s="39">
        <f t="shared" si="8"/>
        <v>0.32589717046238786</v>
      </c>
      <c r="AF9" s="93">
        <f t="shared" si="9"/>
        <v>4</v>
      </c>
    </row>
    <row r="10" spans="1:32" ht="27" customHeight="1">
      <c r="A10" s="109">
        <v>5</v>
      </c>
      <c r="B10" s="11"/>
      <c r="C10" s="11"/>
      <c r="D10" s="55"/>
      <c r="E10" s="57"/>
      <c r="F10" s="12"/>
      <c r="G10" s="12"/>
      <c r="H10" s="13"/>
      <c r="I10" s="7"/>
      <c r="J10" s="14"/>
      <c r="K10" s="15"/>
      <c r="L10" s="15"/>
      <c r="M10" s="16">
        <f t="shared" si="1"/>
        <v>0</v>
      </c>
      <c r="N10" s="16">
        <v>0</v>
      </c>
      <c r="O10" s="62" t="str">
        <f t="shared" si="2"/>
        <v>0</v>
      </c>
      <c r="P10" s="42" t="str">
        <f t="shared" si="3"/>
        <v>0</v>
      </c>
      <c r="Q10" s="43">
        <f t="shared" si="4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 t="str">
        <f t="shared" si="5"/>
        <v>0</v>
      </c>
      <c r="AC10" s="9">
        <f t="shared" si="6"/>
        <v>0</v>
      </c>
      <c r="AD10" s="10">
        <f t="shared" si="7"/>
        <v>0</v>
      </c>
      <c r="AE10" s="39">
        <f t="shared" si="8"/>
        <v>0.32589717046238786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119</v>
      </c>
      <c r="D11" s="55" t="s">
        <v>173</v>
      </c>
      <c r="E11" s="57" t="s">
        <v>200</v>
      </c>
      <c r="F11" s="12" t="s">
        <v>125</v>
      </c>
      <c r="G11" s="12">
        <v>1</v>
      </c>
      <c r="H11" s="13">
        <v>22</v>
      </c>
      <c r="I11" s="7">
        <v>6000</v>
      </c>
      <c r="J11" s="14">
        <v>5300</v>
      </c>
      <c r="K11" s="15">
        <f>L11</f>
        <v>5300</v>
      </c>
      <c r="L11" s="15">
        <f>2956+2344</f>
        <v>5300</v>
      </c>
      <c r="M11" s="16">
        <f t="shared" si="1"/>
        <v>5300</v>
      </c>
      <c r="N11" s="16">
        <v>0</v>
      </c>
      <c r="O11" s="62">
        <f t="shared" si="2"/>
        <v>0</v>
      </c>
      <c r="P11" s="42">
        <f t="shared" si="3"/>
        <v>24</v>
      </c>
      <c r="Q11" s="43">
        <f t="shared" si="4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5"/>
        <v>1</v>
      </c>
      <c r="AC11" s="9">
        <f t="shared" si="6"/>
        <v>1</v>
      </c>
      <c r="AD11" s="10">
        <f t="shared" si="7"/>
        <v>1</v>
      </c>
      <c r="AE11" s="39">
        <f t="shared" si="8"/>
        <v>0.32589717046238786</v>
      </c>
      <c r="AF11" s="93">
        <f t="shared" si="9"/>
        <v>6</v>
      </c>
    </row>
    <row r="12" spans="1:32" ht="27" customHeight="1">
      <c r="A12" s="109">
        <v>7</v>
      </c>
      <c r="B12" s="11" t="s">
        <v>57</v>
      </c>
      <c r="C12" s="11" t="s">
        <v>119</v>
      </c>
      <c r="D12" s="55" t="s">
        <v>198</v>
      </c>
      <c r="E12" s="57" t="s">
        <v>197</v>
      </c>
      <c r="F12" s="33" t="s">
        <v>124</v>
      </c>
      <c r="G12" s="36">
        <v>1</v>
      </c>
      <c r="H12" s="38">
        <v>22</v>
      </c>
      <c r="I12" s="7">
        <v>6000</v>
      </c>
      <c r="J12" s="14">
        <v>4425</v>
      </c>
      <c r="K12" s="15">
        <f>L12</f>
        <v>4425</v>
      </c>
      <c r="L12" s="15">
        <f>2688+1737</f>
        <v>4425</v>
      </c>
      <c r="M12" s="16">
        <f t="shared" si="1"/>
        <v>4425</v>
      </c>
      <c r="N12" s="16">
        <v>0</v>
      </c>
      <c r="O12" s="62">
        <f t="shared" si="2"/>
        <v>0</v>
      </c>
      <c r="P12" s="42">
        <f t="shared" si="3"/>
        <v>24</v>
      </c>
      <c r="Q12" s="43">
        <f t="shared" si="4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5"/>
        <v>1</v>
      </c>
      <c r="AC12" s="9">
        <f t="shared" si="6"/>
        <v>1</v>
      </c>
      <c r="AD12" s="10">
        <f t="shared" si="7"/>
        <v>1</v>
      </c>
      <c r="AE12" s="39">
        <f t="shared" si="8"/>
        <v>0.32589717046238786</v>
      </c>
      <c r="AF12" s="93">
        <f t="shared" si="9"/>
        <v>7</v>
      </c>
    </row>
    <row r="13" spans="1:32" ht="27" customHeight="1">
      <c r="A13" s="109">
        <v>8</v>
      </c>
      <c r="B13" s="11" t="s">
        <v>57</v>
      </c>
      <c r="C13" s="11" t="s">
        <v>119</v>
      </c>
      <c r="D13" s="55" t="s">
        <v>170</v>
      </c>
      <c r="E13" s="57" t="s">
        <v>196</v>
      </c>
      <c r="F13" s="33" t="s">
        <v>127</v>
      </c>
      <c r="G13" s="36" t="s">
        <v>138</v>
      </c>
      <c r="H13" s="38">
        <v>40</v>
      </c>
      <c r="I13" s="7">
        <v>2000</v>
      </c>
      <c r="J13" s="14">
        <v>3864</v>
      </c>
      <c r="K13" s="15">
        <f>L13</f>
        <v>2144</v>
      </c>
      <c r="L13" s="15">
        <f>448+1696</f>
        <v>2144</v>
      </c>
      <c r="M13" s="16">
        <f t="shared" si="1"/>
        <v>2144</v>
      </c>
      <c r="N13" s="16">
        <v>0</v>
      </c>
      <c r="O13" s="62">
        <f t="shared" si="2"/>
        <v>0</v>
      </c>
      <c r="P13" s="42">
        <f t="shared" si="3"/>
        <v>15</v>
      </c>
      <c r="Q13" s="43">
        <f t="shared" si="4"/>
        <v>9</v>
      </c>
      <c r="R13" s="7"/>
      <c r="S13" s="6"/>
      <c r="T13" s="17"/>
      <c r="U13" s="17"/>
      <c r="V13" s="18"/>
      <c r="W13" s="19">
        <v>9</v>
      </c>
      <c r="X13" s="17"/>
      <c r="Y13" s="20"/>
      <c r="Z13" s="20"/>
      <c r="AA13" s="21"/>
      <c r="AB13" s="8">
        <f t="shared" si="5"/>
        <v>0.5548654244306418</v>
      </c>
      <c r="AC13" s="9">
        <f t="shared" si="6"/>
        <v>0.625</v>
      </c>
      <c r="AD13" s="10">
        <f t="shared" si="7"/>
        <v>0.34679089026915111</v>
      </c>
      <c r="AE13" s="39">
        <f t="shared" si="8"/>
        <v>0.32589717046238786</v>
      </c>
      <c r="AF13" s="93">
        <f t="shared" si="9"/>
        <v>8</v>
      </c>
    </row>
    <row r="14" spans="1:32" ht="27" customHeight="1">
      <c r="A14" s="125">
        <v>9</v>
      </c>
      <c r="B14" s="11"/>
      <c r="C14" s="37"/>
      <c r="D14" s="55"/>
      <c r="E14" s="57"/>
      <c r="F14" s="33"/>
      <c r="G14" s="36"/>
      <c r="H14" s="38"/>
      <c r="I14" s="7"/>
      <c r="J14" s="5">
        <v>0</v>
      </c>
      <c r="K14" s="15">
        <f t="shared" si="0"/>
        <v>0</v>
      </c>
      <c r="L14" s="15"/>
      <c r="M14" s="16">
        <f t="shared" si="1"/>
        <v>0</v>
      </c>
      <c r="N14" s="16">
        <v>0</v>
      </c>
      <c r="O14" s="62" t="str">
        <f t="shared" si="2"/>
        <v>0</v>
      </c>
      <c r="P14" s="42" t="str">
        <f t="shared" si="3"/>
        <v>0</v>
      </c>
      <c r="Q14" s="43">
        <f t="shared" si="4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9">
        <f t="shared" si="8"/>
        <v>0.32589717046238786</v>
      </c>
      <c r="AF14" s="93">
        <f t="shared" si="9"/>
        <v>9</v>
      </c>
    </row>
    <row r="15" spans="1:32" ht="27" customHeight="1">
      <c r="A15" s="108">
        <v>10</v>
      </c>
      <c r="B15" s="11"/>
      <c r="C15" s="37"/>
      <c r="D15" s="55"/>
      <c r="E15" s="57"/>
      <c r="F15" s="12"/>
      <c r="G15" s="12"/>
      <c r="H15" s="13"/>
      <c r="I15" s="34"/>
      <c r="J15" s="14">
        <v>0</v>
      </c>
      <c r="K15" s="15">
        <f t="shared" si="0"/>
        <v>0</v>
      </c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0.32589717046238786</v>
      </c>
      <c r="AF15" s="93">
        <f t="shared" si="9"/>
        <v>10</v>
      </c>
    </row>
    <row r="16" spans="1:32" ht="27" customHeight="1">
      <c r="A16" s="108">
        <v>11</v>
      </c>
      <c r="B16" s="11" t="s">
        <v>57</v>
      </c>
      <c r="C16" s="11" t="s">
        <v>119</v>
      </c>
      <c r="D16" s="55" t="s">
        <v>211</v>
      </c>
      <c r="E16" s="57" t="s">
        <v>194</v>
      </c>
      <c r="F16" s="12">
        <v>7301</v>
      </c>
      <c r="G16" s="12" t="s">
        <v>138</v>
      </c>
      <c r="H16" s="13">
        <v>24</v>
      </c>
      <c r="I16" s="7">
        <v>4000</v>
      </c>
      <c r="J16" s="14">
        <v>4157</v>
      </c>
      <c r="K16" s="15">
        <f>L16</f>
        <v>4157</v>
      </c>
      <c r="L16" s="15">
        <f>2527+1630</f>
        <v>4157</v>
      </c>
      <c r="M16" s="16">
        <f t="shared" si="1"/>
        <v>4157</v>
      </c>
      <c r="N16" s="16">
        <v>0</v>
      </c>
      <c r="O16" s="62">
        <f t="shared" si="2"/>
        <v>0</v>
      </c>
      <c r="P16" s="42">
        <f t="shared" si="3"/>
        <v>23</v>
      </c>
      <c r="Q16" s="43">
        <f t="shared" si="4"/>
        <v>1</v>
      </c>
      <c r="R16" s="7"/>
      <c r="S16" s="6"/>
      <c r="T16" s="17">
        <v>1</v>
      </c>
      <c r="U16" s="17"/>
      <c r="V16" s="18"/>
      <c r="W16" s="19"/>
      <c r="X16" s="17"/>
      <c r="Y16" s="20"/>
      <c r="Z16" s="20"/>
      <c r="AA16" s="21"/>
      <c r="AB16" s="8">
        <f t="shared" si="5"/>
        <v>1</v>
      </c>
      <c r="AC16" s="9">
        <f t="shared" si="6"/>
        <v>0.95833333333333337</v>
      </c>
      <c r="AD16" s="10">
        <f t="shared" si="7"/>
        <v>0.95833333333333337</v>
      </c>
      <c r="AE16" s="39">
        <f t="shared" si="8"/>
        <v>0.32589717046238786</v>
      </c>
      <c r="AF16" s="93">
        <f t="shared" si="9"/>
        <v>11</v>
      </c>
    </row>
    <row r="17" spans="1:32" ht="27" customHeight="1">
      <c r="A17" s="108">
        <v>12</v>
      </c>
      <c r="B17" s="11" t="s">
        <v>57</v>
      </c>
      <c r="C17" s="37" t="s">
        <v>119</v>
      </c>
      <c r="D17" s="55" t="s">
        <v>193</v>
      </c>
      <c r="E17" s="57" t="s">
        <v>192</v>
      </c>
      <c r="F17" s="12" t="s">
        <v>125</v>
      </c>
      <c r="G17" s="12">
        <v>2</v>
      </c>
      <c r="H17" s="13">
        <v>24</v>
      </c>
      <c r="I17" s="34">
        <v>12000</v>
      </c>
      <c r="J17" s="14">
        <v>0</v>
      </c>
      <c r="K17" s="15">
        <f>L17</f>
        <v>0</v>
      </c>
      <c r="L17" s="15">
        <v>0</v>
      </c>
      <c r="M17" s="16">
        <f t="shared" si="1"/>
        <v>0</v>
      </c>
      <c r="N17" s="16">
        <v>0</v>
      </c>
      <c r="O17" s="62" t="str">
        <f t="shared" si="2"/>
        <v>0</v>
      </c>
      <c r="P17" s="42" t="str">
        <f t="shared" si="3"/>
        <v>0</v>
      </c>
      <c r="Q17" s="43">
        <f t="shared" si="4"/>
        <v>24</v>
      </c>
      <c r="R17" s="7"/>
      <c r="S17" s="6">
        <v>24</v>
      </c>
      <c r="T17" s="17"/>
      <c r="U17" s="17"/>
      <c r="V17" s="18"/>
      <c r="W17" s="19"/>
      <c r="X17" s="17"/>
      <c r="Y17" s="20"/>
      <c r="Z17" s="20"/>
      <c r="AA17" s="21"/>
      <c r="AB17" s="8" t="str">
        <f t="shared" si="5"/>
        <v>0</v>
      </c>
      <c r="AC17" s="9">
        <f t="shared" si="6"/>
        <v>0</v>
      </c>
      <c r="AD17" s="10">
        <f t="shared" si="7"/>
        <v>0</v>
      </c>
      <c r="AE17" s="39">
        <f t="shared" si="8"/>
        <v>0.32589717046238786</v>
      </c>
      <c r="AF17" s="93">
        <f t="shared" si="9"/>
        <v>12</v>
      </c>
    </row>
    <row r="18" spans="1:32" ht="27" customHeight="1">
      <c r="A18" s="109">
        <v>13</v>
      </c>
      <c r="B18" s="11" t="s">
        <v>57</v>
      </c>
      <c r="C18" s="37" t="s">
        <v>180</v>
      </c>
      <c r="D18" s="55" t="s">
        <v>117</v>
      </c>
      <c r="E18" s="57" t="s">
        <v>181</v>
      </c>
      <c r="F18" s="33" t="s">
        <v>162</v>
      </c>
      <c r="G18" s="36">
        <v>1</v>
      </c>
      <c r="H18" s="38">
        <v>25</v>
      </c>
      <c r="I18" s="7">
        <v>3000</v>
      </c>
      <c r="J18" s="5">
        <v>5246</v>
      </c>
      <c r="K18" s="15">
        <f>L18+3708</f>
        <v>8954</v>
      </c>
      <c r="L18" s="15">
        <f>2767+2479</f>
        <v>5246</v>
      </c>
      <c r="M18" s="16">
        <f t="shared" si="1"/>
        <v>5246</v>
      </c>
      <c r="N18" s="16">
        <v>0</v>
      </c>
      <c r="O18" s="62">
        <f t="shared" si="2"/>
        <v>0</v>
      </c>
      <c r="P18" s="42">
        <f t="shared" si="3"/>
        <v>24</v>
      </c>
      <c r="Q18" s="43">
        <f t="shared" si="4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9">
        <f t="shared" si="8"/>
        <v>0.32589717046238786</v>
      </c>
      <c r="AF18" s="93">
        <f t="shared" si="9"/>
        <v>13</v>
      </c>
    </row>
    <row r="19" spans="1:32" ht="27" customHeight="1">
      <c r="A19" s="109">
        <v>14</v>
      </c>
      <c r="B19" s="11" t="s">
        <v>57</v>
      </c>
      <c r="C19" s="37" t="s">
        <v>119</v>
      </c>
      <c r="D19" s="55" t="s">
        <v>117</v>
      </c>
      <c r="E19" s="57" t="s">
        <v>189</v>
      </c>
      <c r="F19" s="12" t="s">
        <v>162</v>
      </c>
      <c r="G19" s="36">
        <v>1</v>
      </c>
      <c r="H19" s="38">
        <v>24</v>
      </c>
      <c r="I19" s="7">
        <v>6000</v>
      </c>
      <c r="J19" s="5">
        <v>0</v>
      </c>
      <c r="K19" s="15">
        <f>L19</f>
        <v>0</v>
      </c>
      <c r="L19" s="15"/>
      <c r="M19" s="16">
        <f t="shared" si="1"/>
        <v>0</v>
      </c>
      <c r="N19" s="16">
        <v>0</v>
      </c>
      <c r="O19" s="62" t="str">
        <f t="shared" si="2"/>
        <v>0</v>
      </c>
      <c r="P19" s="42" t="str">
        <f t="shared" si="3"/>
        <v>0</v>
      </c>
      <c r="Q19" s="43">
        <f t="shared" si="4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 t="str">
        <f t="shared" si="5"/>
        <v>0</v>
      </c>
      <c r="AC19" s="9">
        <f t="shared" si="6"/>
        <v>0</v>
      </c>
      <c r="AD19" s="10">
        <f>AC19*AB19*(1-O19)</f>
        <v>0</v>
      </c>
      <c r="AE19" s="39">
        <f t="shared" si="8"/>
        <v>0.32589717046238786</v>
      </c>
      <c r="AF19" s="93">
        <f t="shared" si="9"/>
        <v>14</v>
      </c>
    </row>
    <row r="20" spans="1:32" ht="27" customHeight="1" thickBot="1">
      <c r="A20" s="109">
        <v>15</v>
      </c>
      <c r="B20" s="11" t="s">
        <v>57</v>
      </c>
      <c r="C20" s="11" t="s">
        <v>115</v>
      </c>
      <c r="D20" s="55"/>
      <c r="E20" s="56" t="s">
        <v>126</v>
      </c>
      <c r="F20" s="12" t="s">
        <v>116</v>
      </c>
      <c r="G20" s="12">
        <v>4</v>
      </c>
      <c r="H20" s="38">
        <v>20</v>
      </c>
      <c r="I20" s="7">
        <v>500000</v>
      </c>
      <c r="J20" s="14">
        <v>27008</v>
      </c>
      <c r="K20" s="15">
        <f>L20</f>
        <v>27008</v>
      </c>
      <c r="L20" s="15">
        <f>6752*4</f>
        <v>27008</v>
      </c>
      <c r="M20" s="16">
        <f t="shared" si="1"/>
        <v>27008</v>
      </c>
      <c r="N20" s="16">
        <v>0</v>
      </c>
      <c r="O20" s="62">
        <f t="shared" si="2"/>
        <v>0</v>
      </c>
      <c r="P20" s="42">
        <f t="shared" si="3"/>
        <v>14</v>
      </c>
      <c r="Q20" s="43">
        <f t="shared" si="4"/>
        <v>10</v>
      </c>
      <c r="R20" s="7"/>
      <c r="S20" s="6"/>
      <c r="T20" s="17"/>
      <c r="U20" s="17"/>
      <c r="V20" s="18">
        <v>10</v>
      </c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0.58333333333333337</v>
      </c>
      <c r="AD20" s="10">
        <f t="shared" si="7"/>
        <v>0.58333333333333337</v>
      </c>
      <c r="AE20" s="39">
        <f t="shared" si="8"/>
        <v>0.32589717046238786</v>
      </c>
      <c r="AF20" s="93">
        <f t="shared" si="9"/>
        <v>15</v>
      </c>
    </row>
    <row r="21" spans="1:32" ht="31.5" customHeight="1" thickBot="1">
      <c r="A21" s="312" t="s">
        <v>34</v>
      </c>
      <c r="B21" s="313"/>
      <c r="C21" s="313"/>
      <c r="D21" s="313"/>
      <c r="E21" s="313"/>
      <c r="F21" s="313"/>
      <c r="G21" s="313"/>
      <c r="H21" s="314"/>
      <c r="I21" s="25">
        <f t="shared" ref="I21:N21" si="10">SUM(I6:I20)</f>
        <v>539000</v>
      </c>
      <c r="J21" s="22">
        <f t="shared" si="10"/>
        <v>50000</v>
      </c>
      <c r="K21" s="23">
        <f t="shared" si="10"/>
        <v>51988</v>
      </c>
      <c r="L21" s="24">
        <f t="shared" si="10"/>
        <v>48280</v>
      </c>
      <c r="M21" s="23">
        <f t="shared" si="10"/>
        <v>48280</v>
      </c>
      <c r="N21" s="24">
        <f t="shared" si="10"/>
        <v>0</v>
      </c>
      <c r="O21" s="44">
        <f t="shared" si="2"/>
        <v>0</v>
      </c>
      <c r="P21" s="45">
        <f t="shared" ref="P21:AA21" si="11">SUM(P6:P20)</f>
        <v>124</v>
      </c>
      <c r="Q21" s="46">
        <f t="shared" si="11"/>
        <v>236</v>
      </c>
      <c r="R21" s="26">
        <f t="shared" si="11"/>
        <v>24</v>
      </c>
      <c r="S21" s="27">
        <f t="shared" si="11"/>
        <v>48</v>
      </c>
      <c r="T21" s="27">
        <f t="shared" si="11"/>
        <v>1</v>
      </c>
      <c r="U21" s="27">
        <f t="shared" si="11"/>
        <v>0</v>
      </c>
      <c r="V21" s="28">
        <f t="shared" si="11"/>
        <v>10</v>
      </c>
      <c r="W21" s="29">
        <f t="shared" si="11"/>
        <v>153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0.37032436162870941</v>
      </c>
      <c r="AC21" s="4">
        <f>SUM(AC6:AC20)/15</f>
        <v>0.34444444444444444</v>
      </c>
      <c r="AD21" s="4">
        <f>SUM(AD6:AD20)/15</f>
        <v>0.32589717046238786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15" t="s">
        <v>45</v>
      </c>
      <c r="B48" s="315"/>
      <c r="C48" s="315"/>
      <c r="D48" s="315"/>
      <c r="E48" s="31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16" t="s">
        <v>206</v>
      </c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8"/>
      <c r="N49" s="319" t="s">
        <v>207</v>
      </c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1"/>
    </row>
    <row r="50" spans="1:32" ht="27" customHeight="1">
      <c r="A50" s="322" t="s">
        <v>2</v>
      </c>
      <c r="B50" s="323"/>
      <c r="C50" s="154" t="s">
        <v>46</v>
      </c>
      <c r="D50" s="154" t="s">
        <v>47</v>
      </c>
      <c r="E50" s="154" t="s">
        <v>108</v>
      </c>
      <c r="F50" s="323" t="s">
        <v>107</v>
      </c>
      <c r="G50" s="323"/>
      <c r="H50" s="323"/>
      <c r="I50" s="323"/>
      <c r="J50" s="323"/>
      <c r="K50" s="323"/>
      <c r="L50" s="323"/>
      <c r="M50" s="324"/>
      <c r="N50" s="73" t="s">
        <v>112</v>
      </c>
      <c r="O50" s="154" t="s">
        <v>46</v>
      </c>
      <c r="P50" s="325" t="s">
        <v>47</v>
      </c>
      <c r="Q50" s="326"/>
      <c r="R50" s="325" t="s">
        <v>38</v>
      </c>
      <c r="S50" s="327"/>
      <c r="T50" s="327"/>
      <c r="U50" s="326"/>
      <c r="V50" s="325" t="s">
        <v>48</v>
      </c>
      <c r="W50" s="327"/>
      <c r="X50" s="327"/>
      <c r="Y50" s="327"/>
      <c r="Z50" s="327"/>
      <c r="AA50" s="327"/>
      <c r="AB50" s="327"/>
      <c r="AC50" s="327"/>
      <c r="AD50" s="328"/>
    </row>
    <row r="51" spans="1:32" ht="27" customHeight="1">
      <c r="A51" s="339" t="s">
        <v>119</v>
      </c>
      <c r="B51" s="340"/>
      <c r="C51" s="156" t="s">
        <v>183</v>
      </c>
      <c r="D51" s="156" t="s">
        <v>173</v>
      </c>
      <c r="E51" s="156" t="s">
        <v>200</v>
      </c>
      <c r="F51" s="341" t="s">
        <v>131</v>
      </c>
      <c r="G51" s="342"/>
      <c r="H51" s="342"/>
      <c r="I51" s="342"/>
      <c r="J51" s="342"/>
      <c r="K51" s="342"/>
      <c r="L51" s="342"/>
      <c r="M51" s="343"/>
      <c r="N51" s="155" t="s">
        <v>114</v>
      </c>
      <c r="O51" s="124" t="s">
        <v>184</v>
      </c>
      <c r="P51" s="340" t="s">
        <v>122</v>
      </c>
      <c r="Q51" s="340"/>
      <c r="R51" s="340" t="s">
        <v>208</v>
      </c>
      <c r="S51" s="340"/>
      <c r="T51" s="340"/>
      <c r="U51" s="340"/>
      <c r="V51" s="346" t="s">
        <v>131</v>
      </c>
      <c r="W51" s="346"/>
      <c r="X51" s="346"/>
      <c r="Y51" s="346"/>
      <c r="Z51" s="346"/>
      <c r="AA51" s="346"/>
      <c r="AB51" s="346"/>
      <c r="AC51" s="346"/>
      <c r="AD51" s="347"/>
    </row>
    <row r="52" spans="1:32" ht="27" customHeight="1">
      <c r="A52" s="339" t="s">
        <v>119</v>
      </c>
      <c r="B52" s="340"/>
      <c r="C52" s="156" t="s">
        <v>184</v>
      </c>
      <c r="D52" s="156" t="s">
        <v>170</v>
      </c>
      <c r="E52" s="156" t="s">
        <v>196</v>
      </c>
      <c r="F52" s="341" t="s">
        <v>131</v>
      </c>
      <c r="G52" s="342"/>
      <c r="H52" s="342"/>
      <c r="I52" s="342"/>
      <c r="J52" s="342"/>
      <c r="K52" s="342"/>
      <c r="L52" s="342"/>
      <c r="M52" s="343"/>
      <c r="N52" s="155" t="s">
        <v>119</v>
      </c>
      <c r="O52" s="124" t="s">
        <v>136</v>
      </c>
      <c r="P52" s="340" t="s">
        <v>117</v>
      </c>
      <c r="Q52" s="340"/>
      <c r="R52" s="340" t="s">
        <v>189</v>
      </c>
      <c r="S52" s="340"/>
      <c r="T52" s="340"/>
      <c r="U52" s="340"/>
      <c r="V52" s="346" t="s">
        <v>131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119</v>
      </c>
      <c r="B53" s="340"/>
      <c r="C53" s="156" t="s">
        <v>199</v>
      </c>
      <c r="D53" s="156" t="s">
        <v>198</v>
      </c>
      <c r="E53" s="156" t="s">
        <v>197</v>
      </c>
      <c r="F53" s="341" t="s">
        <v>131</v>
      </c>
      <c r="G53" s="342"/>
      <c r="H53" s="342"/>
      <c r="I53" s="342"/>
      <c r="J53" s="342"/>
      <c r="K53" s="342"/>
      <c r="L53" s="342"/>
      <c r="M53" s="343"/>
      <c r="N53" s="155" t="s">
        <v>119</v>
      </c>
      <c r="O53" s="124" t="s">
        <v>188</v>
      </c>
      <c r="P53" s="340" t="s">
        <v>117</v>
      </c>
      <c r="Q53" s="340"/>
      <c r="R53" s="340" t="s">
        <v>209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119</v>
      </c>
      <c r="B54" s="340"/>
      <c r="C54" s="156" t="s">
        <v>186</v>
      </c>
      <c r="D54" s="156" t="s">
        <v>211</v>
      </c>
      <c r="E54" s="156" t="s">
        <v>194</v>
      </c>
      <c r="F54" s="341" t="s">
        <v>131</v>
      </c>
      <c r="G54" s="342"/>
      <c r="H54" s="342"/>
      <c r="I54" s="342"/>
      <c r="J54" s="342"/>
      <c r="K54" s="342"/>
      <c r="L54" s="342"/>
      <c r="M54" s="343"/>
      <c r="N54" s="155" t="s">
        <v>119</v>
      </c>
      <c r="O54" s="124" t="s">
        <v>187</v>
      </c>
      <c r="P54" s="344" t="s">
        <v>193</v>
      </c>
      <c r="Q54" s="345"/>
      <c r="R54" s="340" t="s">
        <v>192</v>
      </c>
      <c r="S54" s="340"/>
      <c r="T54" s="340"/>
      <c r="U54" s="340"/>
      <c r="V54" s="346" t="s">
        <v>131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115</v>
      </c>
      <c r="B55" s="340"/>
      <c r="C55" s="156" t="s">
        <v>147</v>
      </c>
      <c r="D55" s="156"/>
      <c r="E55" s="156" t="s">
        <v>126</v>
      </c>
      <c r="F55" s="341" t="s">
        <v>131</v>
      </c>
      <c r="G55" s="342"/>
      <c r="H55" s="342"/>
      <c r="I55" s="342"/>
      <c r="J55" s="342"/>
      <c r="K55" s="342"/>
      <c r="L55" s="342"/>
      <c r="M55" s="343"/>
      <c r="N55" s="155" t="s">
        <v>119</v>
      </c>
      <c r="O55" s="124" t="s">
        <v>186</v>
      </c>
      <c r="P55" s="340" t="s">
        <v>205</v>
      </c>
      <c r="Q55" s="340"/>
      <c r="R55" s="340" t="s">
        <v>210</v>
      </c>
      <c r="S55" s="340"/>
      <c r="T55" s="340"/>
      <c r="U55" s="340"/>
      <c r="V55" s="346" t="s">
        <v>131</v>
      </c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/>
      <c r="B56" s="340"/>
      <c r="C56" s="156"/>
      <c r="D56" s="156"/>
      <c r="E56" s="156"/>
      <c r="F56" s="341"/>
      <c r="G56" s="342"/>
      <c r="H56" s="342"/>
      <c r="I56" s="342"/>
      <c r="J56" s="342"/>
      <c r="K56" s="342"/>
      <c r="L56" s="342"/>
      <c r="M56" s="343"/>
      <c r="N56" s="155"/>
      <c r="O56" s="124"/>
      <c r="P56" s="344"/>
      <c r="Q56" s="345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156"/>
      <c r="D57" s="156"/>
      <c r="E57" s="156"/>
      <c r="F57" s="341"/>
      <c r="G57" s="342"/>
      <c r="H57" s="342"/>
      <c r="I57" s="342"/>
      <c r="J57" s="342"/>
      <c r="K57" s="342"/>
      <c r="L57" s="342"/>
      <c r="M57" s="343"/>
      <c r="N57" s="155"/>
      <c r="O57" s="124"/>
      <c r="P57" s="344"/>
      <c r="Q57" s="345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156"/>
      <c r="D58" s="156"/>
      <c r="E58" s="156"/>
      <c r="F58" s="346"/>
      <c r="G58" s="346"/>
      <c r="H58" s="346"/>
      <c r="I58" s="346"/>
      <c r="J58" s="346"/>
      <c r="K58" s="346"/>
      <c r="L58" s="346"/>
      <c r="M58" s="347"/>
      <c r="N58" s="155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156"/>
      <c r="D59" s="156"/>
      <c r="E59" s="156"/>
      <c r="F59" s="341"/>
      <c r="G59" s="342"/>
      <c r="H59" s="342"/>
      <c r="I59" s="342"/>
      <c r="J59" s="342"/>
      <c r="K59" s="342"/>
      <c r="L59" s="342"/>
      <c r="M59" s="343"/>
      <c r="N59" s="155"/>
      <c r="O59" s="124"/>
      <c r="P59" s="340"/>
      <c r="Q59" s="340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  <c r="AF59" s="93">
        <f>8*3000</f>
        <v>24000</v>
      </c>
    </row>
    <row r="60" spans="1:32" ht="27" customHeight="1" thickBot="1">
      <c r="A60" s="348"/>
      <c r="B60" s="349"/>
      <c r="C60" s="158"/>
      <c r="D60" s="158"/>
      <c r="E60" s="158"/>
      <c r="F60" s="350"/>
      <c r="G60" s="350"/>
      <c r="H60" s="350"/>
      <c r="I60" s="350"/>
      <c r="J60" s="350"/>
      <c r="K60" s="350"/>
      <c r="L60" s="350"/>
      <c r="M60" s="351"/>
      <c r="N60" s="157"/>
      <c r="O60" s="120"/>
      <c r="P60" s="349"/>
      <c r="Q60" s="349"/>
      <c r="R60" s="349"/>
      <c r="S60" s="349"/>
      <c r="T60" s="349"/>
      <c r="U60" s="349"/>
      <c r="V60" s="352"/>
      <c r="W60" s="352"/>
      <c r="X60" s="352"/>
      <c r="Y60" s="352"/>
      <c r="Z60" s="352"/>
      <c r="AA60" s="352"/>
      <c r="AB60" s="352"/>
      <c r="AC60" s="352"/>
      <c r="AD60" s="353"/>
      <c r="AF60" s="93">
        <f>16*3000</f>
        <v>48000</v>
      </c>
    </row>
    <row r="61" spans="1:32" ht="27.75" thickBot="1">
      <c r="A61" s="354" t="s">
        <v>212</v>
      </c>
      <c r="B61" s="354"/>
      <c r="C61" s="354"/>
      <c r="D61" s="354"/>
      <c r="E61" s="35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55" t="s">
        <v>113</v>
      </c>
      <c r="B62" s="356"/>
      <c r="C62" s="159" t="s">
        <v>2</v>
      </c>
      <c r="D62" s="159" t="s">
        <v>37</v>
      </c>
      <c r="E62" s="159" t="s">
        <v>3</v>
      </c>
      <c r="F62" s="356" t="s">
        <v>110</v>
      </c>
      <c r="G62" s="356"/>
      <c r="H62" s="356"/>
      <c r="I62" s="356"/>
      <c r="J62" s="356"/>
      <c r="K62" s="356" t="s">
        <v>39</v>
      </c>
      <c r="L62" s="356"/>
      <c r="M62" s="159" t="s">
        <v>40</v>
      </c>
      <c r="N62" s="356" t="s">
        <v>41</v>
      </c>
      <c r="O62" s="356"/>
      <c r="P62" s="357" t="s">
        <v>42</v>
      </c>
      <c r="Q62" s="358"/>
      <c r="R62" s="357" t="s">
        <v>43</v>
      </c>
      <c r="S62" s="359"/>
      <c r="T62" s="359"/>
      <c r="U62" s="359"/>
      <c r="V62" s="359"/>
      <c r="W62" s="359"/>
      <c r="X62" s="359"/>
      <c r="Y62" s="359"/>
      <c r="Z62" s="359"/>
      <c r="AA62" s="358"/>
      <c r="AB62" s="356" t="s">
        <v>44</v>
      </c>
      <c r="AC62" s="356"/>
      <c r="AD62" s="360"/>
      <c r="AF62" s="93">
        <f>SUM(AF59:AF61)</f>
        <v>96000</v>
      </c>
    </row>
    <row r="63" spans="1:32" ht="25.5" customHeight="1">
      <c r="A63" s="361">
        <v>1</v>
      </c>
      <c r="B63" s="362"/>
      <c r="C63" s="123"/>
      <c r="D63" s="162"/>
      <c r="E63" s="160"/>
      <c r="F63" s="363"/>
      <c r="G63" s="364"/>
      <c r="H63" s="364"/>
      <c r="I63" s="364"/>
      <c r="J63" s="364"/>
      <c r="K63" s="364"/>
      <c r="L63" s="364"/>
      <c r="M63" s="54"/>
      <c r="N63" s="364"/>
      <c r="O63" s="364"/>
      <c r="P63" s="365"/>
      <c r="Q63" s="365"/>
      <c r="R63" s="346"/>
      <c r="S63" s="346"/>
      <c r="T63" s="346"/>
      <c r="U63" s="346"/>
      <c r="V63" s="346"/>
      <c r="W63" s="346"/>
      <c r="X63" s="346"/>
      <c r="Y63" s="346"/>
      <c r="Z63" s="346"/>
      <c r="AA63" s="346"/>
      <c r="AB63" s="364"/>
      <c r="AC63" s="364"/>
      <c r="AD63" s="366"/>
      <c r="AF63" s="53"/>
    </row>
    <row r="64" spans="1:32" ht="25.5" customHeight="1">
      <c r="A64" s="361">
        <v>2</v>
      </c>
      <c r="B64" s="362"/>
      <c r="C64" s="123"/>
      <c r="D64" s="162"/>
      <c r="E64" s="160"/>
      <c r="F64" s="363"/>
      <c r="G64" s="364"/>
      <c r="H64" s="364"/>
      <c r="I64" s="364"/>
      <c r="J64" s="364"/>
      <c r="K64" s="364"/>
      <c r="L64" s="364"/>
      <c r="M64" s="54"/>
      <c r="N64" s="364"/>
      <c r="O64" s="364"/>
      <c r="P64" s="365"/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3</v>
      </c>
      <c r="B65" s="362"/>
      <c r="C65" s="123"/>
      <c r="D65" s="162"/>
      <c r="E65" s="160"/>
      <c r="F65" s="363"/>
      <c r="G65" s="364"/>
      <c r="H65" s="364"/>
      <c r="I65" s="364"/>
      <c r="J65" s="364"/>
      <c r="K65" s="364"/>
      <c r="L65" s="364"/>
      <c r="M65" s="54"/>
      <c r="N65" s="364"/>
      <c r="O65" s="364"/>
      <c r="P65" s="365"/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4</v>
      </c>
      <c r="B66" s="362"/>
      <c r="C66" s="123"/>
      <c r="D66" s="162"/>
      <c r="E66" s="160"/>
      <c r="F66" s="363"/>
      <c r="G66" s="364"/>
      <c r="H66" s="364"/>
      <c r="I66" s="364"/>
      <c r="J66" s="364"/>
      <c r="K66" s="364"/>
      <c r="L66" s="364"/>
      <c r="M66" s="54"/>
      <c r="N66" s="364"/>
      <c r="O66" s="364"/>
      <c r="P66" s="365"/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5</v>
      </c>
      <c r="B67" s="362"/>
      <c r="C67" s="123"/>
      <c r="D67" s="162"/>
      <c r="E67" s="160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6</v>
      </c>
      <c r="B68" s="362"/>
      <c r="C68" s="123"/>
      <c r="D68" s="162"/>
      <c r="E68" s="160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7</v>
      </c>
      <c r="B69" s="362"/>
      <c r="C69" s="123"/>
      <c r="D69" s="162"/>
      <c r="E69" s="160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8</v>
      </c>
      <c r="B70" s="362"/>
      <c r="C70" s="123"/>
      <c r="D70" s="162"/>
      <c r="E70" s="160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6.25" customHeight="1" thickBot="1">
      <c r="A71" s="367" t="s">
        <v>213</v>
      </c>
      <c r="B71" s="367"/>
      <c r="C71" s="367"/>
      <c r="D71" s="367"/>
      <c r="E71" s="36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8" t="s">
        <v>113</v>
      </c>
      <c r="B72" s="369"/>
      <c r="C72" s="161" t="s">
        <v>2</v>
      </c>
      <c r="D72" s="161" t="s">
        <v>37</v>
      </c>
      <c r="E72" s="161" t="s">
        <v>3</v>
      </c>
      <c r="F72" s="369" t="s">
        <v>38</v>
      </c>
      <c r="G72" s="369"/>
      <c r="H72" s="369"/>
      <c r="I72" s="369"/>
      <c r="J72" s="369"/>
      <c r="K72" s="370" t="s">
        <v>58</v>
      </c>
      <c r="L72" s="371"/>
      <c r="M72" s="371"/>
      <c r="N72" s="371"/>
      <c r="O72" s="371"/>
      <c r="P72" s="371"/>
      <c r="Q72" s="371"/>
      <c r="R72" s="371"/>
      <c r="S72" s="372"/>
      <c r="T72" s="369" t="s">
        <v>49</v>
      </c>
      <c r="U72" s="369"/>
      <c r="V72" s="370" t="s">
        <v>50</v>
      </c>
      <c r="W72" s="372"/>
      <c r="X72" s="371" t="s">
        <v>51</v>
      </c>
      <c r="Y72" s="371"/>
      <c r="Z72" s="371"/>
      <c r="AA72" s="371"/>
      <c r="AB72" s="371"/>
      <c r="AC72" s="371"/>
      <c r="AD72" s="373"/>
      <c r="AF72" s="53"/>
    </row>
    <row r="73" spans="1:32" ht="33.75" customHeight="1">
      <c r="A73" s="382">
        <v>1</v>
      </c>
      <c r="B73" s="383"/>
      <c r="C73" s="163" t="s">
        <v>114</v>
      </c>
      <c r="D73" s="163"/>
      <c r="E73" s="71" t="s">
        <v>122</v>
      </c>
      <c r="F73" s="384" t="s">
        <v>121</v>
      </c>
      <c r="G73" s="385"/>
      <c r="H73" s="385"/>
      <c r="I73" s="385"/>
      <c r="J73" s="386"/>
      <c r="K73" s="387" t="s">
        <v>123</v>
      </c>
      <c r="L73" s="388"/>
      <c r="M73" s="388"/>
      <c r="N73" s="388"/>
      <c r="O73" s="388"/>
      <c r="P73" s="388"/>
      <c r="Q73" s="388"/>
      <c r="R73" s="388"/>
      <c r="S73" s="389"/>
      <c r="T73" s="390">
        <v>43384</v>
      </c>
      <c r="U73" s="391"/>
      <c r="V73" s="392"/>
      <c r="W73" s="392"/>
      <c r="X73" s="393"/>
      <c r="Y73" s="393"/>
      <c r="Z73" s="393"/>
      <c r="AA73" s="393"/>
      <c r="AB73" s="393"/>
      <c r="AC73" s="393"/>
      <c r="AD73" s="394"/>
      <c r="AF73" s="53"/>
    </row>
    <row r="74" spans="1:32" ht="30" customHeight="1">
      <c r="A74" s="374">
        <f>A73+1</f>
        <v>2</v>
      </c>
      <c r="B74" s="375"/>
      <c r="C74" s="162"/>
      <c r="D74" s="162"/>
      <c r="E74" s="35"/>
      <c r="F74" s="375"/>
      <c r="G74" s="375"/>
      <c r="H74" s="375"/>
      <c r="I74" s="375"/>
      <c r="J74" s="375"/>
      <c r="K74" s="376"/>
      <c r="L74" s="377"/>
      <c r="M74" s="377"/>
      <c r="N74" s="377"/>
      <c r="O74" s="377"/>
      <c r="P74" s="377"/>
      <c r="Q74" s="377"/>
      <c r="R74" s="377"/>
      <c r="S74" s="378"/>
      <c r="T74" s="379"/>
      <c r="U74" s="379"/>
      <c r="V74" s="379"/>
      <c r="W74" s="379"/>
      <c r="X74" s="380"/>
      <c r="Y74" s="380"/>
      <c r="Z74" s="380"/>
      <c r="AA74" s="380"/>
      <c r="AB74" s="380"/>
      <c r="AC74" s="380"/>
      <c r="AD74" s="381"/>
      <c r="AF74" s="53"/>
    </row>
    <row r="75" spans="1:32" ht="30" customHeight="1">
      <c r="A75" s="374">
        <f t="shared" ref="A75:A81" si="12">A74+1</f>
        <v>3</v>
      </c>
      <c r="B75" s="375"/>
      <c r="C75" s="162"/>
      <c r="D75" s="162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si="12"/>
        <v>4</v>
      </c>
      <c r="B76" s="375"/>
      <c r="C76" s="162"/>
      <c r="D76" s="162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12"/>
        <v>5</v>
      </c>
      <c r="B77" s="375"/>
      <c r="C77" s="162"/>
      <c r="D77" s="162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12"/>
        <v>6</v>
      </c>
      <c r="B78" s="375"/>
      <c r="C78" s="162"/>
      <c r="D78" s="162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12"/>
        <v>7</v>
      </c>
      <c r="B79" s="375"/>
      <c r="C79" s="162"/>
      <c r="D79" s="162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12"/>
        <v>8</v>
      </c>
      <c r="B80" s="375"/>
      <c r="C80" s="162"/>
      <c r="D80" s="162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12"/>
        <v>9</v>
      </c>
      <c r="B81" s="375"/>
      <c r="C81" s="162"/>
      <c r="D81" s="162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6" thickBot="1">
      <c r="A82" s="367" t="s">
        <v>214</v>
      </c>
      <c r="B82" s="367"/>
      <c r="C82" s="367"/>
      <c r="D82" s="367"/>
      <c r="E82" s="36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68" t="s">
        <v>113</v>
      </c>
      <c r="B83" s="369"/>
      <c r="C83" s="395" t="s">
        <v>52</v>
      </c>
      <c r="D83" s="395"/>
      <c r="E83" s="395" t="s">
        <v>53</v>
      </c>
      <c r="F83" s="395"/>
      <c r="G83" s="395"/>
      <c r="H83" s="395"/>
      <c r="I83" s="395"/>
      <c r="J83" s="395"/>
      <c r="K83" s="395" t="s">
        <v>54</v>
      </c>
      <c r="L83" s="395"/>
      <c r="M83" s="395"/>
      <c r="N83" s="395"/>
      <c r="O83" s="395"/>
      <c r="P83" s="395"/>
      <c r="Q83" s="395"/>
      <c r="R83" s="395"/>
      <c r="S83" s="395"/>
      <c r="T83" s="395" t="s">
        <v>55</v>
      </c>
      <c r="U83" s="395"/>
      <c r="V83" s="395" t="s">
        <v>56</v>
      </c>
      <c r="W83" s="395"/>
      <c r="X83" s="395"/>
      <c r="Y83" s="395" t="s">
        <v>51</v>
      </c>
      <c r="Z83" s="395"/>
      <c r="AA83" s="395"/>
      <c r="AB83" s="395"/>
      <c r="AC83" s="395"/>
      <c r="AD83" s="396"/>
      <c r="AF83" s="53"/>
    </row>
    <row r="84" spans="1:32" ht="30.75" customHeight="1">
      <c r="A84" s="382">
        <v>1</v>
      </c>
      <c r="B84" s="383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8"/>
      <c r="W84" s="398"/>
      <c r="X84" s="398"/>
      <c r="Y84" s="399"/>
      <c r="Z84" s="399"/>
      <c r="AA84" s="399"/>
      <c r="AB84" s="399"/>
      <c r="AC84" s="399"/>
      <c r="AD84" s="400"/>
      <c r="AF84" s="53"/>
    </row>
    <row r="85" spans="1:32" ht="30.75" customHeight="1">
      <c r="A85" s="374">
        <v>2</v>
      </c>
      <c r="B85" s="375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9"/>
      <c r="U85" s="409"/>
      <c r="V85" s="410"/>
      <c r="W85" s="410"/>
      <c r="X85" s="410"/>
      <c r="Y85" s="401"/>
      <c r="Z85" s="401"/>
      <c r="AA85" s="401"/>
      <c r="AB85" s="401"/>
      <c r="AC85" s="401"/>
      <c r="AD85" s="402"/>
      <c r="AF85" s="53"/>
    </row>
    <row r="86" spans="1:32" ht="30.75" customHeight="1" thickBot="1">
      <c r="A86" s="403">
        <v>3</v>
      </c>
      <c r="B86" s="404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6"/>
      <c r="Z86" s="406"/>
      <c r="AA86" s="406"/>
      <c r="AB86" s="406"/>
      <c r="AC86" s="406"/>
      <c r="AD86" s="40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3136-86F0-41ED-B66D-58025A21F88D}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215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174" t="s">
        <v>17</v>
      </c>
      <c r="L5" s="174" t="s">
        <v>18</v>
      </c>
      <c r="M5" s="174" t="s">
        <v>19</v>
      </c>
      <c r="N5" s="17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15" si="0">L6</f>
        <v>0</v>
      </c>
      <c r="L6" s="15"/>
      <c r="M6" s="16">
        <f t="shared" ref="M6:M20" si="1">L6-N6</f>
        <v>0</v>
      </c>
      <c r="N6" s="16">
        <v>0</v>
      </c>
      <c r="O6" s="62" t="str">
        <f t="shared" ref="O6:O21" si="2">IF(L6=0,"0",N6/L6)</f>
        <v>0</v>
      </c>
      <c r="P6" s="42" t="str">
        <f t="shared" ref="P6:P20" si="3">IF(L6=0,"0",(24-Q6))</f>
        <v>0</v>
      </c>
      <c r="Q6" s="43">
        <f t="shared" ref="Q6:Q20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9">
        <f t="shared" ref="AE6:AE20" si="8">$AD$21</f>
        <v>0.31944444444444442</v>
      </c>
      <c r="AF6" s="93">
        <f t="shared" ref="AF6:AF20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0.31944444444444442</v>
      </c>
      <c r="AF7" s="93">
        <f t="shared" si="9"/>
        <v>2</v>
      </c>
    </row>
    <row r="8" spans="1:32" ht="27" customHeight="1">
      <c r="A8" s="108">
        <v>3</v>
      </c>
      <c r="B8" s="11"/>
      <c r="C8" s="37"/>
      <c r="D8" s="55"/>
      <c r="E8" s="57"/>
      <c r="F8" s="33"/>
      <c r="G8" s="36"/>
      <c r="H8" s="38"/>
      <c r="I8" s="7"/>
      <c r="J8" s="5"/>
      <c r="K8" s="15"/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0.31944444444444442</v>
      </c>
      <c r="AF8" s="93">
        <f t="shared" si="9"/>
        <v>3</v>
      </c>
    </row>
    <row r="9" spans="1:32" ht="27" customHeight="1">
      <c r="A9" s="109">
        <v>4</v>
      </c>
      <c r="B9" s="11"/>
      <c r="C9" s="11"/>
      <c r="D9" s="55"/>
      <c r="E9" s="57"/>
      <c r="F9" s="33"/>
      <c r="G9" s="36"/>
      <c r="H9" s="38"/>
      <c r="I9" s="7"/>
      <c r="J9" s="14">
        <v>0</v>
      </c>
      <c r="K9" s="15">
        <f t="shared" si="0"/>
        <v>0</v>
      </c>
      <c r="L9" s="15"/>
      <c r="M9" s="16">
        <f t="shared" si="1"/>
        <v>0</v>
      </c>
      <c r="N9" s="16">
        <v>0</v>
      </c>
      <c r="O9" s="62" t="str">
        <f t="shared" si="2"/>
        <v>0</v>
      </c>
      <c r="P9" s="42" t="str">
        <f t="shared" si="3"/>
        <v>0</v>
      </c>
      <c r="Q9" s="43">
        <f t="shared" si="4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 t="str">
        <f t="shared" si="5"/>
        <v>0</v>
      </c>
      <c r="AC9" s="9">
        <f t="shared" si="6"/>
        <v>0</v>
      </c>
      <c r="AD9" s="10">
        <f t="shared" si="7"/>
        <v>0</v>
      </c>
      <c r="AE9" s="39">
        <f t="shared" si="8"/>
        <v>0.31944444444444442</v>
      </c>
      <c r="AF9" s="93">
        <f t="shared" si="9"/>
        <v>4</v>
      </c>
    </row>
    <row r="10" spans="1:32" ht="27" customHeight="1">
      <c r="A10" s="109">
        <v>5</v>
      </c>
      <c r="B10" s="11"/>
      <c r="C10" s="11"/>
      <c r="D10" s="55"/>
      <c r="E10" s="57"/>
      <c r="F10" s="12"/>
      <c r="G10" s="12"/>
      <c r="H10" s="13"/>
      <c r="I10" s="7"/>
      <c r="J10" s="14"/>
      <c r="K10" s="15"/>
      <c r="L10" s="15"/>
      <c r="M10" s="16">
        <f t="shared" si="1"/>
        <v>0</v>
      </c>
      <c r="N10" s="16">
        <v>0</v>
      </c>
      <c r="O10" s="62" t="str">
        <f t="shared" si="2"/>
        <v>0</v>
      </c>
      <c r="P10" s="42" t="str">
        <f t="shared" si="3"/>
        <v>0</v>
      </c>
      <c r="Q10" s="43">
        <f t="shared" si="4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 t="str">
        <f t="shared" si="5"/>
        <v>0</v>
      </c>
      <c r="AC10" s="9">
        <f t="shared" si="6"/>
        <v>0</v>
      </c>
      <c r="AD10" s="10">
        <f t="shared" si="7"/>
        <v>0</v>
      </c>
      <c r="AE10" s="39">
        <f t="shared" si="8"/>
        <v>0.31944444444444442</v>
      </c>
      <c r="AF10" s="93">
        <f t="shared" si="9"/>
        <v>5</v>
      </c>
    </row>
    <row r="11" spans="1:32" ht="27" customHeight="1">
      <c r="A11" s="109">
        <v>6</v>
      </c>
      <c r="B11" s="11" t="s">
        <v>57</v>
      </c>
      <c r="C11" s="11" t="s">
        <v>119</v>
      </c>
      <c r="D11" s="55" t="s">
        <v>173</v>
      </c>
      <c r="E11" s="57" t="s">
        <v>200</v>
      </c>
      <c r="F11" s="12" t="s">
        <v>125</v>
      </c>
      <c r="G11" s="12">
        <v>1</v>
      </c>
      <c r="H11" s="13">
        <v>22</v>
      </c>
      <c r="I11" s="7">
        <v>6000</v>
      </c>
      <c r="J11" s="14">
        <v>904</v>
      </c>
      <c r="K11" s="15">
        <f>L11+5300</f>
        <v>6204</v>
      </c>
      <c r="L11" s="15">
        <f>904</f>
        <v>904</v>
      </c>
      <c r="M11" s="16">
        <f t="shared" si="1"/>
        <v>904</v>
      </c>
      <c r="N11" s="16">
        <v>0</v>
      </c>
      <c r="O11" s="62">
        <f t="shared" si="2"/>
        <v>0</v>
      </c>
      <c r="P11" s="42">
        <f t="shared" si="3"/>
        <v>5</v>
      </c>
      <c r="Q11" s="43">
        <f t="shared" si="4"/>
        <v>19</v>
      </c>
      <c r="R11" s="7"/>
      <c r="S11" s="6"/>
      <c r="T11" s="17"/>
      <c r="U11" s="17"/>
      <c r="V11" s="18"/>
      <c r="W11" s="19">
        <v>19</v>
      </c>
      <c r="X11" s="17"/>
      <c r="Y11" s="20"/>
      <c r="Z11" s="20"/>
      <c r="AA11" s="21"/>
      <c r="AB11" s="8">
        <f t="shared" si="5"/>
        <v>1</v>
      </c>
      <c r="AC11" s="9">
        <f t="shared" si="6"/>
        <v>0.20833333333333334</v>
      </c>
      <c r="AD11" s="10">
        <f t="shared" si="7"/>
        <v>0.20833333333333334</v>
      </c>
      <c r="AE11" s="39">
        <f t="shared" si="8"/>
        <v>0.31944444444444442</v>
      </c>
      <c r="AF11" s="93">
        <f t="shared" si="9"/>
        <v>6</v>
      </c>
    </row>
    <row r="12" spans="1:32" ht="27" customHeight="1">
      <c r="A12" s="109">
        <v>7</v>
      </c>
      <c r="B12" s="11" t="s">
        <v>57</v>
      </c>
      <c r="C12" s="11" t="s">
        <v>119</v>
      </c>
      <c r="D12" s="55" t="s">
        <v>198</v>
      </c>
      <c r="E12" s="57" t="s">
        <v>197</v>
      </c>
      <c r="F12" s="33" t="s">
        <v>124</v>
      </c>
      <c r="G12" s="36">
        <v>1</v>
      </c>
      <c r="H12" s="38">
        <v>22</v>
      </c>
      <c r="I12" s="7">
        <v>6000</v>
      </c>
      <c r="J12" s="14">
        <v>1818</v>
      </c>
      <c r="K12" s="15">
        <f>L12+4425</f>
        <v>6243</v>
      </c>
      <c r="L12" s="15">
        <v>1818</v>
      </c>
      <c r="M12" s="16">
        <f t="shared" si="1"/>
        <v>1818</v>
      </c>
      <c r="N12" s="16">
        <v>0</v>
      </c>
      <c r="O12" s="62">
        <f t="shared" si="2"/>
        <v>0</v>
      </c>
      <c r="P12" s="42">
        <f t="shared" si="3"/>
        <v>7</v>
      </c>
      <c r="Q12" s="43">
        <f t="shared" si="4"/>
        <v>17</v>
      </c>
      <c r="R12" s="7"/>
      <c r="S12" s="6"/>
      <c r="T12" s="17"/>
      <c r="U12" s="17"/>
      <c r="V12" s="18"/>
      <c r="W12" s="19">
        <v>17</v>
      </c>
      <c r="X12" s="17"/>
      <c r="Y12" s="20"/>
      <c r="Z12" s="20"/>
      <c r="AA12" s="21"/>
      <c r="AB12" s="8">
        <f t="shared" si="5"/>
        <v>1</v>
      </c>
      <c r="AC12" s="9">
        <f t="shared" si="6"/>
        <v>0.29166666666666669</v>
      </c>
      <c r="AD12" s="10">
        <f t="shared" si="7"/>
        <v>0.29166666666666669</v>
      </c>
      <c r="AE12" s="39">
        <f t="shared" si="8"/>
        <v>0.31944444444444442</v>
      </c>
      <c r="AF12" s="93">
        <f t="shared" si="9"/>
        <v>7</v>
      </c>
    </row>
    <row r="13" spans="1:32" ht="27" customHeight="1">
      <c r="A13" s="109">
        <v>8</v>
      </c>
      <c r="B13" s="11" t="s">
        <v>57</v>
      </c>
      <c r="C13" s="11" t="s">
        <v>114</v>
      </c>
      <c r="D13" s="55" t="s">
        <v>122</v>
      </c>
      <c r="E13" s="57" t="s">
        <v>208</v>
      </c>
      <c r="F13" s="33" t="s">
        <v>127</v>
      </c>
      <c r="G13" s="36">
        <v>1</v>
      </c>
      <c r="H13" s="38">
        <v>40</v>
      </c>
      <c r="I13" s="7">
        <v>500</v>
      </c>
      <c r="J13" s="14">
        <v>3995</v>
      </c>
      <c r="K13" s="15">
        <f>L13</f>
        <v>3995</v>
      </c>
      <c r="L13" s="15">
        <f>1736+2259</f>
        <v>3995</v>
      </c>
      <c r="M13" s="16">
        <f t="shared" si="1"/>
        <v>3995</v>
      </c>
      <c r="N13" s="16">
        <v>0</v>
      </c>
      <c r="O13" s="62">
        <f t="shared" si="2"/>
        <v>0</v>
      </c>
      <c r="P13" s="42">
        <f t="shared" si="3"/>
        <v>21</v>
      </c>
      <c r="Q13" s="43">
        <f t="shared" si="4"/>
        <v>3</v>
      </c>
      <c r="R13" s="7"/>
      <c r="S13" s="6">
        <v>3</v>
      </c>
      <c r="T13" s="17"/>
      <c r="U13" s="17"/>
      <c r="V13" s="18"/>
      <c r="W13" s="19"/>
      <c r="X13" s="17"/>
      <c r="Y13" s="20"/>
      <c r="Z13" s="20"/>
      <c r="AA13" s="21"/>
      <c r="AB13" s="8">
        <f t="shared" si="5"/>
        <v>1</v>
      </c>
      <c r="AC13" s="9">
        <f t="shared" si="6"/>
        <v>0.875</v>
      </c>
      <c r="AD13" s="10">
        <f t="shared" si="7"/>
        <v>0.875</v>
      </c>
      <c r="AE13" s="39">
        <f t="shared" si="8"/>
        <v>0.31944444444444442</v>
      </c>
      <c r="AF13" s="93">
        <f t="shared" si="9"/>
        <v>8</v>
      </c>
    </row>
    <row r="14" spans="1:32" ht="27" customHeight="1">
      <c r="A14" s="125">
        <v>9</v>
      </c>
      <c r="B14" s="11"/>
      <c r="C14" s="37"/>
      <c r="D14" s="55"/>
      <c r="E14" s="57"/>
      <c r="F14" s="33"/>
      <c r="G14" s="36"/>
      <c r="H14" s="38"/>
      <c r="I14" s="7"/>
      <c r="J14" s="5">
        <v>0</v>
      </c>
      <c r="K14" s="15">
        <f t="shared" si="0"/>
        <v>0</v>
      </c>
      <c r="L14" s="15"/>
      <c r="M14" s="16">
        <f t="shared" si="1"/>
        <v>0</v>
      </c>
      <c r="N14" s="16">
        <v>0</v>
      </c>
      <c r="O14" s="62" t="str">
        <f t="shared" si="2"/>
        <v>0</v>
      </c>
      <c r="P14" s="42" t="str">
        <f t="shared" si="3"/>
        <v>0</v>
      </c>
      <c r="Q14" s="43">
        <f t="shared" si="4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9">
        <f t="shared" si="8"/>
        <v>0.31944444444444442</v>
      </c>
      <c r="AF14" s="93">
        <f t="shared" si="9"/>
        <v>9</v>
      </c>
    </row>
    <row r="15" spans="1:32" ht="27" customHeight="1">
      <c r="A15" s="108">
        <v>10</v>
      </c>
      <c r="B15" s="11"/>
      <c r="C15" s="37"/>
      <c r="D15" s="55"/>
      <c r="E15" s="57"/>
      <c r="F15" s="12"/>
      <c r="G15" s="12"/>
      <c r="H15" s="13"/>
      <c r="I15" s="34"/>
      <c r="J15" s="14">
        <v>0</v>
      </c>
      <c r="K15" s="15">
        <f t="shared" si="0"/>
        <v>0</v>
      </c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0.31944444444444442</v>
      </c>
      <c r="AF15" s="93">
        <f t="shared" si="9"/>
        <v>10</v>
      </c>
    </row>
    <row r="16" spans="1:32" ht="27" customHeight="1">
      <c r="A16" s="108">
        <v>11</v>
      </c>
      <c r="B16" s="11" t="s">
        <v>57</v>
      </c>
      <c r="C16" s="11" t="s">
        <v>119</v>
      </c>
      <c r="D16" s="55" t="s">
        <v>216</v>
      </c>
      <c r="E16" s="57" t="s">
        <v>210</v>
      </c>
      <c r="F16" s="12">
        <v>7301</v>
      </c>
      <c r="G16" s="12" t="s">
        <v>138</v>
      </c>
      <c r="H16" s="13">
        <v>24</v>
      </c>
      <c r="I16" s="7">
        <v>3000</v>
      </c>
      <c r="J16" s="14">
        <v>3166</v>
      </c>
      <c r="K16" s="15">
        <f>L16</f>
        <v>3166</v>
      </c>
      <c r="L16" s="15">
        <f>2215+951</f>
        <v>3166</v>
      </c>
      <c r="M16" s="16">
        <f t="shared" si="1"/>
        <v>3166</v>
      </c>
      <c r="N16" s="16">
        <v>0</v>
      </c>
      <c r="O16" s="62">
        <f t="shared" si="2"/>
        <v>0</v>
      </c>
      <c r="P16" s="42">
        <f t="shared" si="3"/>
        <v>19</v>
      </c>
      <c r="Q16" s="43">
        <f t="shared" si="4"/>
        <v>5</v>
      </c>
      <c r="R16" s="7"/>
      <c r="S16" s="6"/>
      <c r="T16" s="17">
        <v>1</v>
      </c>
      <c r="U16" s="17"/>
      <c r="V16" s="18"/>
      <c r="W16" s="19">
        <v>4</v>
      </c>
      <c r="X16" s="17"/>
      <c r="Y16" s="20"/>
      <c r="Z16" s="20"/>
      <c r="AA16" s="21"/>
      <c r="AB16" s="8">
        <f t="shared" si="5"/>
        <v>1</v>
      </c>
      <c r="AC16" s="9">
        <f t="shared" si="6"/>
        <v>0.79166666666666663</v>
      </c>
      <c r="AD16" s="10">
        <f t="shared" si="7"/>
        <v>0.79166666666666663</v>
      </c>
      <c r="AE16" s="39">
        <f t="shared" si="8"/>
        <v>0.31944444444444442</v>
      </c>
      <c r="AF16" s="93">
        <f t="shared" si="9"/>
        <v>11</v>
      </c>
    </row>
    <row r="17" spans="1:32" ht="27" customHeight="1">
      <c r="A17" s="108">
        <v>12</v>
      </c>
      <c r="B17" s="11" t="s">
        <v>57</v>
      </c>
      <c r="C17" s="37" t="s">
        <v>119</v>
      </c>
      <c r="D17" s="55" t="s">
        <v>193</v>
      </c>
      <c r="E17" s="57" t="s">
        <v>192</v>
      </c>
      <c r="F17" s="12" t="s">
        <v>125</v>
      </c>
      <c r="G17" s="12">
        <v>2</v>
      </c>
      <c r="H17" s="13">
        <v>24</v>
      </c>
      <c r="I17" s="34">
        <v>12000</v>
      </c>
      <c r="J17" s="14">
        <v>12716</v>
      </c>
      <c r="K17" s="15">
        <f>L17</f>
        <v>12716</v>
      </c>
      <c r="L17" s="15">
        <f>1963*2+4395*2</f>
        <v>12716</v>
      </c>
      <c r="M17" s="16">
        <f t="shared" si="1"/>
        <v>12716</v>
      </c>
      <c r="N17" s="16">
        <v>0</v>
      </c>
      <c r="O17" s="62">
        <f t="shared" si="2"/>
        <v>0</v>
      </c>
      <c r="P17" s="42">
        <f t="shared" si="3"/>
        <v>21</v>
      </c>
      <c r="Q17" s="43">
        <f t="shared" si="4"/>
        <v>3</v>
      </c>
      <c r="R17" s="7"/>
      <c r="S17" s="6">
        <v>3</v>
      </c>
      <c r="T17" s="17"/>
      <c r="U17" s="17"/>
      <c r="V17" s="18"/>
      <c r="W17" s="19"/>
      <c r="X17" s="17"/>
      <c r="Y17" s="20"/>
      <c r="Z17" s="20"/>
      <c r="AA17" s="21"/>
      <c r="AB17" s="8">
        <f t="shared" si="5"/>
        <v>1</v>
      </c>
      <c r="AC17" s="9">
        <f t="shared" si="6"/>
        <v>0.875</v>
      </c>
      <c r="AD17" s="10">
        <f t="shared" si="7"/>
        <v>0.875</v>
      </c>
      <c r="AE17" s="39">
        <f t="shared" si="8"/>
        <v>0.31944444444444442</v>
      </c>
      <c r="AF17" s="93">
        <f t="shared" si="9"/>
        <v>12</v>
      </c>
    </row>
    <row r="18" spans="1:32" ht="27" customHeight="1">
      <c r="A18" s="109">
        <v>13</v>
      </c>
      <c r="B18" s="11" t="s">
        <v>57</v>
      </c>
      <c r="C18" s="37" t="s">
        <v>180</v>
      </c>
      <c r="D18" s="55" t="s">
        <v>117</v>
      </c>
      <c r="E18" s="57" t="s">
        <v>181</v>
      </c>
      <c r="F18" s="33" t="s">
        <v>162</v>
      </c>
      <c r="G18" s="36">
        <v>1</v>
      </c>
      <c r="H18" s="38">
        <v>25</v>
      </c>
      <c r="I18" s="7">
        <v>3000</v>
      </c>
      <c r="J18" s="5">
        <v>559</v>
      </c>
      <c r="K18" s="15">
        <f>L18+3708+5246</f>
        <v>9513</v>
      </c>
      <c r="L18" s="15">
        <v>559</v>
      </c>
      <c r="M18" s="16">
        <f t="shared" si="1"/>
        <v>559</v>
      </c>
      <c r="N18" s="16">
        <v>0</v>
      </c>
      <c r="O18" s="62">
        <f t="shared" si="2"/>
        <v>0</v>
      </c>
      <c r="P18" s="42">
        <f t="shared" si="3"/>
        <v>4</v>
      </c>
      <c r="Q18" s="43">
        <f t="shared" si="4"/>
        <v>20</v>
      </c>
      <c r="R18" s="7"/>
      <c r="S18" s="6"/>
      <c r="T18" s="17"/>
      <c r="U18" s="17"/>
      <c r="V18" s="18"/>
      <c r="W18" s="19">
        <v>20</v>
      </c>
      <c r="X18" s="17"/>
      <c r="Y18" s="20"/>
      <c r="Z18" s="20"/>
      <c r="AA18" s="21"/>
      <c r="AB18" s="8">
        <f t="shared" si="5"/>
        <v>1</v>
      </c>
      <c r="AC18" s="9">
        <f t="shared" si="6"/>
        <v>0.16666666666666666</v>
      </c>
      <c r="AD18" s="10">
        <f>AC18*AB18*(1-O18)</f>
        <v>0.16666666666666666</v>
      </c>
      <c r="AE18" s="39">
        <f t="shared" si="8"/>
        <v>0.31944444444444442</v>
      </c>
      <c r="AF18" s="93">
        <f t="shared" si="9"/>
        <v>13</v>
      </c>
    </row>
    <row r="19" spans="1:32" ht="27" customHeight="1">
      <c r="A19" s="109">
        <v>14</v>
      </c>
      <c r="B19" s="11" t="s">
        <v>57</v>
      </c>
      <c r="C19" s="37" t="s">
        <v>119</v>
      </c>
      <c r="D19" s="55" t="s">
        <v>117</v>
      </c>
      <c r="E19" s="57" t="s">
        <v>189</v>
      </c>
      <c r="F19" s="12" t="s">
        <v>162</v>
      </c>
      <c r="G19" s="36">
        <v>1</v>
      </c>
      <c r="H19" s="38">
        <v>24</v>
      </c>
      <c r="I19" s="7">
        <v>6000</v>
      </c>
      <c r="J19" s="5">
        <v>2507</v>
      </c>
      <c r="K19" s="15">
        <f>L19</f>
        <v>2507</v>
      </c>
      <c r="L19" s="15">
        <f>2128+379</f>
        <v>2507</v>
      </c>
      <c r="M19" s="16">
        <f t="shared" si="1"/>
        <v>2507</v>
      </c>
      <c r="N19" s="16">
        <v>0</v>
      </c>
      <c r="O19" s="62">
        <f t="shared" si="2"/>
        <v>0</v>
      </c>
      <c r="P19" s="42">
        <f t="shared" si="3"/>
        <v>14</v>
      </c>
      <c r="Q19" s="43">
        <f t="shared" si="4"/>
        <v>10</v>
      </c>
      <c r="R19" s="7"/>
      <c r="S19" s="6"/>
      <c r="T19" s="17"/>
      <c r="U19" s="17"/>
      <c r="V19" s="18">
        <v>10</v>
      </c>
      <c r="W19" s="19"/>
      <c r="X19" s="17"/>
      <c r="Y19" s="20"/>
      <c r="Z19" s="20"/>
      <c r="AA19" s="21"/>
      <c r="AB19" s="8">
        <f t="shared" si="5"/>
        <v>1</v>
      </c>
      <c r="AC19" s="9">
        <f t="shared" si="6"/>
        <v>0.58333333333333337</v>
      </c>
      <c r="AD19" s="10">
        <f>AC19*AB19*(1-O19)</f>
        <v>0.58333333333333337</v>
      </c>
      <c r="AE19" s="39">
        <f t="shared" si="8"/>
        <v>0.31944444444444442</v>
      </c>
      <c r="AF19" s="93">
        <f t="shared" si="9"/>
        <v>14</v>
      </c>
    </row>
    <row r="20" spans="1:32" ht="27" customHeight="1" thickBot="1">
      <c r="A20" s="109">
        <v>15</v>
      </c>
      <c r="B20" s="11" t="s">
        <v>57</v>
      </c>
      <c r="C20" s="11" t="s">
        <v>115</v>
      </c>
      <c r="D20" s="55"/>
      <c r="E20" s="56" t="s">
        <v>126</v>
      </c>
      <c r="F20" s="12" t="s">
        <v>116</v>
      </c>
      <c r="G20" s="12">
        <v>4</v>
      </c>
      <c r="H20" s="38">
        <v>20</v>
      </c>
      <c r="I20" s="7">
        <v>500000</v>
      </c>
      <c r="J20" s="14">
        <v>76128</v>
      </c>
      <c r="K20" s="15">
        <f>L20+27008</f>
        <v>103136</v>
      </c>
      <c r="L20" s="15">
        <f>8826*4+10206*4</f>
        <v>76128</v>
      </c>
      <c r="M20" s="16">
        <f t="shared" si="1"/>
        <v>76128</v>
      </c>
      <c r="N20" s="16">
        <v>0</v>
      </c>
      <c r="O20" s="62">
        <f t="shared" si="2"/>
        <v>0</v>
      </c>
      <c r="P20" s="42">
        <f t="shared" si="3"/>
        <v>24</v>
      </c>
      <c r="Q20" s="43">
        <f t="shared" si="4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1</v>
      </c>
      <c r="AD20" s="10">
        <f t="shared" si="7"/>
        <v>1</v>
      </c>
      <c r="AE20" s="39">
        <f t="shared" si="8"/>
        <v>0.31944444444444442</v>
      </c>
      <c r="AF20" s="93">
        <f t="shared" si="9"/>
        <v>15</v>
      </c>
    </row>
    <row r="21" spans="1:32" ht="31.5" customHeight="1" thickBot="1">
      <c r="A21" s="312" t="s">
        <v>34</v>
      </c>
      <c r="B21" s="313"/>
      <c r="C21" s="313"/>
      <c r="D21" s="313"/>
      <c r="E21" s="313"/>
      <c r="F21" s="313"/>
      <c r="G21" s="313"/>
      <c r="H21" s="314"/>
      <c r="I21" s="25">
        <f t="shared" ref="I21:N21" si="10">SUM(I6:I20)</f>
        <v>536500</v>
      </c>
      <c r="J21" s="22">
        <f t="shared" si="10"/>
        <v>101793</v>
      </c>
      <c r="K21" s="23">
        <f t="shared" si="10"/>
        <v>147480</v>
      </c>
      <c r="L21" s="24">
        <f t="shared" si="10"/>
        <v>101793</v>
      </c>
      <c r="M21" s="23">
        <f t="shared" si="10"/>
        <v>101793</v>
      </c>
      <c r="N21" s="24">
        <f t="shared" si="10"/>
        <v>0</v>
      </c>
      <c r="O21" s="44">
        <f t="shared" si="2"/>
        <v>0</v>
      </c>
      <c r="P21" s="45">
        <f t="shared" ref="P21:AA21" si="11">SUM(P6:P20)</f>
        <v>115</v>
      </c>
      <c r="Q21" s="46">
        <f t="shared" si="11"/>
        <v>245</v>
      </c>
      <c r="R21" s="26">
        <f t="shared" si="11"/>
        <v>24</v>
      </c>
      <c r="S21" s="27">
        <f t="shared" si="11"/>
        <v>6</v>
      </c>
      <c r="T21" s="27">
        <f t="shared" si="11"/>
        <v>1</v>
      </c>
      <c r="U21" s="27">
        <f t="shared" si="11"/>
        <v>0</v>
      </c>
      <c r="V21" s="28">
        <f t="shared" si="11"/>
        <v>10</v>
      </c>
      <c r="W21" s="29">
        <f t="shared" si="11"/>
        <v>204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0.53333333333333333</v>
      </c>
      <c r="AC21" s="4">
        <f>SUM(AC6:AC20)/15</f>
        <v>0.31944444444444442</v>
      </c>
      <c r="AD21" s="4">
        <f>SUM(AD6:AD20)/15</f>
        <v>0.31944444444444442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15" t="s">
        <v>45</v>
      </c>
      <c r="B48" s="315"/>
      <c r="C48" s="315"/>
      <c r="D48" s="315"/>
      <c r="E48" s="31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16" t="s">
        <v>217</v>
      </c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8"/>
      <c r="N49" s="319" t="s">
        <v>218</v>
      </c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1"/>
    </row>
    <row r="50" spans="1:32" ht="27" customHeight="1">
      <c r="A50" s="322" t="s">
        <v>2</v>
      </c>
      <c r="B50" s="323"/>
      <c r="C50" s="173" t="s">
        <v>46</v>
      </c>
      <c r="D50" s="173" t="s">
        <v>47</v>
      </c>
      <c r="E50" s="173" t="s">
        <v>108</v>
      </c>
      <c r="F50" s="323" t="s">
        <v>107</v>
      </c>
      <c r="G50" s="323"/>
      <c r="H50" s="323"/>
      <c r="I50" s="323"/>
      <c r="J50" s="323"/>
      <c r="K50" s="323"/>
      <c r="L50" s="323"/>
      <c r="M50" s="324"/>
      <c r="N50" s="73" t="s">
        <v>112</v>
      </c>
      <c r="O50" s="173" t="s">
        <v>46</v>
      </c>
      <c r="P50" s="325" t="s">
        <v>47</v>
      </c>
      <c r="Q50" s="326"/>
      <c r="R50" s="325" t="s">
        <v>38</v>
      </c>
      <c r="S50" s="327"/>
      <c r="T50" s="327"/>
      <c r="U50" s="326"/>
      <c r="V50" s="325" t="s">
        <v>48</v>
      </c>
      <c r="W50" s="327"/>
      <c r="X50" s="327"/>
      <c r="Y50" s="327"/>
      <c r="Z50" s="327"/>
      <c r="AA50" s="327"/>
      <c r="AB50" s="327"/>
      <c r="AC50" s="327"/>
      <c r="AD50" s="328"/>
    </row>
    <row r="51" spans="1:32" ht="27" customHeight="1">
      <c r="A51" s="339" t="s">
        <v>114</v>
      </c>
      <c r="B51" s="340"/>
      <c r="C51" s="170" t="s">
        <v>184</v>
      </c>
      <c r="D51" s="170" t="s">
        <v>122</v>
      </c>
      <c r="E51" s="170" t="s">
        <v>208</v>
      </c>
      <c r="F51" s="341" t="s">
        <v>131</v>
      </c>
      <c r="G51" s="342"/>
      <c r="H51" s="342"/>
      <c r="I51" s="342"/>
      <c r="J51" s="342"/>
      <c r="K51" s="342"/>
      <c r="L51" s="342"/>
      <c r="M51" s="343"/>
      <c r="N51" s="169" t="s">
        <v>119</v>
      </c>
      <c r="O51" s="124" t="s">
        <v>188</v>
      </c>
      <c r="P51" s="340" t="s">
        <v>117</v>
      </c>
      <c r="Q51" s="340"/>
      <c r="R51" s="340" t="s">
        <v>209</v>
      </c>
      <c r="S51" s="340"/>
      <c r="T51" s="340"/>
      <c r="U51" s="340"/>
      <c r="V51" s="346" t="s">
        <v>131</v>
      </c>
      <c r="W51" s="346"/>
      <c r="X51" s="346"/>
      <c r="Y51" s="346"/>
      <c r="Z51" s="346"/>
      <c r="AA51" s="346"/>
      <c r="AB51" s="346"/>
      <c r="AC51" s="346"/>
      <c r="AD51" s="347"/>
    </row>
    <row r="52" spans="1:32" ht="27" customHeight="1">
      <c r="A52" s="339" t="s">
        <v>119</v>
      </c>
      <c r="B52" s="340"/>
      <c r="C52" s="170" t="s">
        <v>186</v>
      </c>
      <c r="D52" s="170" t="s">
        <v>216</v>
      </c>
      <c r="E52" s="170" t="s">
        <v>210</v>
      </c>
      <c r="F52" s="341" t="s">
        <v>131</v>
      </c>
      <c r="G52" s="342"/>
      <c r="H52" s="342"/>
      <c r="I52" s="342"/>
      <c r="J52" s="342"/>
      <c r="K52" s="342"/>
      <c r="L52" s="342"/>
      <c r="M52" s="343"/>
      <c r="N52" s="169" t="s">
        <v>119</v>
      </c>
      <c r="O52" s="124" t="s">
        <v>118</v>
      </c>
      <c r="P52" s="340" t="s">
        <v>137</v>
      </c>
      <c r="Q52" s="340"/>
      <c r="R52" s="340" t="s">
        <v>128</v>
      </c>
      <c r="S52" s="340"/>
      <c r="T52" s="340"/>
      <c r="U52" s="340"/>
      <c r="V52" s="346" t="s">
        <v>131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119</v>
      </c>
      <c r="B53" s="340"/>
      <c r="C53" s="170" t="s">
        <v>136</v>
      </c>
      <c r="D53" s="170" t="s">
        <v>117</v>
      </c>
      <c r="E53" s="170" t="s">
        <v>189</v>
      </c>
      <c r="F53" s="341" t="s">
        <v>131</v>
      </c>
      <c r="G53" s="342"/>
      <c r="H53" s="342"/>
      <c r="I53" s="342"/>
      <c r="J53" s="342"/>
      <c r="K53" s="342"/>
      <c r="L53" s="342"/>
      <c r="M53" s="343"/>
      <c r="N53" s="169"/>
      <c r="O53" s="124"/>
      <c r="P53" s="340"/>
      <c r="Q53" s="340"/>
      <c r="R53" s="340"/>
      <c r="S53" s="340"/>
      <c r="T53" s="340"/>
      <c r="U53" s="340"/>
      <c r="V53" s="346"/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119</v>
      </c>
      <c r="B54" s="340"/>
      <c r="C54" s="170" t="s">
        <v>187</v>
      </c>
      <c r="D54" s="170" t="s">
        <v>193</v>
      </c>
      <c r="E54" s="170" t="s">
        <v>192</v>
      </c>
      <c r="F54" s="341" t="s">
        <v>131</v>
      </c>
      <c r="G54" s="342"/>
      <c r="H54" s="342"/>
      <c r="I54" s="342"/>
      <c r="J54" s="342"/>
      <c r="K54" s="342"/>
      <c r="L54" s="342"/>
      <c r="M54" s="343"/>
      <c r="N54" s="169"/>
      <c r="O54" s="124"/>
      <c r="P54" s="344"/>
      <c r="Q54" s="345"/>
      <c r="R54" s="340"/>
      <c r="S54" s="340"/>
      <c r="T54" s="340"/>
      <c r="U54" s="340"/>
      <c r="V54" s="346"/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/>
      <c r="B55" s="340"/>
      <c r="C55" s="170"/>
      <c r="D55" s="170"/>
      <c r="E55" s="170"/>
      <c r="F55" s="341"/>
      <c r="G55" s="342"/>
      <c r="H55" s="342"/>
      <c r="I55" s="342"/>
      <c r="J55" s="342"/>
      <c r="K55" s="342"/>
      <c r="L55" s="342"/>
      <c r="M55" s="343"/>
      <c r="N55" s="169"/>
      <c r="O55" s="124"/>
      <c r="P55" s="340"/>
      <c r="Q55" s="340"/>
      <c r="R55" s="340"/>
      <c r="S55" s="340"/>
      <c r="T55" s="340"/>
      <c r="U55" s="340"/>
      <c r="V55" s="346"/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/>
      <c r="B56" s="340"/>
      <c r="C56" s="170"/>
      <c r="D56" s="170"/>
      <c r="E56" s="170"/>
      <c r="F56" s="341"/>
      <c r="G56" s="342"/>
      <c r="H56" s="342"/>
      <c r="I56" s="342"/>
      <c r="J56" s="342"/>
      <c r="K56" s="342"/>
      <c r="L56" s="342"/>
      <c r="M56" s="343"/>
      <c r="N56" s="169"/>
      <c r="O56" s="124"/>
      <c r="P56" s="344"/>
      <c r="Q56" s="345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170"/>
      <c r="D57" s="170"/>
      <c r="E57" s="170"/>
      <c r="F57" s="341"/>
      <c r="G57" s="342"/>
      <c r="H57" s="342"/>
      <c r="I57" s="342"/>
      <c r="J57" s="342"/>
      <c r="K57" s="342"/>
      <c r="L57" s="342"/>
      <c r="M57" s="343"/>
      <c r="N57" s="169"/>
      <c r="O57" s="124"/>
      <c r="P57" s="344"/>
      <c r="Q57" s="345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170"/>
      <c r="D58" s="170"/>
      <c r="E58" s="170"/>
      <c r="F58" s="346"/>
      <c r="G58" s="346"/>
      <c r="H58" s="346"/>
      <c r="I58" s="346"/>
      <c r="J58" s="346"/>
      <c r="K58" s="346"/>
      <c r="L58" s="346"/>
      <c r="M58" s="347"/>
      <c r="N58" s="169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170"/>
      <c r="D59" s="170"/>
      <c r="E59" s="170"/>
      <c r="F59" s="341"/>
      <c r="G59" s="342"/>
      <c r="H59" s="342"/>
      <c r="I59" s="342"/>
      <c r="J59" s="342"/>
      <c r="K59" s="342"/>
      <c r="L59" s="342"/>
      <c r="M59" s="343"/>
      <c r="N59" s="169"/>
      <c r="O59" s="124"/>
      <c r="P59" s="340"/>
      <c r="Q59" s="340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  <c r="AF59" s="93">
        <f>8*3000</f>
        <v>24000</v>
      </c>
    </row>
    <row r="60" spans="1:32" ht="27" customHeight="1" thickBot="1">
      <c r="A60" s="348"/>
      <c r="B60" s="349"/>
      <c r="C60" s="172"/>
      <c r="D60" s="172"/>
      <c r="E60" s="172"/>
      <c r="F60" s="350"/>
      <c r="G60" s="350"/>
      <c r="H60" s="350"/>
      <c r="I60" s="350"/>
      <c r="J60" s="350"/>
      <c r="K60" s="350"/>
      <c r="L60" s="350"/>
      <c r="M60" s="351"/>
      <c r="N60" s="171"/>
      <c r="O60" s="120"/>
      <c r="P60" s="349"/>
      <c r="Q60" s="349"/>
      <c r="R60" s="349"/>
      <c r="S60" s="349"/>
      <c r="T60" s="349"/>
      <c r="U60" s="349"/>
      <c r="V60" s="352"/>
      <c r="W60" s="352"/>
      <c r="X60" s="352"/>
      <c r="Y60" s="352"/>
      <c r="Z60" s="352"/>
      <c r="AA60" s="352"/>
      <c r="AB60" s="352"/>
      <c r="AC60" s="352"/>
      <c r="AD60" s="353"/>
      <c r="AF60" s="93">
        <f>16*3000</f>
        <v>48000</v>
      </c>
    </row>
    <row r="61" spans="1:32" ht="27.75" thickBot="1">
      <c r="A61" s="354" t="s">
        <v>219</v>
      </c>
      <c r="B61" s="354"/>
      <c r="C61" s="354"/>
      <c r="D61" s="354"/>
      <c r="E61" s="35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55" t="s">
        <v>113</v>
      </c>
      <c r="B62" s="356"/>
      <c r="C62" s="168" t="s">
        <v>2</v>
      </c>
      <c r="D62" s="168" t="s">
        <v>37</v>
      </c>
      <c r="E62" s="168" t="s">
        <v>3</v>
      </c>
      <c r="F62" s="356" t="s">
        <v>110</v>
      </c>
      <c r="G62" s="356"/>
      <c r="H62" s="356"/>
      <c r="I62" s="356"/>
      <c r="J62" s="356"/>
      <c r="K62" s="356" t="s">
        <v>39</v>
      </c>
      <c r="L62" s="356"/>
      <c r="M62" s="168" t="s">
        <v>40</v>
      </c>
      <c r="N62" s="356" t="s">
        <v>41</v>
      </c>
      <c r="O62" s="356"/>
      <c r="P62" s="357" t="s">
        <v>42</v>
      </c>
      <c r="Q62" s="358"/>
      <c r="R62" s="357" t="s">
        <v>43</v>
      </c>
      <c r="S62" s="359"/>
      <c r="T62" s="359"/>
      <c r="U62" s="359"/>
      <c r="V62" s="359"/>
      <c r="W62" s="359"/>
      <c r="X62" s="359"/>
      <c r="Y62" s="359"/>
      <c r="Z62" s="359"/>
      <c r="AA62" s="358"/>
      <c r="AB62" s="356" t="s">
        <v>44</v>
      </c>
      <c r="AC62" s="356"/>
      <c r="AD62" s="360"/>
      <c r="AF62" s="93">
        <f>SUM(AF59:AF61)</f>
        <v>96000</v>
      </c>
    </row>
    <row r="63" spans="1:32" ht="25.5" customHeight="1">
      <c r="A63" s="361">
        <v>1</v>
      </c>
      <c r="B63" s="362"/>
      <c r="C63" s="123" t="s">
        <v>180</v>
      </c>
      <c r="D63" s="164"/>
      <c r="E63" s="167" t="s">
        <v>220</v>
      </c>
      <c r="F63" s="363" t="s">
        <v>221</v>
      </c>
      <c r="G63" s="364"/>
      <c r="H63" s="364"/>
      <c r="I63" s="364"/>
      <c r="J63" s="364"/>
      <c r="K63" s="364" t="s">
        <v>222</v>
      </c>
      <c r="L63" s="364"/>
      <c r="M63" s="54" t="s">
        <v>223</v>
      </c>
      <c r="N63" s="364">
        <v>4</v>
      </c>
      <c r="O63" s="364"/>
      <c r="P63" s="365">
        <v>50</v>
      </c>
      <c r="Q63" s="365"/>
      <c r="R63" s="346"/>
      <c r="S63" s="346"/>
      <c r="T63" s="346"/>
      <c r="U63" s="346"/>
      <c r="V63" s="346"/>
      <c r="W63" s="346"/>
      <c r="X63" s="346"/>
      <c r="Y63" s="346"/>
      <c r="Z63" s="346"/>
      <c r="AA63" s="346"/>
      <c r="AB63" s="364"/>
      <c r="AC63" s="364"/>
      <c r="AD63" s="366"/>
      <c r="AF63" s="53"/>
    </row>
    <row r="64" spans="1:32" ht="25.5" customHeight="1">
      <c r="A64" s="361">
        <v>2</v>
      </c>
      <c r="B64" s="362"/>
      <c r="C64" s="123" t="s">
        <v>114</v>
      </c>
      <c r="D64" s="164"/>
      <c r="E64" s="167" t="s">
        <v>175</v>
      </c>
      <c r="F64" s="363" t="s">
        <v>224</v>
      </c>
      <c r="G64" s="364"/>
      <c r="H64" s="364"/>
      <c r="I64" s="364"/>
      <c r="J64" s="364"/>
      <c r="K64" s="364" t="s">
        <v>177</v>
      </c>
      <c r="L64" s="364"/>
      <c r="M64" s="54" t="s">
        <v>225</v>
      </c>
      <c r="N64" s="364">
        <v>6</v>
      </c>
      <c r="O64" s="364"/>
      <c r="P64" s="365">
        <v>50</v>
      </c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3</v>
      </c>
      <c r="B65" s="362"/>
      <c r="C65" s="123" t="s">
        <v>114</v>
      </c>
      <c r="D65" s="164"/>
      <c r="E65" s="167" t="s">
        <v>164</v>
      </c>
      <c r="F65" s="363" t="s">
        <v>226</v>
      </c>
      <c r="G65" s="364"/>
      <c r="H65" s="364"/>
      <c r="I65" s="364"/>
      <c r="J65" s="364"/>
      <c r="K65" s="364" t="s">
        <v>227</v>
      </c>
      <c r="L65" s="364"/>
      <c r="M65" s="54" t="s">
        <v>225</v>
      </c>
      <c r="N65" s="364">
        <v>7</v>
      </c>
      <c r="O65" s="364"/>
      <c r="P65" s="365">
        <v>50</v>
      </c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4</v>
      </c>
      <c r="B66" s="362"/>
      <c r="C66" s="123" t="s">
        <v>119</v>
      </c>
      <c r="D66" s="164"/>
      <c r="E66" s="167" t="s">
        <v>135</v>
      </c>
      <c r="F66" s="363" t="s">
        <v>145</v>
      </c>
      <c r="G66" s="364"/>
      <c r="H66" s="364"/>
      <c r="I66" s="364"/>
      <c r="J66" s="364"/>
      <c r="K66" s="364" t="s">
        <v>125</v>
      </c>
      <c r="L66" s="364"/>
      <c r="M66" s="54" t="s">
        <v>223</v>
      </c>
      <c r="N66" s="364">
        <v>10</v>
      </c>
      <c r="O66" s="364"/>
      <c r="P66" s="365">
        <v>100</v>
      </c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5</v>
      </c>
      <c r="B67" s="362"/>
      <c r="C67" s="123"/>
      <c r="D67" s="164"/>
      <c r="E67" s="167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6</v>
      </c>
      <c r="B68" s="362"/>
      <c r="C68" s="123"/>
      <c r="D68" s="164"/>
      <c r="E68" s="167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7</v>
      </c>
      <c r="B69" s="362"/>
      <c r="C69" s="123"/>
      <c r="D69" s="164"/>
      <c r="E69" s="167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8</v>
      </c>
      <c r="B70" s="362"/>
      <c r="C70" s="123"/>
      <c r="D70" s="164"/>
      <c r="E70" s="167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6.25" customHeight="1" thickBot="1">
      <c r="A71" s="367" t="s">
        <v>228</v>
      </c>
      <c r="B71" s="367"/>
      <c r="C71" s="367"/>
      <c r="D71" s="367"/>
      <c r="E71" s="36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8" t="s">
        <v>113</v>
      </c>
      <c r="B72" s="369"/>
      <c r="C72" s="166" t="s">
        <v>2</v>
      </c>
      <c r="D72" s="166" t="s">
        <v>37</v>
      </c>
      <c r="E72" s="166" t="s">
        <v>3</v>
      </c>
      <c r="F72" s="369" t="s">
        <v>38</v>
      </c>
      <c r="G72" s="369"/>
      <c r="H72" s="369"/>
      <c r="I72" s="369"/>
      <c r="J72" s="369"/>
      <c r="K72" s="370" t="s">
        <v>58</v>
      </c>
      <c r="L72" s="371"/>
      <c r="M72" s="371"/>
      <c r="N72" s="371"/>
      <c r="O72" s="371"/>
      <c r="P72" s="371"/>
      <c r="Q72" s="371"/>
      <c r="R72" s="371"/>
      <c r="S72" s="372"/>
      <c r="T72" s="369" t="s">
        <v>49</v>
      </c>
      <c r="U72" s="369"/>
      <c r="V72" s="370" t="s">
        <v>50</v>
      </c>
      <c r="W72" s="372"/>
      <c r="X72" s="371" t="s">
        <v>51</v>
      </c>
      <c r="Y72" s="371"/>
      <c r="Z72" s="371"/>
      <c r="AA72" s="371"/>
      <c r="AB72" s="371"/>
      <c r="AC72" s="371"/>
      <c r="AD72" s="373"/>
      <c r="AF72" s="53"/>
    </row>
    <row r="73" spans="1:32" ht="33.75" customHeight="1">
      <c r="A73" s="382">
        <v>1</v>
      </c>
      <c r="B73" s="383"/>
      <c r="C73" s="165" t="s">
        <v>114</v>
      </c>
      <c r="D73" s="165"/>
      <c r="E73" s="71" t="s">
        <v>122</v>
      </c>
      <c r="F73" s="384" t="s">
        <v>121</v>
      </c>
      <c r="G73" s="385"/>
      <c r="H73" s="385"/>
      <c r="I73" s="385"/>
      <c r="J73" s="386"/>
      <c r="K73" s="387" t="s">
        <v>123</v>
      </c>
      <c r="L73" s="388"/>
      <c r="M73" s="388"/>
      <c r="N73" s="388"/>
      <c r="O73" s="388"/>
      <c r="P73" s="388"/>
      <c r="Q73" s="388"/>
      <c r="R73" s="388"/>
      <c r="S73" s="389"/>
      <c r="T73" s="390">
        <v>43384</v>
      </c>
      <c r="U73" s="391"/>
      <c r="V73" s="392"/>
      <c r="W73" s="392"/>
      <c r="X73" s="393"/>
      <c r="Y73" s="393"/>
      <c r="Z73" s="393"/>
      <c r="AA73" s="393"/>
      <c r="AB73" s="393"/>
      <c r="AC73" s="393"/>
      <c r="AD73" s="394"/>
      <c r="AF73" s="53"/>
    </row>
    <row r="74" spans="1:32" ht="30" customHeight="1">
      <c r="A74" s="374">
        <f>A73+1</f>
        <v>2</v>
      </c>
      <c r="B74" s="375"/>
      <c r="C74" s="164"/>
      <c r="D74" s="164"/>
      <c r="E74" s="35"/>
      <c r="F74" s="375"/>
      <c r="G74" s="375"/>
      <c r="H74" s="375"/>
      <c r="I74" s="375"/>
      <c r="J74" s="375"/>
      <c r="K74" s="376"/>
      <c r="L74" s="377"/>
      <c r="M74" s="377"/>
      <c r="N74" s="377"/>
      <c r="O74" s="377"/>
      <c r="P74" s="377"/>
      <c r="Q74" s="377"/>
      <c r="R74" s="377"/>
      <c r="S74" s="378"/>
      <c r="T74" s="379"/>
      <c r="U74" s="379"/>
      <c r="V74" s="379"/>
      <c r="W74" s="379"/>
      <c r="X74" s="380"/>
      <c r="Y74" s="380"/>
      <c r="Z74" s="380"/>
      <c r="AA74" s="380"/>
      <c r="AB74" s="380"/>
      <c r="AC74" s="380"/>
      <c r="AD74" s="381"/>
      <c r="AF74" s="53"/>
    </row>
    <row r="75" spans="1:32" ht="30" customHeight="1">
      <c r="A75" s="374">
        <f t="shared" ref="A75:A81" si="12">A74+1</f>
        <v>3</v>
      </c>
      <c r="B75" s="375"/>
      <c r="C75" s="164"/>
      <c r="D75" s="164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si="12"/>
        <v>4</v>
      </c>
      <c r="B76" s="375"/>
      <c r="C76" s="164"/>
      <c r="D76" s="164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12"/>
        <v>5</v>
      </c>
      <c r="B77" s="375"/>
      <c r="C77" s="164"/>
      <c r="D77" s="164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12"/>
        <v>6</v>
      </c>
      <c r="B78" s="375"/>
      <c r="C78" s="164"/>
      <c r="D78" s="164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12"/>
        <v>7</v>
      </c>
      <c r="B79" s="375"/>
      <c r="C79" s="164"/>
      <c r="D79" s="164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12"/>
        <v>8</v>
      </c>
      <c r="B80" s="375"/>
      <c r="C80" s="164"/>
      <c r="D80" s="164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12"/>
        <v>9</v>
      </c>
      <c r="B81" s="375"/>
      <c r="C81" s="164"/>
      <c r="D81" s="164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6" thickBot="1">
      <c r="A82" s="367" t="s">
        <v>229</v>
      </c>
      <c r="B82" s="367"/>
      <c r="C82" s="367"/>
      <c r="D82" s="367"/>
      <c r="E82" s="36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68" t="s">
        <v>113</v>
      </c>
      <c r="B83" s="369"/>
      <c r="C83" s="395" t="s">
        <v>52</v>
      </c>
      <c r="D83" s="395"/>
      <c r="E83" s="395" t="s">
        <v>53</v>
      </c>
      <c r="F83" s="395"/>
      <c r="G83" s="395"/>
      <c r="H83" s="395"/>
      <c r="I83" s="395"/>
      <c r="J83" s="395"/>
      <c r="K83" s="395" t="s">
        <v>54</v>
      </c>
      <c r="L83" s="395"/>
      <c r="M83" s="395"/>
      <c r="N83" s="395"/>
      <c r="O83" s="395"/>
      <c r="P83" s="395"/>
      <c r="Q83" s="395"/>
      <c r="R83" s="395"/>
      <c r="S83" s="395"/>
      <c r="T83" s="395" t="s">
        <v>55</v>
      </c>
      <c r="U83" s="395"/>
      <c r="V83" s="395" t="s">
        <v>56</v>
      </c>
      <c r="W83" s="395"/>
      <c r="X83" s="395"/>
      <c r="Y83" s="395" t="s">
        <v>51</v>
      </c>
      <c r="Z83" s="395"/>
      <c r="AA83" s="395"/>
      <c r="AB83" s="395"/>
      <c r="AC83" s="395"/>
      <c r="AD83" s="396"/>
      <c r="AF83" s="53"/>
    </row>
    <row r="84" spans="1:32" ht="30.75" customHeight="1">
      <c r="A84" s="382">
        <v>1</v>
      </c>
      <c r="B84" s="383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8"/>
      <c r="W84" s="398"/>
      <c r="X84" s="398"/>
      <c r="Y84" s="399"/>
      <c r="Z84" s="399"/>
      <c r="AA84" s="399"/>
      <c r="AB84" s="399"/>
      <c r="AC84" s="399"/>
      <c r="AD84" s="400"/>
      <c r="AF84" s="53"/>
    </row>
    <row r="85" spans="1:32" ht="30.75" customHeight="1">
      <c r="A85" s="374">
        <v>2</v>
      </c>
      <c r="B85" s="375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9"/>
      <c r="U85" s="409"/>
      <c r="V85" s="410"/>
      <c r="W85" s="410"/>
      <c r="X85" s="410"/>
      <c r="Y85" s="401"/>
      <c r="Z85" s="401"/>
      <c r="AA85" s="401"/>
      <c r="AB85" s="401"/>
      <c r="AC85" s="401"/>
      <c r="AD85" s="402"/>
      <c r="AF85" s="53"/>
    </row>
    <row r="86" spans="1:32" ht="30.75" customHeight="1" thickBot="1">
      <c r="A86" s="403">
        <v>3</v>
      </c>
      <c r="B86" s="404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6"/>
      <c r="Z86" s="406"/>
      <c r="AA86" s="406"/>
      <c r="AB86" s="406"/>
      <c r="AC86" s="406"/>
      <c r="AD86" s="40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3202-AD66-4C79-9E00-8E8157B5EF83}">
  <sheetPr>
    <pageSetUpPr fitToPage="1"/>
  </sheetPr>
  <dimension ref="A1:AF86"/>
  <sheetViews>
    <sheetView zoomScale="72" zoomScaleNormal="72" zoomScaleSheetLayoutView="70" workbookViewId="0">
      <selection activeCell="F79" sqref="F79:J7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230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175" t="s">
        <v>17</v>
      </c>
      <c r="L5" s="175" t="s">
        <v>18</v>
      </c>
      <c r="M5" s="175" t="s">
        <v>19</v>
      </c>
      <c r="N5" s="17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15" si="0">L6</f>
        <v>0</v>
      </c>
      <c r="L6" s="15"/>
      <c r="M6" s="16">
        <f t="shared" ref="M6:M20" si="1">L6-N6</f>
        <v>0</v>
      </c>
      <c r="N6" s="16">
        <v>0</v>
      </c>
      <c r="O6" s="62" t="str">
        <f t="shared" ref="O6:O21" si="2">IF(L6=0,"0",N6/L6)</f>
        <v>0</v>
      </c>
      <c r="P6" s="42" t="str">
        <f t="shared" ref="P6:P20" si="3">IF(L6=0,"0",(24-Q6))</f>
        <v>0</v>
      </c>
      <c r="Q6" s="43">
        <f t="shared" ref="Q6:Q20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9">
        <f t="shared" ref="AE6:AE20" si="8">$AD$21</f>
        <v>0.17777777777777776</v>
      </c>
      <c r="AF6" s="93">
        <f t="shared" ref="AF6:AF20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0.17777777777777776</v>
      </c>
      <c r="AF7" s="93">
        <f t="shared" si="9"/>
        <v>2</v>
      </c>
    </row>
    <row r="8" spans="1:32" ht="27" customHeight="1">
      <c r="A8" s="108">
        <v>3</v>
      </c>
      <c r="B8" s="11"/>
      <c r="C8" s="37"/>
      <c r="D8" s="55"/>
      <c r="E8" s="57"/>
      <c r="F8" s="33"/>
      <c r="G8" s="36"/>
      <c r="H8" s="38"/>
      <c r="I8" s="7"/>
      <c r="J8" s="5"/>
      <c r="K8" s="15"/>
      <c r="L8" s="15"/>
      <c r="M8" s="16">
        <f t="shared" si="1"/>
        <v>0</v>
      </c>
      <c r="N8" s="16">
        <v>0</v>
      </c>
      <c r="O8" s="62" t="str">
        <f t="shared" si="2"/>
        <v>0</v>
      </c>
      <c r="P8" s="42" t="str">
        <f t="shared" si="3"/>
        <v>0</v>
      </c>
      <c r="Q8" s="43">
        <f t="shared" si="4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9">
        <f t="shared" si="8"/>
        <v>0.17777777777777776</v>
      </c>
      <c r="AF8" s="93">
        <f t="shared" si="9"/>
        <v>3</v>
      </c>
    </row>
    <row r="9" spans="1:32" ht="27" customHeight="1">
      <c r="A9" s="109">
        <v>4</v>
      </c>
      <c r="B9" s="11"/>
      <c r="C9" s="11"/>
      <c r="D9" s="55"/>
      <c r="E9" s="57"/>
      <c r="F9" s="33"/>
      <c r="G9" s="36"/>
      <c r="H9" s="38"/>
      <c r="I9" s="7"/>
      <c r="J9" s="14">
        <v>0</v>
      </c>
      <c r="K9" s="15">
        <f t="shared" si="0"/>
        <v>0</v>
      </c>
      <c r="L9" s="15"/>
      <c r="M9" s="16">
        <f t="shared" si="1"/>
        <v>0</v>
      </c>
      <c r="N9" s="16">
        <v>0</v>
      </c>
      <c r="O9" s="62" t="str">
        <f t="shared" si="2"/>
        <v>0</v>
      </c>
      <c r="P9" s="42" t="str">
        <f t="shared" si="3"/>
        <v>0</v>
      </c>
      <c r="Q9" s="43">
        <f t="shared" si="4"/>
        <v>24</v>
      </c>
      <c r="R9" s="7"/>
      <c r="S9" s="6"/>
      <c r="T9" s="17"/>
      <c r="U9" s="17"/>
      <c r="V9" s="18"/>
      <c r="W9" s="19"/>
      <c r="X9" s="17"/>
      <c r="Y9" s="20"/>
      <c r="Z9" s="20"/>
      <c r="AA9" s="21">
        <v>24</v>
      </c>
      <c r="AB9" s="8" t="str">
        <f t="shared" si="5"/>
        <v>0</v>
      </c>
      <c r="AC9" s="9">
        <f t="shared" si="6"/>
        <v>0</v>
      </c>
      <c r="AD9" s="10">
        <f t="shared" si="7"/>
        <v>0</v>
      </c>
      <c r="AE9" s="39">
        <f t="shared" si="8"/>
        <v>0.17777777777777776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119</v>
      </c>
      <c r="D10" s="55" t="s">
        <v>137</v>
      </c>
      <c r="E10" s="57" t="s">
        <v>128</v>
      </c>
      <c r="F10" s="12" t="s">
        <v>231</v>
      </c>
      <c r="G10" s="12">
        <v>2</v>
      </c>
      <c r="H10" s="13">
        <v>20</v>
      </c>
      <c r="I10" s="7">
        <v>60000</v>
      </c>
      <c r="J10" s="14">
        <v>12336</v>
      </c>
      <c r="K10" s="15">
        <f>L10</f>
        <v>12336</v>
      </c>
      <c r="L10" s="15">
        <f>4228*2+1940*2</f>
        <v>12336</v>
      </c>
      <c r="M10" s="16">
        <f t="shared" si="1"/>
        <v>12336</v>
      </c>
      <c r="N10" s="16">
        <v>0</v>
      </c>
      <c r="O10" s="62">
        <f t="shared" si="2"/>
        <v>0</v>
      </c>
      <c r="P10" s="42">
        <f t="shared" si="3"/>
        <v>22</v>
      </c>
      <c r="Q10" s="43">
        <f t="shared" si="4"/>
        <v>2</v>
      </c>
      <c r="R10" s="7"/>
      <c r="S10" s="6"/>
      <c r="T10" s="17">
        <v>2</v>
      </c>
      <c r="U10" s="17"/>
      <c r="V10" s="18"/>
      <c r="W10" s="19"/>
      <c r="X10" s="17"/>
      <c r="Y10" s="20"/>
      <c r="Z10" s="20"/>
      <c r="AA10" s="21"/>
      <c r="AB10" s="8">
        <f t="shared" si="5"/>
        <v>1</v>
      </c>
      <c r="AC10" s="9">
        <f t="shared" si="6"/>
        <v>0.91666666666666663</v>
      </c>
      <c r="AD10" s="10">
        <f t="shared" si="7"/>
        <v>0.91666666666666663</v>
      </c>
      <c r="AE10" s="39">
        <f t="shared" si="8"/>
        <v>0.17777777777777776</v>
      </c>
      <c r="AF10" s="93">
        <f t="shared" si="9"/>
        <v>5</v>
      </c>
    </row>
    <row r="11" spans="1:32" ht="27" customHeight="1">
      <c r="A11" s="109">
        <v>6</v>
      </c>
      <c r="B11" s="11"/>
      <c r="C11" s="11"/>
      <c r="D11" s="55"/>
      <c r="E11" s="57"/>
      <c r="F11" s="12"/>
      <c r="G11" s="12"/>
      <c r="H11" s="13"/>
      <c r="I11" s="7"/>
      <c r="J11" s="14"/>
      <c r="K11" s="15"/>
      <c r="L11" s="15"/>
      <c r="M11" s="16">
        <f t="shared" si="1"/>
        <v>0</v>
      </c>
      <c r="N11" s="16">
        <v>0</v>
      </c>
      <c r="O11" s="62" t="str">
        <f t="shared" si="2"/>
        <v>0</v>
      </c>
      <c r="P11" s="42" t="str">
        <f t="shared" si="3"/>
        <v>0</v>
      </c>
      <c r="Q11" s="43">
        <f t="shared" si="4"/>
        <v>24</v>
      </c>
      <c r="R11" s="7"/>
      <c r="S11" s="6"/>
      <c r="T11" s="17"/>
      <c r="U11" s="17"/>
      <c r="V11" s="18"/>
      <c r="W11" s="19"/>
      <c r="X11" s="17"/>
      <c r="Y11" s="20"/>
      <c r="Z11" s="20"/>
      <c r="AA11" s="21">
        <v>24</v>
      </c>
      <c r="AB11" s="8" t="str">
        <f t="shared" si="5"/>
        <v>0</v>
      </c>
      <c r="AC11" s="9">
        <f t="shared" si="6"/>
        <v>0</v>
      </c>
      <c r="AD11" s="10">
        <f t="shared" si="7"/>
        <v>0</v>
      </c>
      <c r="AE11" s="39">
        <f t="shared" si="8"/>
        <v>0.17777777777777776</v>
      </c>
      <c r="AF11" s="93">
        <f t="shared" si="9"/>
        <v>6</v>
      </c>
    </row>
    <row r="12" spans="1:32" ht="27" customHeight="1">
      <c r="A12" s="109">
        <v>7</v>
      </c>
      <c r="B12" s="11"/>
      <c r="C12" s="11"/>
      <c r="D12" s="55"/>
      <c r="E12" s="57"/>
      <c r="F12" s="33"/>
      <c r="G12" s="36"/>
      <c r="H12" s="38"/>
      <c r="I12" s="7"/>
      <c r="J12" s="14"/>
      <c r="K12" s="15"/>
      <c r="L12" s="15"/>
      <c r="M12" s="16">
        <f t="shared" si="1"/>
        <v>0</v>
      </c>
      <c r="N12" s="16">
        <v>0</v>
      </c>
      <c r="O12" s="62" t="str">
        <f t="shared" si="2"/>
        <v>0</v>
      </c>
      <c r="P12" s="42" t="str">
        <f t="shared" si="3"/>
        <v>0</v>
      </c>
      <c r="Q12" s="43">
        <f t="shared" si="4"/>
        <v>24</v>
      </c>
      <c r="R12" s="7"/>
      <c r="S12" s="6"/>
      <c r="T12" s="17"/>
      <c r="U12" s="17"/>
      <c r="V12" s="18"/>
      <c r="W12" s="19"/>
      <c r="X12" s="17"/>
      <c r="Y12" s="20"/>
      <c r="Z12" s="20"/>
      <c r="AA12" s="21">
        <v>24</v>
      </c>
      <c r="AB12" s="8" t="str">
        <f t="shared" si="5"/>
        <v>0</v>
      </c>
      <c r="AC12" s="9">
        <f t="shared" si="6"/>
        <v>0</v>
      </c>
      <c r="AD12" s="10">
        <f t="shared" si="7"/>
        <v>0</v>
      </c>
      <c r="AE12" s="39">
        <f t="shared" si="8"/>
        <v>0.17777777777777776</v>
      </c>
      <c r="AF12" s="93">
        <f t="shared" si="9"/>
        <v>7</v>
      </c>
    </row>
    <row r="13" spans="1:32" ht="27" customHeight="1">
      <c r="A13" s="109">
        <v>8</v>
      </c>
      <c r="B13" s="11"/>
      <c r="C13" s="11"/>
      <c r="D13" s="55"/>
      <c r="E13" s="57"/>
      <c r="F13" s="33"/>
      <c r="G13" s="36"/>
      <c r="H13" s="38"/>
      <c r="I13" s="7"/>
      <c r="J13" s="14"/>
      <c r="K13" s="15"/>
      <c r="L13" s="15"/>
      <c r="M13" s="16">
        <f t="shared" si="1"/>
        <v>0</v>
      </c>
      <c r="N13" s="16">
        <v>0</v>
      </c>
      <c r="O13" s="62" t="str">
        <f t="shared" si="2"/>
        <v>0</v>
      </c>
      <c r="P13" s="42" t="str">
        <f t="shared" si="3"/>
        <v>0</v>
      </c>
      <c r="Q13" s="43">
        <f t="shared" si="4"/>
        <v>24</v>
      </c>
      <c r="R13" s="7"/>
      <c r="S13" s="6"/>
      <c r="T13" s="17"/>
      <c r="U13" s="17"/>
      <c r="V13" s="18"/>
      <c r="W13" s="19"/>
      <c r="X13" s="17"/>
      <c r="Y13" s="20"/>
      <c r="Z13" s="20"/>
      <c r="AA13" s="21">
        <v>24</v>
      </c>
      <c r="AB13" s="8" t="str">
        <f t="shared" si="5"/>
        <v>0</v>
      </c>
      <c r="AC13" s="9">
        <f t="shared" si="6"/>
        <v>0</v>
      </c>
      <c r="AD13" s="10">
        <f t="shared" si="7"/>
        <v>0</v>
      </c>
      <c r="AE13" s="39">
        <f t="shared" si="8"/>
        <v>0.17777777777777776</v>
      </c>
      <c r="AF13" s="93">
        <f t="shared" si="9"/>
        <v>8</v>
      </c>
    </row>
    <row r="14" spans="1:32" ht="27" customHeight="1">
      <c r="A14" s="125">
        <v>9</v>
      </c>
      <c r="B14" s="11"/>
      <c r="C14" s="37"/>
      <c r="D14" s="55"/>
      <c r="E14" s="57"/>
      <c r="F14" s="33"/>
      <c r="G14" s="36"/>
      <c r="H14" s="38"/>
      <c r="I14" s="7"/>
      <c r="J14" s="5">
        <v>0</v>
      </c>
      <c r="K14" s="15">
        <f t="shared" si="0"/>
        <v>0</v>
      </c>
      <c r="L14" s="15"/>
      <c r="M14" s="16">
        <f t="shared" si="1"/>
        <v>0</v>
      </c>
      <c r="N14" s="16">
        <v>0</v>
      </c>
      <c r="O14" s="62" t="str">
        <f t="shared" si="2"/>
        <v>0</v>
      </c>
      <c r="P14" s="42" t="str">
        <f t="shared" si="3"/>
        <v>0</v>
      </c>
      <c r="Q14" s="43">
        <f t="shared" si="4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9">
        <f t="shared" si="8"/>
        <v>0.17777777777777776</v>
      </c>
      <c r="AF14" s="93">
        <f t="shared" si="9"/>
        <v>9</v>
      </c>
    </row>
    <row r="15" spans="1:32" ht="27" customHeight="1">
      <c r="A15" s="108">
        <v>10</v>
      </c>
      <c r="B15" s="11"/>
      <c r="C15" s="37"/>
      <c r="D15" s="55"/>
      <c r="E15" s="57"/>
      <c r="F15" s="12"/>
      <c r="G15" s="12"/>
      <c r="H15" s="13"/>
      <c r="I15" s="34"/>
      <c r="J15" s="14">
        <v>0</v>
      </c>
      <c r="K15" s="15">
        <f t="shared" si="0"/>
        <v>0</v>
      </c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0.17777777777777776</v>
      </c>
      <c r="AF15" s="93">
        <f t="shared" si="9"/>
        <v>10</v>
      </c>
    </row>
    <row r="16" spans="1:32" ht="27" customHeight="1">
      <c r="A16" s="108">
        <v>11</v>
      </c>
      <c r="B16" s="11"/>
      <c r="C16" s="11"/>
      <c r="D16" s="55"/>
      <c r="E16" s="57"/>
      <c r="F16" s="12"/>
      <c r="G16" s="12"/>
      <c r="H16" s="13"/>
      <c r="I16" s="7"/>
      <c r="J16" s="14"/>
      <c r="K16" s="15"/>
      <c r="L16" s="15"/>
      <c r="M16" s="16">
        <f t="shared" si="1"/>
        <v>0</v>
      </c>
      <c r="N16" s="16">
        <v>0</v>
      </c>
      <c r="O16" s="62" t="str">
        <f t="shared" si="2"/>
        <v>0</v>
      </c>
      <c r="P16" s="42" t="str">
        <f t="shared" si="3"/>
        <v>0</v>
      </c>
      <c r="Q16" s="43">
        <f t="shared" si="4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 t="str">
        <f t="shared" si="5"/>
        <v>0</v>
      </c>
      <c r="AC16" s="9">
        <f t="shared" si="6"/>
        <v>0</v>
      </c>
      <c r="AD16" s="10">
        <f t="shared" si="7"/>
        <v>0</v>
      </c>
      <c r="AE16" s="39">
        <f t="shared" si="8"/>
        <v>0.17777777777777776</v>
      </c>
      <c r="AF16" s="93">
        <f t="shared" si="9"/>
        <v>11</v>
      </c>
    </row>
    <row r="17" spans="1:32" ht="27" customHeight="1">
      <c r="A17" s="108">
        <v>12</v>
      </c>
      <c r="B17" s="11"/>
      <c r="C17" s="37"/>
      <c r="D17" s="55"/>
      <c r="E17" s="57"/>
      <c r="F17" s="12"/>
      <c r="G17" s="12"/>
      <c r="H17" s="13"/>
      <c r="I17" s="34"/>
      <c r="J17" s="14"/>
      <c r="K17" s="15"/>
      <c r="L17" s="15"/>
      <c r="M17" s="16">
        <f t="shared" si="1"/>
        <v>0</v>
      </c>
      <c r="N17" s="16">
        <v>0</v>
      </c>
      <c r="O17" s="62" t="str">
        <f t="shared" si="2"/>
        <v>0</v>
      </c>
      <c r="P17" s="42" t="str">
        <f t="shared" si="3"/>
        <v>0</v>
      </c>
      <c r="Q17" s="43">
        <f t="shared" si="4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 t="str">
        <f t="shared" si="5"/>
        <v>0</v>
      </c>
      <c r="AC17" s="9">
        <f t="shared" si="6"/>
        <v>0</v>
      </c>
      <c r="AD17" s="10">
        <f t="shared" si="7"/>
        <v>0</v>
      </c>
      <c r="AE17" s="39">
        <f t="shared" si="8"/>
        <v>0.17777777777777776</v>
      </c>
      <c r="AF17" s="93">
        <f t="shared" si="9"/>
        <v>12</v>
      </c>
    </row>
    <row r="18" spans="1:32" ht="27" customHeight="1">
      <c r="A18" s="109">
        <v>13</v>
      </c>
      <c r="B18" s="11" t="s">
        <v>57</v>
      </c>
      <c r="C18" s="37" t="s">
        <v>119</v>
      </c>
      <c r="D18" s="55" t="s">
        <v>117</v>
      </c>
      <c r="E18" s="57" t="s">
        <v>209</v>
      </c>
      <c r="F18" s="33" t="s">
        <v>124</v>
      </c>
      <c r="G18" s="36">
        <v>2</v>
      </c>
      <c r="H18" s="38">
        <v>25</v>
      </c>
      <c r="I18" s="7">
        <v>60000</v>
      </c>
      <c r="J18" s="5">
        <v>7486</v>
      </c>
      <c r="K18" s="15">
        <f>L18</f>
        <v>7486</v>
      </c>
      <c r="L18" s="15">
        <f>877*2+2866*2</f>
        <v>7486</v>
      </c>
      <c r="M18" s="16">
        <f t="shared" si="1"/>
        <v>7486</v>
      </c>
      <c r="N18" s="16">
        <v>0</v>
      </c>
      <c r="O18" s="62">
        <f t="shared" si="2"/>
        <v>0</v>
      </c>
      <c r="P18" s="42">
        <f t="shared" si="3"/>
        <v>19</v>
      </c>
      <c r="Q18" s="43">
        <f t="shared" si="4"/>
        <v>5</v>
      </c>
      <c r="R18" s="7"/>
      <c r="S18" s="6">
        <v>5</v>
      </c>
      <c r="T18" s="17"/>
      <c r="U18" s="17"/>
      <c r="V18" s="18"/>
      <c r="W18" s="19"/>
      <c r="X18" s="17"/>
      <c r="Y18" s="20"/>
      <c r="Z18" s="20"/>
      <c r="AA18" s="21"/>
      <c r="AB18" s="8">
        <f t="shared" si="5"/>
        <v>1</v>
      </c>
      <c r="AC18" s="9">
        <f t="shared" si="6"/>
        <v>0.79166666666666663</v>
      </c>
      <c r="AD18" s="10">
        <f>AC18*AB18*(1-O18)</f>
        <v>0.79166666666666663</v>
      </c>
      <c r="AE18" s="39">
        <f t="shared" si="8"/>
        <v>0.17777777777777776</v>
      </c>
      <c r="AF18" s="93">
        <f t="shared" si="9"/>
        <v>13</v>
      </c>
    </row>
    <row r="19" spans="1:32" ht="27" customHeight="1">
      <c r="A19" s="109">
        <v>14</v>
      </c>
      <c r="B19" s="11" t="s">
        <v>57</v>
      </c>
      <c r="C19" s="37" t="s">
        <v>119</v>
      </c>
      <c r="D19" s="55" t="s">
        <v>117</v>
      </c>
      <c r="E19" s="57" t="s">
        <v>189</v>
      </c>
      <c r="F19" s="12" t="s">
        <v>162</v>
      </c>
      <c r="G19" s="36">
        <v>1</v>
      </c>
      <c r="H19" s="38">
        <v>24</v>
      </c>
      <c r="I19" s="7">
        <v>6000</v>
      </c>
      <c r="J19" s="5">
        <v>1320</v>
      </c>
      <c r="K19" s="15">
        <f>L19+2507</f>
        <v>3827</v>
      </c>
      <c r="L19" s="15">
        <f>364+956</f>
        <v>1320</v>
      </c>
      <c r="M19" s="16">
        <f t="shared" si="1"/>
        <v>1320</v>
      </c>
      <c r="N19" s="16">
        <v>0</v>
      </c>
      <c r="O19" s="62">
        <f t="shared" si="2"/>
        <v>0</v>
      </c>
      <c r="P19" s="42">
        <f t="shared" si="3"/>
        <v>7</v>
      </c>
      <c r="Q19" s="43">
        <f t="shared" si="4"/>
        <v>17</v>
      </c>
      <c r="R19" s="7"/>
      <c r="S19" s="6"/>
      <c r="T19" s="17"/>
      <c r="U19" s="17"/>
      <c r="V19" s="18"/>
      <c r="W19" s="19">
        <v>17</v>
      </c>
      <c r="X19" s="17"/>
      <c r="Y19" s="20"/>
      <c r="Z19" s="20"/>
      <c r="AA19" s="21"/>
      <c r="AB19" s="8">
        <f t="shared" si="5"/>
        <v>1</v>
      </c>
      <c r="AC19" s="9">
        <f t="shared" si="6"/>
        <v>0.29166666666666669</v>
      </c>
      <c r="AD19" s="10">
        <f>AC19*AB19*(1-O19)</f>
        <v>0.29166666666666669</v>
      </c>
      <c r="AE19" s="39">
        <f t="shared" si="8"/>
        <v>0.17777777777777776</v>
      </c>
      <c r="AF19" s="93">
        <f t="shared" si="9"/>
        <v>14</v>
      </c>
    </row>
    <row r="20" spans="1:32" ht="27" customHeight="1" thickBot="1">
      <c r="A20" s="109">
        <v>15</v>
      </c>
      <c r="B20" s="11" t="s">
        <v>57</v>
      </c>
      <c r="C20" s="11" t="s">
        <v>115</v>
      </c>
      <c r="D20" s="55"/>
      <c r="E20" s="56" t="s">
        <v>126</v>
      </c>
      <c r="F20" s="12" t="s">
        <v>116</v>
      </c>
      <c r="G20" s="12">
        <v>4</v>
      </c>
      <c r="H20" s="38">
        <v>20</v>
      </c>
      <c r="I20" s="7">
        <v>500000</v>
      </c>
      <c r="J20" s="14">
        <v>41848</v>
      </c>
      <c r="K20" s="15">
        <f>L20+27008+76128</f>
        <v>144984</v>
      </c>
      <c r="L20" s="15">
        <f>10462*4</f>
        <v>41848</v>
      </c>
      <c r="M20" s="16">
        <f t="shared" si="1"/>
        <v>41848</v>
      </c>
      <c r="N20" s="16">
        <v>0</v>
      </c>
      <c r="O20" s="62">
        <f t="shared" si="2"/>
        <v>0</v>
      </c>
      <c r="P20" s="42">
        <f t="shared" si="3"/>
        <v>16</v>
      </c>
      <c r="Q20" s="43">
        <f t="shared" si="4"/>
        <v>8</v>
      </c>
      <c r="R20" s="7"/>
      <c r="S20" s="6"/>
      <c r="T20" s="17"/>
      <c r="U20" s="17"/>
      <c r="V20" s="18">
        <v>8</v>
      </c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0.66666666666666663</v>
      </c>
      <c r="AD20" s="10">
        <f t="shared" si="7"/>
        <v>0.66666666666666663</v>
      </c>
      <c r="AE20" s="39">
        <f t="shared" si="8"/>
        <v>0.17777777777777776</v>
      </c>
      <c r="AF20" s="93">
        <f t="shared" si="9"/>
        <v>15</v>
      </c>
    </row>
    <row r="21" spans="1:32" ht="31.5" customHeight="1" thickBot="1">
      <c r="A21" s="312" t="s">
        <v>34</v>
      </c>
      <c r="B21" s="313"/>
      <c r="C21" s="313"/>
      <c r="D21" s="313"/>
      <c r="E21" s="313"/>
      <c r="F21" s="313"/>
      <c r="G21" s="313"/>
      <c r="H21" s="314"/>
      <c r="I21" s="25">
        <f t="shared" ref="I21:N21" si="10">SUM(I6:I20)</f>
        <v>626000</v>
      </c>
      <c r="J21" s="22">
        <f t="shared" si="10"/>
        <v>62990</v>
      </c>
      <c r="K21" s="23">
        <f t="shared" si="10"/>
        <v>168633</v>
      </c>
      <c r="L21" s="24">
        <f t="shared" si="10"/>
        <v>62990</v>
      </c>
      <c r="M21" s="23">
        <f t="shared" si="10"/>
        <v>62990</v>
      </c>
      <c r="N21" s="24">
        <f t="shared" si="10"/>
        <v>0</v>
      </c>
      <c r="O21" s="44">
        <f t="shared" si="2"/>
        <v>0</v>
      </c>
      <c r="P21" s="45">
        <f t="shared" ref="P21:AA21" si="11">SUM(P6:P20)</f>
        <v>64</v>
      </c>
      <c r="Q21" s="46">
        <f t="shared" si="11"/>
        <v>296</v>
      </c>
      <c r="R21" s="26">
        <f t="shared" si="11"/>
        <v>24</v>
      </c>
      <c r="S21" s="27">
        <f t="shared" si="11"/>
        <v>5</v>
      </c>
      <c r="T21" s="27">
        <f t="shared" si="11"/>
        <v>2</v>
      </c>
      <c r="U21" s="27">
        <f t="shared" si="11"/>
        <v>0</v>
      </c>
      <c r="V21" s="28">
        <f t="shared" si="11"/>
        <v>8</v>
      </c>
      <c r="W21" s="29">
        <f t="shared" si="11"/>
        <v>161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96</v>
      </c>
      <c r="AB21" s="31">
        <f>SUM(AB6:AB20)/15</f>
        <v>0.26666666666666666</v>
      </c>
      <c r="AC21" s="4">
        <f>SUM(AC6:AC20)/15</f>
        <v>0.17777777777777776</v>
      </c>
      <c r="AD21" s="4">
        <f>SUM(AD6:AD20)/15</f>
        <v>0.17777777777777776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15" t="s">
        <v>45</v>
      </c>
      <c r="B48" s="315"/>
      <c r="C48" s="315"/>
      <c r="D48" s="315"/>
      <c r="E48" s="31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16" t="s">
        <v>232</v>
      </c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8"/>
      <c r="N49" s="319" t="s">
        <v>235</v>
      </c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1"/>
    </row>
    <row r="50" spans="1:32" ht="27" customHeight="1">
      <c r="A50" s="322" t="s">
        <v>2</v>
      </c>
      <c r="B50" s="323"/>
      <c r="C50" s="176" t="s">
        <v>46</v>
      </c>
      <c r="D50" s="176" t="s">
        <v>47</v>
      </c>
      <c r="E50" s="176" t="s">
        <v>108</v>
      </c>
      <c r="F50" s="323" t="s">
        <v>107</v>
      </c>
      <c r="G50" s="323"/>
      <c r="H50" s="323"/>
      <c r="I50" s="323"/>
      <c r="J50" s="323"/>
      <c r="K50" s="323"/>
      <c r="L50" s="323"/>
      <c r="M50" s="324"/>
      <c r="N50" s="73" t="s">
        <v>112</v>
      </c>
      <c r="O50" s="176" t="s">
        <v>46</v>
      </c>
      <c r="P50" s="325" t="s">
        <v>47</v>
      </c>
      <c r="Q50" s="326"/>
      <c r="R50" s="325" t="s">
        <v>38</v>
      </c>
      <c r="S50" s="327"/>
      <c r="T50" s="327"/>
      <c r="U50" s="326"/>
      <c r="V50" s="325" t="s">
        <v>48</v>
      </c>
      <c r="W50" s="327"/>
      <c r="X50" s="327"/>
      <c r="Y50" s="327"/>
      <c r="Z50" s="327"/>
      <c r="AA50" s="327"/>
      <c r="AB50" s="327"/>
      <c r="AC50" s="327"/>
      <c r="AD50" s="328"/>
    </row>
    <row r="51" spans="1:32" ht="27" customHeight="1">
      <c r="A51" s="339" t="s">
        <v>119</v>
      </c>
      <c r="B51" s="340"/>
      <c r="C51" s="178" t="s">
        <v>118</v>
      </c>
      <c r="D51" s="178" t="s">
        <v>137</v>
      </c>
      <c r="E51" s="178" t="s">
        <v>128</v>
      </c>
      <c r="F51" s="341" t="s">
        <v>131</v>
      </c>
      <c r="G51" s="342"/>
      <c r="H51" s="342"/>
      <c r="I51" s="342"/>
      <c r="J51" s="342"/>
      <c r="K51" s="342"/>
      <c r="L51" s="342"/>
      <c r="M51" s="343"/>
      <c r="N51" s="177" t="s">
        <v>119</v>
      </c>
      <c r="O51" s="124" t="s">
        <v>136</v>
      </c>
      <c r="P51" s="340" t="s">
        <v>117</v>
      </c>
      <c r="Q51" s="340"/>
      <c r="R51" s="340" t="s">
        <v>189</v>
      </c>
      <c r="S51" s="340"/>
      <c r="T51" s="340"/>
      <c r="U51" s="340"/>
      <c r="V51" s="346" t="s">
        <v>236</v>
      </c>
      <c r="W51" s="346"/>
      <c r="X51" s="346"/>
      <c r="Y51" s="346"/>
      <c r="Z51" s="346"/>
      <c r="AA51" s="346"/>
      <c r="AB51" s="346"/>
      <c r="AC51" s="346"/>
      <c r="AD51" s="347"/>
    </row>
    <row r="52" spans="1:32" ht="27" customHeight="1">
      <c r="A52" s="339" t="s">
        <v>119</v>
      </c>
      <c r="B52" s="340"/>
      <c r="C52" s="178" t="s">
        <v>188</v>
      </c>
      <c r="D52" s="178" t="s">
        <v>117</v>
      </c>
      <c r="E52" s="178" t="s">
        <v>209</v>
      </c>
      <c r="F52" s="341" t="s">
        <v>233</v>
      </c>
      <c r="G52" s="342"/>
      <c r="H52" s="342"/>
      <c r="I52" s="342"/>
      <c r="J52" s="342"/>
      <c r="K52" s="342"/>
      <c r="L52" s="342"/>
      <c r="M52" s="343"/>
      <c r="N52" s="177" t="s">
        <v>119</v>
      </c>
      <c r="O52" s="124" t="s">
        <v>237</v>
      </c>
      <c r="P52" s="340" t="s">
        <v>167</v>
      </c>
      <c r="Q52" s="340"/>
      <c r="R52" s="340" t="s">
        <v>238</v>
      </c>
      <c r="S52" s="340"/>
      <c r="T52" s="340"/>
      <c r="U52" s="340"/>
      <c r="V52" s="346" t="s">
        <v>131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119</v>
      </c>
      <c r="B53" s="340"/>
      <c r="C53" s="178" t="s">
        <v>136</v>
      </c>
      <c r="D53" s="178" t="s">
        <v>117</v>
      </c>
      <c r="E53" s="178" t="s">
        <v>189</v>
      </c>
      <c r="F53" s="341" t="s">
        <v>234</v>
      </c>
      <c r="G53" s="342"/>
      <c r="H53" s="342"/>
      <c r="I53" s="342"/>
      <c r="J53" s="342"/>
      <c r="K53" s="342"/>
      <c r="L53" s="342"/>
      <c r="M53" s="343"/>
      <c r="N53" s="177" t="s">
        <v>119</v>
      </c>
      <c r="O53" s="124" t="s">
        <v>183</v>
      </c>
      <c r="P53" s="340" t="s">
        <v>220</v>
      </c>
      <c r="Q53" s="340"/>
      <c r="R53" s="340" t="s">
        <v>239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/>
      <c r="B54" s="340"/>
      <c r="C54" s="178"/>
      <c r="D54" s="178"/>
      <c r="E54" s="178"/>
      <c r="F54" s="341"/>
      <c r="G54" s="342"/>
      <c r="H54" s="342"/>
      <c r="I54" s="342"/>
      <c r="J54" s="342"/>
      <c r="K54" s="342"/>
      <c r="L54" s="342"/>
      <c r="M54" s="343"/>
      <c r="N54" s="177"/>
      <c r="O54" s="124"/>
      <c r="P54" s="344"/>
      <c r="Q54" s="345"/>
      <c r="R54" s="340"/>
      <c r="S54" s="340"/>
      <c r="T54" s="340"/>
      <c r="U54" s="340"/>
      <c r="V54" s="346"/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/>
      <c r="B55" s="340"/>
      <c r="C55" s="178"/>
      <c r="D55" s="178"/>
      <c r="E55" s="178"/>
      <c r="F55" s="341"/>
      <c r="G55" s="342"/>
      <c r="H55" s="342"/>
      <c r="I55" s="342"/>
      <c r="J55" s="342"/>
      <c r="K55" s="342"/>
      <c r="L55" s="342"/>
      <c r="M55" s="343"/>
      <c r="N55" s="177"/>
      <c r="O55" s="124"/>
      <c r="P55" s="340"/>
      <c r="Q55" s="340"/>
      <c r="R55" s="340"/>
      <c r="S55" s="340"/>
      <c r="T55" s="340"/>
      <c r="U55" s="340"/>
      <c r="V55" s="346"/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/>
      <c r="B56" s="340"/>
      <c r="C56" s="178"/>
      <c r="D56" s="178"/>
      <c r="E56" s="178"/>
      <c r="F56" s="341"/>
      <c r="G56" s="342"/>
      <c r="H56" s="342"/>
      <c r="I56" s="342"/>
      <c r="J56" s="342"/>
      <c r="K56" s="342"/>
      <c r="L56" s="342"/>
      <c r="M56" s="343"/>
      <c r="N56" s="177"/>
      <c r="O56" s="124"/>
      <c r="P56" s="344"/>
      <c r="Q56" s="345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178"/>
      <c r="D57" s="178"/>
      <c r="E57" s="178"/>
      <c r="F57" s="341"/>
      <c r="G57" s="342"/>
      <c r="H57" s="342"/>
      <c r="I57" s="342"/>
      <c r="J57" s="342"/>
      <c r="K57" s="342"/>
      <c r="L57" s="342"/>
      <c r="M57" s="343"/>
      <c r="N57" s="177"/>
      <c r="O57" s="124"/>
      <c r="P57" s="344"/>
      <c r="Q57" s="345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178"/>
      <c r="D58" s="178"/>
      <c r="E58" s="178"/>
      <c r="F58" s="346"/>
      <c r="G58" s="346"/>
      <c r="H58" s="346"/>
      <c r="I58" s="346"/>
      <c r="J58" s="346"/>
      <c r="K58" s="346"/>
      <c r="L58" s="346"/>
      <c r="M58" s="347"/>
      <c r="N58" s="177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178"/>
      <c r="D59" s="178"/>
      <c r="E59" s="178"/>
      <c r="F59" s="341"/>
      <c r="G59" s="342"/>
      <c r="H59" s="342"/>
      <c r="I59" s="342"/>
      <c r="J59" s="342"/>
      <c r="K59" s="342"/>
      <c r="L59" s="342"/>
      <c r="M59" s="343"/>
      <c r="N59" s="177"/>
      <c r="O59" s="124"/>
      <c r="P59" s="340"/>
      <c r="Q59" s="340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  <c r="AF59" s="93">
        <f>8*3000</f>
        <v>24000</v>
      </c>
    </row>
    <row r="60" spans="1:32" ht="27" customHeight="1" thickBot="1">
      <c r="A60" s="348"/>
      <c r="B60" s="349"/>
      <c r="C60" s="180"/>
      <c r="D60" s="180"/>
      <c r="E60" s="180"/>
      <c r="F60" s="350"/>
      <c r="G60" s="350"/>
      <c r="H60" s="350"/>
      <c r="I60" s="350"/>
      <c r="J60" s="350"/>
      <c r="K60" s="350"/>
      <c r="L60" s="350"/>
      <c r="M60" s="351"/>
      <c r="N60" s="179"/>
      <c r="O60" s="120"/>
      <c r="P60" s="349"/>
      <c r="Q60" s="349"/>
      <c r="R60" s="349"/>
      <c r="S60" s="349"/>
      <c r="T60" s="349"/>
      <c r="U60" s="349"/>
      <c r="V60" s="352"/>
      <c r="W60" s="352"/>
      <c r="X60" s="352"/>
      <c r="Y60" s="352"/>
      <c r="Z60" s="352"/>
      <c r="AA60" s="352"/>
      <c r="AB60" s="352"/>
      <c r="AC60" s="352"/>
      <c r="AD60" s="353"/>
      <c r="AF60" s="93">
        <f>16*3000</f>
        <v>48000</v>
      </c>
    </row>
    <row r="61" spans="1:32" ht="27.75" thickBot="1">
      <c r="A61" s="354" t="s">
        <v>240</v>
      </c>
      <c r="B61" s="354"/>
      <c r="C61" s="354"/>
      <c r="D61" s="354"/>
      <c r="E61" s="35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55" t="s">
        <v>113</v>
      </c>
      <c r="B62" s="356"/>
      <c r="C62" s="181" t="s">
        <v>2</v>
      </c>
      <c r="D62" s="181" t="s">
        <v>37</v>
      </c>
      <c r="E62" s="181" t="s">
        <v>3</v>
      </c>
      <c r="F62" s="356" t="s">
        <v>110</v>
      </c>
      <c r="G62" s="356"/>
      <c r="H62" s="356"/>
      <c r="I62" s="356"/>
      <c r="J62" s="356"/>
      <c r="K62" s="356" t="s">
        <v>39</v>
      </c>
      <c r="L62" s="356"/>
      <c r="M62" s="181" t="s">
        <v>40</v>
      </c>
      <c r="N62" s="356" t="s">
        <v>41</v>
      </c>
      <c r="O62" s="356"/>
      <c r="P62" s="357" t="s">
        <v>42</v>
      </c>
      <c r="Q62" s="358"/>
      <c r="R62" s="357" t="s">
        <v>43</v>
      </c>
      <c r="S62" s="359"/>
      <c r="T62" s="359"/>
      <c r="U62" s="359"/>
      <c r="V62" s="359"/>
      <c r="W62" s="359"/>
      <c r="X62" s="359"/>
      <c r="Y62" s="359"/>
      <c r="Z62" s="359"/>
      <c r="AA62" s="358"/>
      <c r="AB62" s="356" t="s">
        <v>44</v>
      </c>
      <c r="AC62" s="356"/>
      <c r="AD62" s="360"/>
      <c r="AF62" s="93">
        <f>SUM(AF59:AF61)</f>
        <v>96000</v>
      </c>
    </row>
    <row r="63" spans="1:32" ht="25.5" customHeight="1">
      <c r="A63" s="361">
        <v>1</v>
      </c>
      <c r="B63" s="362"/>
      <c r="C63" s="123" t="s">
        <v>114</v>
      </c>
      <c r="D63" s="184"/>
      <c r="E63" s="182" t="s">
        <v>117</v>
      </c>
      <c r="F63" s="363" t="s">
        <v>241</v>
      </c>
      <c r="G63" s="364"/>
      <c r="H63" s="364"/>
      <c r="I63" s="364"/>
      <c r="J63" s="364"/>
      <c r="K63" s="364" t="s">
        <v>162</v>
      </c>
      <c r="L63" s="364"/>
      <c r="M63" s="54" t="s">
        <v>225</v>
      </c>
      <c r="N63" s="364">
        <v>4</v>
      </c>
      <c r="O63" s="364"/>
      <c r="P63" s="365"/>
      <c r="Q63" s="365"/>
      <c r="R63" s="346" t="s">
        <v>242</v>
      </c>
      <c r="S63" s="346"/>
      <c r="T63" s="346"/>
      <c r="U63" s="346"/>
      <c r="V63" s="346"/>
      <c r="W63" s="346"/>
      <c r="X63" s="346"/>
      <c r="Y63" s="346"/>
      <c r="Z63" s="346"/>
      <c r="AA63" s="346"/>
      <c r="AB63" s="364"/>
      <c r="AC63" s="364"/>
      <c r="AD63" s="366"/>
      <c r="AF63" s="53"/>
    </row>
    <row r="64" spans="1:32" ht="25.5" customHeight="1">
      <c r="A64" s="361">
        <v>2</v>
      </c>
      <c r="B64" s="362"/>
      <c r="C64" s="123" t="s">
        <v>119</v>
      </c>
      <c r="D64" s="184"/>
      <c r="E64" s="182" t="s">
        <v>243</v>
      </c>
      <c r="F64" s="363" t="s">
        <v>244</v>
      </c>
      <c r="G64" s="364"/>
      <c r="H64" s="364"/>
      <c r="I64" s="364"/>
      <c r="J64" s="364"/>
      <c r="K64" s="364" t="s">
        <v>245</v>
      </c>
      <c r="L64" s="364"/>
      <c r="M64" s="54" t="s">
        <v>223</v>
      </c>
      <c r="N64" s="364">
        <v>7</v>
      </c>
      <c r="O64" s="364"/>
      <c r="P64" s="365">
        <v>150</v>
      </c>
      <c r="Q64" s="365"/>
      <c r="R64" s="346" t="s">
        <v>222</v>
      </c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3</v>
      </c>
      <c r="B65" s="362"/>
      <c r="C65" s="123" t="s">
        <v>114</v>
      </c>
      <c r="D65" s="184"/>
      <c r="E65" s="182" t="s">
        <v>164</v>
      </c>
      <c r="F65" s="363" t="s">
        <v>226</v>
      </c>
      <c r="G65" s="364"/>
      <c r="H65" s="364"/>
      <c r="I65" s="364"/>
      <c r="J65" s="364"/>
      <c r="K65" s="364" t="s">
        <v>222</v>
      </c>
      <c r="L65" s="364"/>
      <c r="M65" s="54" t="s">
        <v>225</v>
      </c>
      <c r="N65" s="364">
        <v>7</v>
      </c>
      <c r="O65" s="364"/>
      <c r="P65" s="365">
        <v>50</v>
      </c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4</v>
      </c>
      <c r="B66" s="362"/>
      <c r="C66" s="123" t="s">
        <v>114</v>
      </c>
      <c r="D66" s="184"/>
      <c r="E66" s="182" t="s">
        <v>167</v>
      </c>
      <c r="F66" s="363" t="s">
        <v>246</v>
      </c>
      <c r="G66" s="364"/>
      <c r="H66" s="364"/>
      <c r="I66" s="364"/>
      <c r="J66" s="364"/>
      <c r="K66" s="364" t="s">
        <v>169</v>
      </c>
      <c r="L66" s="364"/>
      <c r="M66" s="54" t="s">
        <v>225</v>
      </c>
      <c r="N66" s="364">
        <v>7</v>
      </c>
      <c r="O66" s="364"/>
      <c r="P66" s="365">
        <v>50</v>
      </c>
      <c r="Q66" s="365"/>
      <c r="R66" s="346" t="s">
        <v>247</v>
      </c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5</v>
      </c>
      <c r="B67" s="362"/>
      <c r="C67" s="123" t="s">
        <v>114</v>
      </c>
      <c r="D67" s="184"/>
      <c r="E67" s="182" t="s">
        <v>117</v>
      </c>
      <c r="F67" s="363" t="s">
        <v>248</v>
      </c>
      <c r="G67" s="364"/>
      <c r="H67" s="364"/>
      <c r="I67" s="364"/>
      <c r="J67" s="364"/>
      <c r="K67" s="364" t="s">
        <v>250</v>
      </c>
      <c r="L67" s="364"/>
      <c r="M67" s="54" t="s">
        <v>223</v>
      </c>
      <c r="N67" s="364">
        <v>8</v>
      </c>
      <c r="O67" s="364"/>
      <c r="P67" s="365">
        <v>20</v>
      </c>
      <c r="Q67" s="365"/>
      <c r="R67" s="346" t="s">
        <v>251</v>
      </c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6</v>
      </c>
      <c r="B68" s="362"/>
      <c r="C68" s="123" t="s">
        <v>114</v>
      </c>
      <c r="D68" s="184"/>
      <c r="E68" s="182" t="s">
        <v>117</v>
      </c>
      <c r="F68" s="363" t="s">
        <v>249</v>
      </c>
      <c r="G68" s="364"/>
      <c r="H68" s="364"/>
      <c r="I68" s="364"/>
      <c r="J68" s="364"/>
      <c r="K68" s="364" t="s">
        <v>250</v>
      </c>
      <c r="L68" s="364"/>
      <c r="M68" s="54" t="s">
        <v>223</v>
      </c>
      <c r="N68" s="364">
        <v>8</v>
      </c>
      <c r="O68" s="364"/>
      <c r="P68" s="365">
        <v>20</v>
      </c>
      <c r="Q68" s="365"/>
      <c r="R68" s="346" t="s">
        <v>251</v>
      </c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7</v>
      </c>
      <c r="B69" s="362"/>
      <c r="C69" s="123" t="s">
        <v>142</v>
      </c>
      <c r="D69" s="184"/>
      <c r="E69" s="182" t="s">
        <v>117</v>
      </c>
      <c r="F69" s="363" t="s">
        <v>252</v>
      </c>
      <c r="G69" s="364"/>
      <c r="H69" s="364"/>
      <c r="I69" s="364"/>
      <c r="J69" s="364"/>
      <c r="K69" s="364" t="s">
        <v>250</v>
      </c>
      <c r="L69" s="364"/>
      <c r="M69" s="54" t="s">
        <v>146</v>
      </c>
      <c r="N69" s="364">
        <v>8</v>
      </c>
      <c r="O69" s="364"/>
      <c r="P69" s="365">
        <v>50</v>
      </c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8</v>
      </c>
      <c r="B70" s="362"/>
      <c r="C70" s="123" t="s">
        <v>142</v>
      </c>
      <c r="D70" s="184"/>
      <c r="E70" s="182" t="s">
        <v>117</v>
      </c>
      <c r="F70" s="363" t="s">
        <v>253</v>
      </c>
      <c r="G70" s="364"/>
      <c r="H70" s="364"/>
      <c r="I70" s="364"/>
      <c r="J70" s="364"/>
      <c r="K70" s="364" t="s">
        <v>250</v>
      </c>
      <c r="L70" s="364"/>
      <c r="M70" s="54" t="s">
        <v>146</v>
      </c>
      <c r="N70" s="364">
        <v>8</v>
      </c>
      <c r="O70" s="364"/>
      <c r="P70" s="365">
        <v>50</v>
      </c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6.25" customHeight="1" thickBot="1">
      <c r="A71" s="367" t="s">
        <v>254</v>
      </c>
      <c r="B71" s="367"/>
      <c r="C71" s="367"/>
      <c r="D71" s="367"/>
      <c r="E71" s="36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8" t="s">
        <v>113</v>
      </c>
      <c r="B72" s="369"/>
      <c r="C72" s="183" t="s">
        <v>2</v>
      </c>
      <c r="D72" s="183" t="s">
        <v>37</v>
      </c>
      <c r="E72" s="183" t="s">
        <v>3</v>
      </c>
      <c r="F72" s="369" t="s">
        <v>38</v>
      </c>
      <c r="G72" s="369"/>
      <c r="H72" s="369"/>
      <c r="I72" s="369"/>
      <c r="J72" s="369"/>
      <c r="K72" s="370" t="s">
        <v>58</v>
      </c>
      <c r="L72" s="371"/>
      <c r="M72" s="371"/>
      <c r="N72" s="371"/>
      <c r="O72" s="371"/>
      <c r="P72" s="371"/>
      <c r="Q72" s="371"/>
      <c r="R72" s="371"/>
      <c r="S72" s="372"/>
      <c r="T72" s="369" t="s">
        <v>49</v>
      </c>
      <c r="U72" s="369"/>
      <c r="V72" s="370" t="s">
        <v>50</v>
      </c>
      <c r="W72" s="372"/>
      <c r="X72" s="371" t="s">
        <v>51</v>
      </c>
      <c r="Y72" s="371"/>
      <c r="Z72" s="371"/>
      <c r="AA72" s="371"/>
      <c r="AB72" s="371"/>
      <c r="AC72" s="371"/>
      <c r="AD72" s="373"/>
      <c r="AF72" s="53"/>
    </row>
    <row r="73" spans="1:32" ht="33.75" customHeight="1">
      <c r="A73" s="382">
        <v>1</v>
      </c>
      <c r="B73" s="383"/>
      <c r="C73" s="185" t="s">
        <v>114</v>
      </c>
      <c r="D73" s="185"/>
      <c r="E73" s="71" t="s">
        <v>122</v>
      </c>
      <c r="F73" s="384" t="s">
        <v>121</v>
      </c>
      <c r="G73" s="385"/>
      <c r="H73" s="385"/>
      <c r="I73" s="385"/>
      <c r="J73" s="386"/>
      <c r="K73" s="387" t="s">
        <v>123</v>
      </c>
      <c r="L73" s="388"/>
      <c r="M73" s="388"/>
      <c r="N73" s="388"/>
      <c r="O73" s="388"/>
      <c r="P73" s="388"/>
      <c r="Q73" s="388"/>
      <c r="R73" s="388"/>
      <c r="S73" s="389"/>
      <c r="T73" s="390">
        <v>43384</v>
      </c>
      <c r="U73" s="391"/>
      <c r="V73" s="392"/>
      <c r="W73" s="392"/>
      <c r="X73" s="393"/>
      <c r="Y73" s="393"/>
      <c r="Z73" s="393"/>
      <c r="AA73" s="393"/>
      <c r="AB73" s="393"/>
      <c r="AC73" s="393"/>
      <c r="AD73" s="394"/>
      <c r="AF73" s="53"/>
    </row>
    <row r="74" spans="1:32" ht="30" customHeight="1">
      <c r="A74" s="374">
        <f>A73+1</f>
        <v>2</v>
      </c>
      <c r="B74" s="375"/>
      <c r="C74" s="184"/>
      <c r="D74" s="184"/>
      <c r="E74" s="35"/>
      <c r="F74" s="375"/>
      <c r="G74" s="375"/>
      <c r="H74" s="375"/>
      <c r="I74" s="375"/>
      <c r="J74" s="375"/>
      <c r="K74" s="376"/>
      <c r="L74" s="377"/>
      <c r="M74" s="377"/>
      <c r="N74" s="377"/>
      <c r="O74" s="377"/>
      <c r="P74" s="377"/>
      <c r="Q74" s="377"/>
      <c r="R74" s="377"/>
      <c r="S74" s="378"/>
      <c r="T74" s="379"/>
      <c r="U74" s="379"/>
      <c r="V74" s="379"/>
      <c r="W74" s="379"/>
      <c r="X74" s="380"/>
      <c r="Y74" s="380"/>
      <c r="Z74" s="380"/>
      <c r="AA74" s="380"/>
      <c r="AB74" s="380"/>
      <c r="AC74" s="380"/>
      <c r="AD74" s="381"/>
      <c r="AF74" s="53"/>
    </row>
    <row r="75" spans="1:32" ht="30" customHeight="1">
      <c r="A75" s="374">
        <f t="shared" ref="A75:A81" si="12">A74+1</f>
        <v>3</v>
      </c>
      <c r="B75" s="375"/>
      <c r="C75" s="184"/>
      <c r="D75" s="184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si="12"/>
        <v>4</v>
      </c>
      <c r="B76" s="375"/>
      <c r="C76" s="184"/>
      <c r="D76" s="184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12"/>
        <v>5</v>
      </c>
      <c r="B77" s="375"/>
      <c r="C77" s="184"/>
      <c r="D77" s="184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12"/>
        <v>6</v>
      </c>
      <c r="B78" s="375"/>
      <c r="C78" s="184"/>
      <c r="D78" s="184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12"/>
        <v>7</v>
      </c>
      <c r="B79" s="375"/>
      <c r="C79" s="184"/>
      <c r="D79" s="184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12"/>
        <v>8</v>
      </c>
      <c r="B80" s="375"/>
      <c r="C80" s="184"/>
      <c r="D80" s="184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12"/>
        <v>9</v>
      </c>
      <c r="B81" s="375"/>
      <c r="C81" s="184"/>
      <c r="D81" s="184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6" thickBot="1">
      <c r="A82" s="367" t="s">
        <v>255</v>
      </c>
      <c r="B82" s="367"/>
      <c r="C82" s="367"/>
      <c r="D82" s="367"/>
      <c r="E82" s="36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68" t="s">
        <v>113</v>
      </c>
      <c r="B83" s="369"/>
      <c r="C83" s="395" t="s">
        <v>52</v>
      </c>
      <c r="D83" s="395"/>
      <c r="E83" s="395" t="s">
        <v>53</v>
      </c>
      <c r="F83" s="395"/>
      <c r="G83" s="395"/>
      <c r="H83" s="395"/>
      <c r="I83" s="395"/>
      <c r="J83" s="395"/>
      <c r="K83" s="395" t="s">
        <v>54</v>
      </c>
      <c r="L83" s="395"/>
      <c r="M83" s="395"/>
      <c r="N83" s="395"/>
      <c r="O83" s="395"/>
      <c r="P83" s="395"/>
      <c r="Q83" s="395"/>
      <c r="R83" s="395"/>
      <c r="S83" s="395"/>
      <c r="T83" s="395" t="s">
        <v>55</v>
      </c>
      <c r="U83" s="395"/>
      <c r="V83" s="395" t="s">
        <v>56</v>
      </c>
      <c r="W83" s="395"/>
      <c r="X83" s="395"/>
      <c r="Y83" s="395" t="s">
        <v>51</v>
      </c>
      <c r="Z83" s="395"/>
      <c r="AA83" s="395"/>
      <c r="AB83" s="395"/>
      <c r="AC83" s="395"/>
      <c r="AD83" s="396"/>
      <c r="AF83" s="53"/>
    </row>
    <row r="84" spans="1:32" ht="30.75" customHeight="1">
      <c r="A84" s="382">
        <v>1</v>
      </c>
      <c r="B84" s="383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8"/>
      <c r="W84" s="398"/>
      <c r="X84" s="398"/>
      <c r="Y84" s="399"/>
      <c r="Z84" s="399"/>
      <c r="AA84" s="399"/>
      <c r="AB84" s="399"/>
      <c r="AC84" s="399"/>
      <c r="AD84" s="400"/>
      <c r="AF84" s="53"/>
    </row>
    <row r="85" spans="1:32" ht="30.75" customHeight="1">
      <c r="A85" s="374">
        <v>2</v>
      </c>
      <c r="B85" s="375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9"/>
      <c r="U85" s="409"/>
      <c r="V85" s="410"/>
      <c r="W85" s="410"/>
      <c r="X85" s="410"/>
      <c r="Y85" s="401"/>
      <c r="Z85" s="401"/>
      <c r="AA85" s="401"/>
      <c r="AB85" s="401"/>
      <c r="AC85" s="401"/>
      <c r="AD85" s="402"/>
      <c r="AF85" s="53"/>
    </row>
    <row r="86" spans="1:32" ht="30.75" customHeight="1" thickBot="1">
      <c r="A86" s="403">
        <v>3</v>
      </c>
      <c r="B86" s="404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6"/>
      <c r="Z86" s="406"/>
      <c r="AA86" s="406"/>
      <c r="AB86" s="406"/>
      <c r="AC86" s="406"/>
      <c r="AD86" s="40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5B2C-6AF6-494A-86AD-765529A2F219}">
  <sheetPr>
    <pageSetUpPr fitToPage="1"/>
  </sheetPr>
  <dimension ref="A1:AF86"/>
  <sheetViews>
    <sheetView topLeftCell="A43" zoomScale="72" zoomScaleNormal="72" zoomScaleSheetLayoutView="70" workbookViewId="0">
      <selection activeCell="E67" sqref="E67:Q6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256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196" t="s">
        <v>17</v>
      </c>
      <c r="L5" s="196" t="s">
        <v>18</v>
      </c>
      <c r="M5" s="196" t="s">
        <v>19</v>
      </c>
      <c r="N5" s="19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15" si="0">L6</f>
        <v>0</v>
      </c>
      <c r="L6" s="15"/>
      <c r="M6" s="16">
        <f t="shared" ref="M6:M20" si="1">L6-N6</f>
        <v>0</v>
      </c>
      <c r="N6" s="16">
        <v>0</v>
      </c>
      <c r="O6" s="62" t="str">
        <f t="shared" ref="O6:O21" si="2">IF(L6=0,"0",N6/L6)</f>
        <v>0</v>
      </c>
      <c r="P6" s="42" t="str">
        <f t="shared" ref="P6:P20" si="3">IF(L6=0,"0",(24-Q6))</f>
        <v>0</v>
      </c>
      <c r="Q6" s="43">
        <f t="shared" ref="Q6:Q20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9">
        <f t="shared" ref="AE6:AE20" si="8">$AD$21</f>
        <v>0.2722222222222222</v>
      </c>
      <c r="AF6" s="93">
        <f t="shared" ref="AF6:AF20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0.2722222222222222</v>
      </c>
      <c r="AF7" s="93">
        <f t="shared" si="9"/>
        <v>2</v>
      </c>
    </row>
    <row r="8" spans="1:32" ht="27" customHeight="1">
      <c r="A8" s="108">
        <v>3</v>
      </c>
      <c r="B8" s="11" t="s">
        <v>57</v>
      </c>
      <c r="C8" s="37" t="s">
        <v>119</v>
      </c>
      <c r="D8" s="55" t="s">
        <v>167</v>
      </c>
      <c r="E8" s="57" t="s">
        <v>238</v>
      </c>
      <c r="F8" s="33" t="s">
        <v>124</v>
      </c>
      <c r="G8" s="36">
        <v>2</v>
      </c>
      <c r="H8" s="38">
        <v>24</v>
      </c>
      <c r="I8" s="7">
        <v>60000</v>
      </c>
      <c r="J8" s="5">
        <v>5516</v>
      </c>
      <c r="K8" s="15">
        <f>L8</f>
        <v>5516</v>
      </c>
      <c r="L8" s="15">
        <f>2758*2</f>
        <v>5516</v>
      </c>
      <c r="M8" s="16">
        <f t="shared" si="1"/>
        <v>5516</v>
      </c>
      <c r="N8" s="16">
        <v>0</v>
      </c>
      <c r="O8" s="62">
        <f t="shared" si="2"/>
        <v>0</v>
      </c>
      <c r="P8" s="42">
        <f t="shared" si="3"/>
        <v>15</v>
      </c>
      <c r="Q8" s="43">
        <f t="shared" si="4"/>
        <v>9</v>
      </c>
      <c r="R8" s="7"/>
      <c r="S8" s="6">
        <v>5</v>
      </c>
      <c r="T8" s="17">
        <v>4</v>
      </c>
      <c r="U8" s="17"/>
      <c r="V8" s="18"/>
      <c r="W8" s="19"/>
      <c r="X8" s="17"/>
      <c r="Y8" s="20"/>
      <c r="Z8" s="20"/>
      <c r="AA8" s="21"/>
      <c r="AB8" s="8">
        <f t="shared" si="5"/>
        <v>1</v>
      </c>
      <c r="AC8" s="9">
        <f t="shared" si="6"/>
        <v>0.625</v>
      </c>
      <c r="AD8" s="10">
        <f t="shared" si="7"/>
        <v>0.625</v>
      </c>
      <c r="AE8" s="39">
        <f t="shared" si="8"/>
        <v>0.2722222222222222</v>
      </c>
      <c r="AF8" s="93">
        <f t="shared" si="9"/>
        <v>3</v>
      </c>
    </row>
    <row r="9" spans="1:32" ht="27" customHeight="1">
      <c r="A9" s="109">
        <v>4</v>
      </c>
      <c r="B9" s="11"/>
      <c r="C9" s="11"/>
      <c r="D9" s="55"/>
      <c r="E9" s="57"/>
      <c r="F9" s="33"/>
      <c r="G9" s="36"/>
      <c r="H9" s="38"/>
      <c r="I9" s="7"/>
      <c r="J9" s="14">
        <v>0</v>
      </c>
      <c r="K9" s="15">
        <f t="shared" si="0"/>
        <v>0</v>
      </c>
      <c r="L9" s="15"/>
      <c r="M9" s="16">
        <f t="shared" si="1"/>
        <v>0</v>
      </c>
      <c r="N9" s="16">
        <v>0</v>
      </c>
      <c r="O9" s="62" t="str">
        <f t="shared" si="2"/>
        <v>0</v>
      </c>
      <c r="P9" s="42" t="str">
        <f t="shared" si="3"/>
        <v>0</v>
      </c>
      <c r="Q9" s="43">
        <f t="shared" si="4"/>
        <v>24</v>
      </c>
      <c r="R9" s="7"/>
      <c r="S9" s="6"/>
      <c r="T9" s="17"/>
      <c r="U9" s="17"/>
      <c r="V9" s="18"/>
      <c r="W9" s="19"/>
      <c r="X9" s="17"/>
      <c r="Y9" s="20"/>
      <c r="Z9" s="20"/>
      <c r="AA9" s="21">
        <v>24</v>
      </c>
      <c r="AB9" s="8" t="str">
        <f t="shared" si="5"/>
        <v>0</v>
      </c>
      <c r="AC9" s="9">
        <f t="shared" si="6"/>
        <v>0</v>
      </c>
      <c r="AD9" s="10">
        <f t="shared" si="7"/>
        <v>0</v>
      </c>
      <c r="AE9" s="39">
        <f t="shared" si="8"/>
        <v>0.2722222222222222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119</v>
      </c>
      <c r="D10" s="55" t="s">
        <v>137</v>
      </c>
      <c r="E10" s="57" t="s">
        <v>128</v>
      </c>
      <c r="F10" s="12" t="s">
        <v>231</v>
      </c>
      <c r="G10" s="12">
        <v>2</v>
      </c>
      <c r="H10" s="13">
        <v>20</v>
      </c>
      <c r="I10" s="7">
        <v>60000</v>
      </c>
      <c r="J10" s="14">
        <v>11770</v>
      </c>
      <c r="K10" s="15">
        <f>L10+12336</f>
        <v>24106</v>
      </c>
      <c r="L10" s="15">
        <f>3508*2+2377*2</f>
        <v>11770</v>
      </c>
      <c r="M10" s="16">
        <f t="shared" si="1"/>
        <v>11770</v>
      </c>
      <c r="N10" s="16">
        <v>0</v>
      </c>
      <c r="O10" s="62">
        <f t="shared" si="2"/>
        <v>0</v>
      </c>
      <c r="P10" s="42">
        <f t="shared" si="3"/>
        <v>22</v>
      </c>
      <c r="Q10" s="43">
        <f t="shared" si="4"/>
        <v>2</v>
      </c>
      <c r="R10" s="7"/>
      <c r="S10" s="6">
        <v>2</v>
      </c>
      <c r="T10" s="17"/>
      <c r="U10" s="17"/>
      <c r="V10" s="18"/>
      <c r="W10" s="19"/>
      <c r="X10" s="17"/>
      <c r="Y10" s="20"/>
      <c r="Z10" s="20"/>
      <c r="AA10" s="21"/>
      <c r="AB10" s="8">
        <f t="shared" si="5"/>
        <v>1</v>
      </c>
      <c r="AC10" s="9">
        <f t="shared" si="6"/>
        <v>0.91666666666666663</v>
      </c>
      <c r="AD10" s="10">
        <f t="shared" si="7"/>
        <v>0.91666666666666663</v>
      </c>
      <c r="AE10" s="39">
        <f t="shared" si="8"/>
        <v>0.2722222222222222</v>
      </c>
      <c r="AF10" s="93">
        <f t="shared" si="9"/>
        <v>5</v>
      </c>
    </row>
    <row r="11" spans="1:32" ht="27" customHeight="1">
      <c r="A11" s="109">
        <v>6</v>
      </c>
      <c r="B11" s="11"/>
      <c r="C11" s="11"/>
      <c r="D11" s="55"/>
      <c r="E11" s="57"/>
      <c r="F11" s="12"/>
      <c r="G11" s="12"/>
      <c r="H11" s="13"/>
      <c r="I11" s="7"/>
      <c r="J11" s="14"/>
      <c r="K11" s="15"/>
      <c r="L11" s="15"/>
      <c r="M11" s="16">
        <f t="shared" si="1"/>
        <v>0</v>
      </c>
      <c r="N11" s="16">
        <v>0</v>
      </c>
      <c r="O11" s="62" t="str">
        <f t="shared" si="2"/>
        <v>0</v>
      </c>
      <c r="P11" s="42" t="str">
        <f t="shared" si="3"/>
        <v>0</v>
      </c>
      <c r="Q11" s="43">
        <f t="shared" si="4"/>
        <v>24</v>
      </c>
      <c r="R11" s="7"/>
      <c r="S11" s="6"/>
      <c r="T11" s="17"/>
      <c r="U11" s="17"/>
      <c r="V11" s="18"/>
      <c r="W11" s="19"/>
      <c r="X11" s="17"/>
      <c r="Y11" s="20"/>
      <c r="Z11" s="20"/>
      <c r="AA11" s="21">
        <v>24</v>
      </c>
      <c r="AB11" s="8" t="str">
        <f t="shared" si="5"/>
        <v>0</v>
      </c>
      <c r="AC11" s="9">
        <f t="shared" si="6"/>
        <v>0</v>
      </c>
      <c r="AD11" s="10">
        <f t="shared" si="7"/>
        <v>0</v>
      </c>
      <c r="AE11" s="39">
        <f t="shared" si="8"/>
        <v>0.2722222222222222</v>
      </c>
      <c r="AF11" s="93">
        <f t="shared" si="9"/>
        <v>6</v>
      </c>
    </row>
    <row r="12" spans="1:32" ht="27" customHeight="1">
      <c r="A12" s="109">
        <v>7</v>
      </c>
      <c r="B12" s="11"/>
      <c r="C12" s="11"/>
      <c r="D12" s="55"/>
      <c r="E12" s="57"/>
      <c r="F12" s="33"/>
      <c r="G12" s="36"/>
      <c r="H12" s="38"/>
      <c r="I12" s="7"/>
      <c r="J12" s="14"/>
      <c r="K12" s="15"/>
      <c r="L12" s="15"/>
      <c r="M12" s="16">
        <f t="shared" si="1"/>
        <v>0</v>
      </c>
      <c r="N12" s="16">
        <v>0</v>
      </c>
      <c r="O12" s="62" t="str">
        <f t="shared" si="2"/>
        <v>0</v>
      </c>
      <c r="P12" s="42" t="str">
        <f t="shared" si="3"/>
        <v>0</v>
      </c>
      <c r="Q12" s="43">
        <f t="shared" si="4"/>
        <v>24</v>
      </c>
      <c r="R12" s="7"/>
      <c r="S12" s="6"/>
      <c r="T12" s="17"/>
      <c r="U12" s="17"/>
      <c r="V12" s="18"/>
      <c r="W12" s="19"/>
      <c r="X12" s="17"/>
      <c r="Y12" s="20"/>
      <c r="Z12" s="20"/>
      <c r="AA12" s="21">
        <v>24</v>
      </c>
      <c r="AB12" s="8" t="str">
        <f t="shared" si="5"/>
        <v>0</v>
      </c>
      <c r="AC12" s="9">
        <f t="shared" si="6"/>
        <v>0</v>
      </c>
      <c r="AD12" s="10">
        <f t="shared" si="7"/>
        <v>0</v>
      </c>
      <c r="AE12" s="39">
        <f t="shared" si="8"/>
        <v>0.2722222222222222</v>
      </c>
      <c r="AF12" s="93">
        <f t="shared" si="9"/>
        <v>7</v>
      </c>
    </row>
    <row r="13" spans="1:32" ht="27" customHeight="1">
      <c r="A13" s="109">
        <v>8</v>
      </c>
      <c r="B13" s="11"/>
      <c r="C13" s="11"/>
      <c r="D13" s="55"/>
      <c r="E13" s="57"/>
      <c r="F13" s="33"/>
      <c r="G13" s="36"/>
      <c r="H13" s="38"/>
      <c r="I13" s="7"/>
      <c r="J13" s="14"/>
      <c r="K13" s="15"/>
      <c r="L13" s="15"/>
      <c r="M13" s="16">
        <f t="shared" si="1"/>
        <v>0</v>
      </c>
      <c r="N13" s="16">
        <v>0</v>
      </c>
      <c r="O13" s="62" t="str">
        <f t="shared" si="2"/>
        <v>0</v>
      </c>
      <c r="P13" s="42" t="str">
        <f t="shared" si="3"/>
        <v>0</v>
      </c>
      <c r="Q13" s="43">
        <f t="shared" si="4"/>
        <v>24</v>
      </c>
      <c r="R13" s="7"/>
      <c r="S13" s="6"/>
      <c r="T13" s="17"/>
      <c r="U13" s="17"/>
      <c r="V13" s="18"/>
      <c r="W13" s="19"/>
      <c r="X13" s="17"/>
      <c r="Y13" s="20"/>
      <c r="Z13" s="20"/>
      <c r="AA13" s="21">
        <v>24</v>
      </c>
      <c r="AB13" s="8" t="str">
        <f t="shared" si="5"/>
        <v>0</v>
      </c>
      <c r="AC13" s="9">
        <f t="shared" si="6"/>
        <v>0</v>
      </c>
      <c r="AD13" s="10">
        <f t="shared" si="7"/>
        <v>0</v>
      </c>
      <c r="AE13" s="39">
        <f t="shared" si="8"/>
        <v>0.2722222222222222</v>
      </c>
      <c r="AF13" s="93">
        <f t="shared" si="9"/>
        <v>8</v>
      </c>
    </row>
    <row r="14" spans="1:32" ht="27" customHeight="1">
      <c r="A14" s="125">
        <v>9</v>
      </c>
      <c r="B14" s="11"/>
      <c r="C14" s="37"/>
      <c r="D14" s="55"/>
      <c r="E14" s="57"/>
      <c r="F14" s="33"/>
      <c r="G14" s="36"/>
      <c r="H14" s="38"/>
      <c r="I14" s="7"/>
      <c r="J14" s="5">
        <v>0</v>
      </c>
      <c r="K14" s="15">
        <f t="shared" si="0"/>
        <v>0</v>
      </c>
      <c r="L14" s="15"/>
      <c r="M14" s="16">
        <f t="shared" si="1"/>
        <v>0</v>
      </c>
      <c r="N14" s="16">
        <v>0</v>
      </c>
      <c r="O14" s="62" t="str">
        <f t="shared" si="2"/>
        <v>0</v>
      </c>
      <c r="P14" s="42" t="str">
        <f t="shared" si="3"/>
        <v>0</v>
      </c>
      <c r="Q14" s="43">
        <f t="shared" si="4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9">
        <f t="shared" si="8"/>
        <v>0.2722222222222222</v>
      </c>
      <c r="AF14" s="93">
        <f t="shared" si="9"/>
        <v>9</v>
      </c>
    </row>
    <row r="15" spans="1:32" ht="27" customHeight="1">
      <c r="A15" s="108">
        <v>10</v>
      </c>
      <c r="B15" s="11"/>
      <c r="C15" s="37"/>
      <c r="D15" s="55"/>
      <c r="E15" s="57"/>
      <c r="F15" s="12"/>
      <c r="G15" s="12"/>
      <c r="H15" s="13"/>
      <c r="I15" s="34"/>
      <c r="J15" s="14">
        <v>0</v>
      </c>
      <c r="K15" s="15">
        <f t="shared" si="0"/>
        <v>0</v>
      </c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0.2722222222222222</v>
      </c>
      <c r="AF15" s="93">
        <f t="shared" si="9"/>
        <v>10</v>
      </c>
    </row>
    <row r="16" spans="1:32" ht="27" customHeight="1">
      <c r="A16" s="108">
        <v>11</v>
      </c>
      <c r="B16" s="11"/>
      <c r="C16" s="11"/>
      <c r="D16" s="55"/>
      <c r="E16" s="57"/>
      <c r="F16" s="12"/>
      <c r="G16" s="12"/>
      <c r="H16" s="13"/>
      <c r="I16" s="7"/>
      <c r="J16" s="14"/>
      <c r="K16" s="15"/>
      <c r="L16" s="15"/>
      <c r="M16" s="16">
        <f t="shared" si="1"/>
        <v>0</v>
      </c>
      <c r="N16" s="16">
        <v>0</v>
      </c>
      <c r="O16" s="62" t="str">
        <f t="shared" si="2"/>
        <v>0</v>
      </c>
      <c r="P16" s="42" t="str">
        <f t="shared" si="3"/>
        <v>0</v>
      </c>
      <c r="Q16" s="43">
        <f t="shared" si="4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 t="str">
        <f t="shared" si="5"/>
        <v>0</v>
      </c>
      <c r="AC16" s="9">
        <f t="shared" si="6"/>
        <v>0</v>
      </c>
      <c r="AD16" s="10">
        <f t="shared" si="7"/>
        <v>0</v>
      </c>
      <c r="AE16" s="39">
        <f t="shared" si="8"/>
        <v>0.2722222222222222</v>
      </c>
      <c r="AF16" s="93">
        <f t="shared" si="9"/>
        <v>11</v>
      </c>
    </row>
    <row r="17" spans="1:32" ht="27" customHeight="1">
      <c r="A17" s="108">
        <v>12</v>
      </c>
      <c r="B17" s="11"/>
      <c r="C17" s="37"/>
      <c r="D17" s="55"/>
      <c r="E17" s="57"/>
      <c r="F17" s="12"/>
      <c r="G17" s="12"/>
      <c r="H17" s="13"/>
      <c r="I17" s="34"/>
      <c r="J17" s="14"/>
      <c r="K17" s="15"/>
      <c r="L17" s="15"/>
      <c r="M17" s="16">
        <f t="shared" si="1"/>
        <v>0</v>
      </c>
      <c r="N17" s="16">
        <v>0</v>
      </c>
      <c r="O17" s="62" t="str">
        <f t="shared" si="2"/>
        <v>0</v>
      </c>
      <c r="P17" s="42" t="str">
        <f t="shared" si="3"/>
        <v>0</v>
      </c>
      <c r="Q17" s="43">
        <f t="shared" si="4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 t="str">
        <f t="shared" si="5"/>
        <v>0</v>
      </c>
      <c r="AC17" s="9">
        <f t="shared" si="6"/>
        <v>0</v>
      </c>
      <c r="AD17" s="10">
        <f t="shared" si="7"/>
        <v>0</v>
      </c>
      <c r="AE17" s="39">
        <f t="shared" si="8"/>
        <v>0.2722222222222222</v>
      </c>
      <c r="AF17" s="93">
        <f t="shared" si="9"/>
        <v>12</v>
      </c>
    </row>
    <row r="18" spans="1:32" ht="27" customHeight="1">
      <c r="A18" s="109">
        <v>13</v>
      </c>
      <c r="B18" s="11" t="s">
        <v>57</v>
      </c>
      <c r="C18" s="37" t="s">
        <v>119</v>
      </c>
      <c r="D18" s="55" t="s">
        <v>117</v>
      </c>
      <c r="E18" s="57" t="s">
        <v>209</v>
      </c>
      <c r="F18" s="33" t="s">
        <v>124</v>
      </c>
      <c r="G18" s="36">
        <v>2</v>
      </c>
      <c r="H18" s="38">
        <v>25</v>
      </c>
      <c r="I18" s="7">
        <v>60000</v>
      </c>
      <c r="J18" s="5">
        <v>10058</v>
      </c>
      <c r="K18" s="15">
        <f>L18+7486</f>
        <v>17544</v>
      </c>
      <c r="L18" s="15">
        <f>2311*2+2718*2</f>
        <v>10058</v>
      </c>
      <c r="M18" s="16">
        <f t="shared" si="1"/>
        <v>10058</v>
      </c>
      <c r="N18" s="16">
        <v>0</v>
      </c>
      <c r="O18" s="62">
        <f t="shared" si="2"/>
        <v>0</v>
      </c>
      <c r="P18" s="42">
        <f t="shared" si="3"/>
        <v>24</v>
      </c>
      <c r="Q18" s="43">
        <f t="shared" si="4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9">
        <f t="shared" si="8"/>
        <v>0.2722222222222222</v>
      </c>
      <c r="AF18" s="93">
        <f t="shared" si="9"/>
        <v>13</v>
      </c>
    </row>
    <row r="19" spans="1:32" ht="27" customHeight="1">
      <c r="A19" s="109">
        <v>14</v>
      </c>
      <c r="B19" s="11" t="s">
        <v>57</v>
      </c>
      <c r="C19" s="37" t="s">
        <v>119</v>
      </c>
      <c r="D19" s="55" t="s">
        <v>117</v>
      </c>
      <c r="E19" s="57" t="s">
        <v>189</v>
      </c>
      <c r="F19" s="12" t="s">
        <v>162</v>
      </c>
      <c r="G19" s="36">
        <v>1</v>
      </c>
      <c r="H19" s="38">
        <v>24</v>
      </c>
      <c r="I19" s="7">
        <v>6000</v>
      </c>
      <c r="J19" s="5">
        <v>4035</v>
      </c>
      <c r="K19" s="15">
        <f>L19+2507+1320</f>
        <v>7862</v>
      </c>
      <c r="L19" s="15">
        <f>1165+2870</f>
        <v>4035</v>
      </c>
      <c r="M19" s="16">
        <f t="shared" si="1"/>
        <v>4035</v>
      </c>
      <c r="N19" s="16">
        <v>0</v>
      </c>
      <c r="O19" s="62">
        <f t="shared" si="2"/>
        <v>0</v>
      </c>
      <c r="P19" s="42">
        <f t="shared" si="3"/>
        <v>22</v>
      </c>
      <c r="Q19" s="43">
        <f t="shared" si="4"/>
        <v>2</v>
      </c>
      <c r="R19" s="7"/>
      <c r="S19" s="6">
        <v>2</v>
      </c>
      <c r="T19" s="17"/>
      <c r="U19" s="17"/>
      <c r="V19" s="18"/>
      <c r="W19" s="19"/>
      <c r="X19" s="17"/>
      <c r="Y19" s="20"/>
      <c r="Z19" s="20"/>
      <c r="AA19" s="21"/>
      <c r="AB19" s="8">
        <f t="shared" si="5"/>
        <v>1</v>
      </c>
      <c r="AC19" s="9">
        <f t="shared" si="6"/>
        <v>0.91666666666666663</v>
      </c>
      <c r="AD19" s="10">
        <f>AC19*AB19*(1-O19)</f>
        <v>0.91666666666666663</v>
      </c>
      <c r="AE19" s="39">
        <f t="shared" si="8"/>
        <v>0.2722222222222222</v>
      </c>
      <c r="AF19" s="93">
        <f t="shared" si="9"/>
        <v>14</v>
      </c>
    </row>
    <row r="20" spans="1:32" ht="27" customHeight="1" thickBot="1">
      <c r="A20" s="109">
        <v>15</v>
      </c>
      <c r="B20" s="11" t="s">
        <v>57</v>
      </c>
      <c r="C20" s="11" t="s">
        <v>115</v>
      </c>
      <c r="D20" s="55"/>
      <c r="E20" s="56" t="s">
        <v>126</v>
      </c>
      <c r="F20" s="12" t="s">
        <v>116</v>
      </c>
      <c r="G20" s="12">
        <v>4</v>
      </c>
      <c r="H20" s="38">
        <v>20</v>
      </c>
      <c r="I20" s="7">
        <v>500000</v>
      </c>
      <c r="J20" s="14">
        <v>38820</v>
      </c>
      <c r="K20" s="15">
        <f>L20+27008+76128+41848</f>
        <v>183804</v>
      </c>
      <c r="L20" s="15">
        <f>9705*4</f>
        <v>38820</v>
      </c>
      <c r="M20" s="16">
        <f t="shared" si="1"/>
        <v>38820</v>
      </c>
      <c r="N20" s="16">
        <v>0</v>
      </c>
      <c r="O20" s="62">
        <f t="shared" si="2"/>
        <v>0</v>
      </c>
      <c r="P20" s="42">
        <f t="shared" si="3"/>
        <v>15</v>
      </c>
      <c r="Q20" s="43">
        <f t="shared" si="4"/>
        <v>9</v>
      </c>
      <c r="R20" s="7"/>
      <c r="S20" s="6"/>
      <c r="T20" s="17"/>
      <c r="U20" s="17"/>
      <c r="V20" s="18">
        <v>9</v>
      </c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0.625</v>
      </c>
      <c r="AD20" s="10">
        <f t="shared" si="7"/>
        <v>0.625</v>
      </c>
      <c r="AE20" s="39">
        <f t="shared" si="8"/>
        <v>0.2722222222222222</v>
      </c>
      <c r="AF20" s="93">
        <f t="shared" si="9"/>
        <v>15</v>
      </c>
    </row>
    <row r="21" spans="1:32" ht="31.5" customHeight="1" thickBot="1">
      <c r="A21" s="312" t="s">
        <v>34</v>
      </c>
      <c r="B21" s="313"/>
      <c r="C21" s="313"/>
      <c r="D21" s="313"/>
      <c r="E21" s="313"/>
      <c r="F21" s="313"/>
      <c r="G21" s="313"/>
      <c r="H21" s="314"/>
      <c r="I21" s="25">
        <f t="shared" ref="I21:N21" si="10">SUM(I6:I20)</f>
        <v>686000</v>
      </c>
      <c r="J21" s="22">
        <f t="shared" si="10"/>
        <v>70199</v>
      </c>
      <c r="K21" s="23">
        <f t="shared" si="10"/>
        <v>238832</v>
      </c>
      <c r="L21" s="24">
        <f t="shared" si="10"/>
        <v>70199</v>
      </c>
      <c r="M21" s="23">
        <f t="shared" si="10"/>
        <v>70199</v>
      </c>
      <c r="N21" s="24">
        <f t="shared" si="10"/>
        <v>0</v>
      </c>
      <c r="O21" s="44">
        <f t="shared" si="2"/>
        <v>0</v>
      </c>
      <c r="P21" s="45">
        <f t="shared" ref="P21:AA21" si="11">SUM(P6:P20)</f>
        <v>98</v>
      </c>
      <c r="Q21" s="46">
        <f t="shared" si="11"/>
        <v>262</v>
      </c>
      <c r="R21" s="26">
        <f t="shared" si="11"/>
        <v>24</v>
      </c>
      <c r="S21" s="27">
        <f t="shared" si="11"/>
        <v>9</v>
      </c>
      <c r="T21" s="27">
        <f t="shared" si="11"/>
        <v>4</v>
      </c>
      <c r="U21" s="27">
        <f t="shared" si="11"/>
        <v>0</v>
      </c>
      <c r="V21" s="28">
        <f t="shared" si="11"/>
        <v>9</v>
      </c>
      <c r="W21" s="29">
        <f t="shared" si="11"/>
        <v>120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96</v>
      </c>
      <c r="AB21" s="31">
        <f>SUM(AB6:AB20)/15</f>
        <v>0.33333333333333331</v>
      </c>
      <c r="AC21" s="4">
        <f>SUM(AC6:AC20)/15</f>
        <v>0.2722222222222222</v>
      </c>
      <c r="AD21" s="4">
        <f>SUM(AD6:AD20)/15</f>
        <v>0.2722222222222222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15" t="s">
        <v>45</v>
      </c>
      <c r="B48" s="315"/>
      <c r="C48" s="315"/>
      <c r="D48" s="315"/>
      <c r="E48" s="31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16" t="s">
        <v>257</v>
      </c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8"/>
      <c r="N49" s="319" t="s">
        <v>260</v>
      </c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1"/>
    </row>
    <row r="50" spans="1:32" ht="27" customHeight="1">
      <c r="A50" s="322" t="s">
        <v>2</v>
      </c>
      <c r="B50" s="323"/>
      <c r="C50" s="195" t="s">
        <v>46</v>
      </c>
      <c r="D50" s="195" t="s">
        <v>47</v>
      </c>
      <c r="E50" s="195" t="s">
        <v>108</v>
      </c>
      <c r="F50" s="323" t="s">
        <v>107</v>
      </c>
      <c r="G50" s="323"/>
      <c r="H50" s="323"/>
      <c r="I50" s="323"/>
      <c r="J50" s="323"/>
      <c r="K50" s="323"/>
      <c r="L50" s="323"/>
      <c r="M50" s="324"/>
      <c r="N50" s="73" t="s">
        <v>112</v>
      </c>
      <c r="O50" s="195" t="s">
        <v>46</v>
      </c>
      <c r="P50" s="325" t="s">
        <v>47</v>
      </c>
      <c r="Q50" s="326"/>
      <c r="R50" s="325" t="s">
        <v>38</v>
      </c>
      <c r="S50" s="327"/>
      <c r="T50" s="327"/>
      <c r="U50" s="326"/>
      <c r="V50" s="325" t="s">
        <v>48</v>
      </c>
      <c r="W50" s="327"/>
      <c r="X50" s="327"/>
      <c r="Y50" s="327"/>
      <c r="Z50" s="327"/>
      <c r="AA50" s="327"/>
      <c r="AB50" s="327"/>
      <c r="AC50" s="327"/>
      <c r="AD50" s="328"/>
    </row>
    <row r="51" spans="1:32" ht="27" customHeight="1">
      <c r="A51" s="339" t="s">
        <v>119</v>
      </c>
      <c r="B51" s="340"/>
      <c r="C51" s="192" t="s">
        <v>118</v>
      </c>
      <c r="D51" s="192" t="s">
        <v>137</v>
      </c>
      <c r="E51" s="192" t="s">
        <v>128</v>
      </c>
      <c r="F51" s="341" t="s">
        <v>258</v>
      </c>
      <c r="G51" s="342"/>
      <c r="H51" s="342"/>
      <c r="I51" s="342"/>
      <c r="J51" s="342"/>
      <c r="K51" s="342"/>
      <c r="L51" s="342"/>
      <c r="M51" s="343"/>
      <c r="N51" s="191" t="s">
        <v>119</v>
      </c>
      <c r="O51" s="124" t="s">
        <v>118</v>
      </c>
      <c r="P51" s="340" t="s">
        <v>137</v>
      </c>
      <c r="Q51" s="340"/>
      <c r="R51" s="340" t="s">
        <v>128</v>
      </c>
      <c r="S51" s="340"/>
      <c r="T51" s="340"/>
      <c r="U51" s="340"/>
      <c r="V51" s="346" t="s">
        <v>236</v>
      </c>
      <c r="W51" s="346"/>
      <c r="X51" s="346"/>
      <c r="Y51" s="346"/>
      <c r="Z51" s="346"/>
      <c r="AA51" s="346"/>
      <c r="AB51" s="346"/>
      <c r="AC51" s="346"/>
      <c r="AD51" s="347"/>
    </row>
    <row r="52" spans="1:32" ht="27" customHeight="1">
      <c r="A52" s="339" t="s">
        <v>119</v>
      </c>
      <c r="B52" s="340"/>
      <c r="C52" s="192" t="s">
        <v>237</v>
      </c>
      <c r="D52" s="192" t="s">
        <v>167</v>
      </c>
      <c r="E52" s="192" t="s">
        <v>238</v>
      </c>
      <c r="F52" s="341" t="s">
        <v>259</v>
      </c>
      <c r="G52" s="342"/>
      <c r="H52" s="342"/>
      <c r="I52" s="342"/>
      <c r="J52" s="342"/>
      <c r="K52" s="342"/>
      <c r="L52" s="342"/>
      <c r="M52" s="343"/>
      <c r="N52" s="191" t="s">
        <v>119</v>
      </c>
      <c r="O52" s="124" t="s">
        <v>183</v>
      </c>
      <c r="P52" s="340" t="s">
        <v>220</v>
      </c>
      <c r="Q52" s="340"/>
      <c r="R52" s="340" t="s">
        <v>239</v>
      </c>
      <c r="S52" s="340"/>
      <c r="T52" s="340"/>
      <c r="U52" s="340"/>
      <c r="V52" s="346" t="s">
        <v>131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119</v>
      </c>
      <c r="B53" s="340"/>
      <c r="C53" s="192" t="s">
        <v>136</v>
      </c>
      <c r="D53" s="192" t="s">
        <v>117</v>
      </c>
      <c r="E53" s="192" t="s">
        <v>189</v>
      </c>
      <c r="F53" s="341" t="s">
        <v>236</v>
      </c>
      <c r="G53" s="342"/>
      <c r="H53" s="342"/>
      <c r="I53" s="342"/>
      <c r="J53" s="342"/>
      <c r="K53" s="342"/>
      <c r="L53" s="342"/>
      <c r="M53" s="343"/>
      <c r="N53" s="191" t="s">
        <v>114</v>
      </c>
      <c r="O53" s="124" t="s">
        <v>184</v>
      </c>
      <c r="P53" s="340" t="s">
        <v>117</v>
      </c>
      <c r="Q53" s="340"/>
      <c r="R53" s="340" t="s">
        <v>249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/>
      <c r="B54" s="340"/>
      <c r="C54" s="192"/>
      <c r="D54" s="192"/>
      <c r="E54" s="192"/>
      <c r="F54" s="341"/>
      <c r="G54" s="342"/>
      <c r="H54" s="342"/>
      <c r="I54" s="342"/>
      <c r="J54" s="342"/>
      <c r="K54" s="342"/>
      <c r="L54" s="342"/>
      <c r="M54" s="343"/>
      <c r="N54" s="191" t="s">
        <v>114</v>
      </c>
      <c r="O54" s="124" t="s">
        <v>184</v>
      </c>
      <c r="P54" s="344" t="s">
        <v>117</v>
      </c>
      <c r="Q54" s="345"/>
      <c r="R54" s="340" t="s">
        <v>248</v>
      </c>
      <c r="S54" s="340"/>
      <c r="T54" s="340"/>
      <c r="U54" s="340"/>
      <c r="V54" s="346" t="s">
        <v>131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/>
      <c r="B55" s="340"/>
      <c r="C55" s="192"/>
      <c r="D55" s="192"/>
      <c r="E55" s="192"/>
      <c r="F55" s="341"/>
      <c r="G55" s="342"/>
      <c r="H55" s="342"/>
      <c r="I55" s="342"/>
      <c r="J55" s="342"/>
      <c r="K55" s="342"/>
      <c r="L55" s="342"/>
      <c r="M55" s="343"/>
      <c r="N55" s="191"/>
      <c r="O55" s="124"/>
      <c r="P55" s="340"/>
      <c r="Q55" s="340"/>
      <c r="R55" s="340"/>
      <c r="S55" s="340"/>
      <c r="T55" s="340"/>
      <c r="U55" s="340"/>
      <c r="V55" s="346"/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/>
      <c r="B56" s="340"/>
      <c r="C56" s="192"/>
      <c r="D56" s="192"/>
      <c r="E56" s="192"/>
      <c r="F56" s="341"/>
      <c r="G56" s="342"/>
      <c r="H56" s="342"/>
      <c r="I56" s="342"/>
      <c r="J56" s="342"/>
      <c r="K56" s="342"/>
      <c r="L56" s="342"/>
      <c r="M56" s="343"/>
      <c r="N56" s="191"/>
      <c r="O56" s="124"/>
      <c r="P56" s="344"/>
      <c r="Q56" s="345"/>
      <c r="R56" s="340"/>
      <c r="S56" s="340"/>
      <c r="T56" s="340"/>
      <c r="U56" s="340"/>
      <c r="V56" s="346"/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192"/>
      <c r="D57" s="192"/>
      <c r="E57" s="192"/>
      <c r="F57" s="341"/>
      <c r="G57" s="342"/>
      <c r="H57" s="342"/>
      <c r="I57" s="342"/>
      <c r="J57" s="342"/>
      <c r="K57" s="342"/>
      <c r="L57" s="342"/>
      <c r="M57" s="343"/>
      <c r="N57" s="191"/>
      <c r="O57" s="124"/>
      <c r="P57" s="344"/>
      <c r="Q57" s="345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192"/>
      <c r="D58" s="192"/>
      <c r="E58" s="192"/>
      <c r="F58" s="346"/>
      <c r="G58" s="346"/>
      <c r="H58" s="346"/>
      <c r="I58" s="346"/>
      <c r="J58" s="346"/>
      <c r="K58" s="346"/>
      <c r="L58" s="346"/>
      <c r="M58" s="347"/>
      <c r="N58" s="191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192"/>
      <c r="D59" s="192"/>
      <c r="E59" s="192"/>
      <c r="F59" s="341"/>
      <c r="G59" s="342"/>
      <c r="H59" s="342"/>
      <c r="I59" s="342"/>
      <c r="J59" s="342"/>
      <c r="K59" s="342"/>
      <c r="L59" s="342"/>
      <c r="M59" s="343"/>
      <c r="N59" s="191"/>
      <c r="O59" s="124"/>
      <c r="P59" s="340"/>
      <c r="Q59" s="340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  <c r="AF59" s="93">
        <f>8*3000</f>
        <v>24000</v>
      </c>
    </row>
    <row r="60" spans="1:32" ht="27" customHeight="1" thickBot="1">
      <c r="A60" s="348"/>
      <c r="B60" s="349"/>
      <c r="C60" s="194"/>
      <c r="D60" s="194"/>
      <c r="E60" s="194"/>
      <c r="F60" s="350"/>
      <c r="G60" s="350"/>
      <c r="H60" s="350"/>
      <c r="I60" s="350"/>
      <c r="J60" s="350"/>
      <c r="K60" s="350"/>
      <c r="L60" s="350"/>
      <c r="M60" s="351"/>
      <c r="N60" s="193"/>
      <c r="O60" s="120"/>
      <c r="P60" s="349"/>
      <c r="Q60" s="349"/>
      <c r="R60" s="349"/>
      <c r="S60" s="349"/>
      <c r="T60" s="349"/>
      <c r="U60" s="349"/>
      <c r="V60" s="352"/>
      <c r="W60" s="352"/>
      <c r="X60" s="352"/>
      <c r="Y60" s="352"/>
      <c r="Z60" s="352"/>
      <c r="AA60" s="352"/>
      <c r="AB60" s="352"/>
      <c r="AC60" s="352"/>
      <c r="AD60" s="353"/>
      <c r="AF60" s="93">
        <f>16*3000</f>
        <v>48000</v>
      </c>
    </row>
    <row r="61" spans="1:32" ht="27.75" thickBot="1">
      <c r="A61" s="354" t="s">
        <v>261</v>
      </c>
      <c r="B61" s="354"/>
      <c r="C61" s="354"/>
      <c r="D61" s="354"/>
      <c r="E61" s="35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55" t="s">
        <v>113</v>
      </c>
      <c r="B62" s="356"/>
      <c r="C62" s="190" t="s">
        <v>2</v>
      </c>
      <c r="D62" s="190" t="s">
        <v>37</v>
      </c>
      <c r="E62" s="190" t="s">
        <v>3</v>
      </c>
      <c r="F62" s="356" t="s">
        <v>110</v>
      </c>
      <c r="G62" s="356"/>
      <c r="H62" s="356"/>
      <c r="I62" s="356"/>
      <c r="J62" s="356"/>
      <c r="K62" s="356" t="s">
        <v>39</v>
      </c>
      <c r="L62" s="356"/>
      <c r="M62" s="190" t="s">
        <v>40</v>
      </c>
      <c r="N62" s="356" t="s">
        <v>41</v>
      </c>
      <c r="O62" s="356"/>
      <c r="P62" s="357" t="s">
        <v>42</v>
      </c>
      <c r="Q62" s="358"/>
      <c r="R62" s="357" t="s">
        <v>43</v>
      </c>
      <c r="S62" s="359"/>
      <c r="T62" s="359"/>
      <c r="U62" s="359"/>
      <c r="V62" s="359"/>
      <c r="W62" s="359"/>
      <c r="X62" s="359"/>
      <c r="Y62" s="359"/>
      <c r="Z62" s="359"/>
      <c r="AA62" s="358"/>
      <c r="AB62" s="356" t="s">
        <v>44</v>
      </c>
      <c r="AC62" s="356"/>
      <c r="AD62" s="360"/>
      <c r="AF62" s="93">
        <f>SUM(AF59:AF61)</f>
        <v>96000</v>
      </c>
    </row>
    <row r="63" spans="1:32" ht="25.5" customHeight="1">
      <c r="A63" s="361">
        <v>1</v>
      </c>
      <c r="B63" s="362"/>
      <c r="C63" s="123" t="s">
        <v>114</v>
      </c>
      <c r="D63" s="186"/>
      <c r="E63" s="189" t="s">
        <v>117</v>
      </c>
      <c r="F63" s="363" t="s">
        <v>241</v>
      </c>
      <c r="G63" s="364"/>
      <c r="H63" s="364"/>
      <c r="I63" s="364"/>
      <c r="J63" s="364"/>
      <c r="K63" s="364" t="s">
        <v>162</v>
      </c>
      <c r="L63" s="364"/>
      <c r="M63" s="54" t="s">
        <v>225</v>
      </c>
      <c r="N63" s="364">
        <v>4</v>
      </c>
      <c r="O63" s="364"/>
      <c r="P63" s="365">
        <v>50</v>
      </c>
      <c r="Q63" s="365"/>
      <c r="R63" s="346"/>
      <c r="S63" s="346"/>
      <c r="T63" s="346"/>
      <c r="U63" s="346"/>
      <c r="V63" s="346"/>
      <c r="W63" s="346"/>
      <c r="X63" s="346"/>
      <c r="Y63" s="346"/>
      <c r="Z63" s="346"/>
      <c r="AA63" s="346"/>
      <c r="AB63" s="364"/>
      <c r="AC63" s="364"/>
      <c r="AD63" s="366"/>
      <c r="AF63" s="53"/>
    </row>
    <row r="64" spans="1:32" ht="25.5" customHeight="1">
      <c r="A64" s="361">
        <v>2</v>
      </c>
      <c r="B64" s="362"/>
      <c r="C64" s="123" t="s">
        <v>114</v>
      </c>
      <c r="D64" s="186"/>
      <c r="E64" s="189" t="s">
        <v>164</v>
      </c>
      <c r="F64" s="363" t="s">
        <v>262</v>
      </c>
      <c r="G64" s="364"/>
      <c r="H64" s="364"/>
      <c r="I64" s="364"/>
      <c r="J64" s="364"/>
      <c r="K64" s="364" t="s">
        <v>124</v>
      </c>
      <c r="L64" s="364"/>
      <c r="M64" s="54" t="s">
        <v>146</v>
      </c>
      <c r="N64" s="364">
        <v>7</v>
      </c>
      <c r="O64" s="364"/>
      <c r="P64" s="365">
        <v>100</v>
      </c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3</v>
      </c>
      <c r="B65" s="362"/>
      <c r="C65" s="123" t="s">
        <v>114</v>
      </c>
      <c r="D65" s="186"/>
      <c r="E65" s="189" t="s">
        <v>167</v>
      </c>
      <c r="F65" s="363" t="s">
        <v>263</v>
      </c>
      <c r="G65" s="364"/>
      <c r="H65" s="364"/>
      <c r="I65" s="364"/>
      <c r="J65" s="364"/>
      <c r="K65" s="364" t="s">
        <v>169</v>
      </c>
      <c r="L65" s="364"/>
      <c r="M65" s="54" t="s">
        <v>146</v>
      </c>
      <c r="N65" s="364">
        <v>7</v>
      </c>
      <c r="O65" s="364"/>
      <c r="P65" s="365">
        <v>250</v>
      </c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4</v>
      </c>
      <c r="B66" s="362"/>
      <c r="C66" s="123" t="s">
        <v>114</v>
      </c>
      <c r="D66" s="186"/>
      <c r="E66" s="189" t="s">
        <v>266</v>
      </c>
      <c r="F66" s="363" t="s">
        <v>264</v>
      </c>
      <c r="G66" s="364"/>
      <c r="H66" s="364"/>
      <c r="I66" s="364"/>
      <c r="J66" s="364"/>
      <c r="K66" s="364" t="s">
        <v>231</v>
      </c>
      <c r="L66" s="364"/>
      <c r="M66" s="54" t="s">
        <v>146</v>
      </c>
      <c r="N66" s="364">
        <v>7</v>
      </c>
      <c r="O66" s="364"/>
      <c r="P66" s="365">
        <v>250</v>
      </c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5</v>
      </c>
      <c r="B67" s="362"/>
      <c r="C67" s="123" t="s">
        <v>114</v>
      </c>
      <c r="D67" s="186"/>
      <c r="E67" s="189" t="s">
        <v>267</v>
      </c>
      <c r="F67" s="363" t="s">
        <v>265</v>
      </c>
      <c r="G67" s="364"/>
      <c r="H67" s="364"/>
      <c r="I67" s="364"/>
      <c r="J67" s="364"/>
      <c r="K67" s="364" t="s">
        <v>169</v>
      </c>
      <c r="L67" s="364"/>
      <c r="M67" s="54" t="s">
        <v>268</v>
      </c>
      <c r="N67" s="364">
        <v>8</v>
      </c>
      <c r="O67" s="364"/>
      <c r="P67" s="365">
        <v>100</v>
      </c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6</v>
      </c>
      <c r="B68" s="362"/>
      <c r="C68" s="123"/>
      <c r="D68" s="186"/>
      <c r="E68" s="189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7</v>
      </c>
      <c r="B69" s="362"/>
      <c r="C69" s="123"/>
      <c r="D69" s="186"/>
      <c r="E69" s="189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8</v>
      </c>
      <c r="B70" s="362"/>
      <c r="C70" s="123"/>
      <c r="D70" s="186"/>
      <c r="E70" s="189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6.25" customHeight="1" thickBot="1">
      <c r="A71" s="367" t="s">
        <v>269</v>
      </c>
      <c r="B71" s="367"/>
      <c r="C71" s="367"/>
      <c r="D71" s="367"/>
      <c r="E71" s="36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8" t="s">
        <v>113</v>
      </c>
      <c r="B72" s="369"/>
      <c r="C72" s="188" t="s">
        <v>2</v>
      </c>
      <c r="D72" s="188" t="s">
        <v>37</v>
      </c>
      <c r="E72" s="188" t="s">
        <v>3</v>
      </c>
      <c r="F72" s="369" t="s">
        <v>38</v>
      </c>
      <c r="G72" s="369"/>
      <c r="H72" s="369"/>
      <c r="I72" s="369"/>
      <c r="J72" s="369"/>
      <c r="K72" s="370" t="s">
        <v>58</v>
      </c>
      <c r="L72" s="371"/>
      <c r="M72" s="371"/>
      <c r="N72" s="371"/>
      <c r="O72" s="371"/>
      <c r="P72" s="371"/>
      <c r="Q72" s="371"/>
      <c r="R72" s="371"/>
      <c r="S72" s="372"/>
      <c r="T72" s="369" t="s">
        <v>49</v>
      </c>
      <c r="U72" s="369"/>
      <c r="V72" s="370" t="s">
        <v>50</v>
      </c>
      <c r="W72" s="372"/>
      <c r="X72" s="371" t="s">
        <v>51</v>
      </c>
      <c r="Y72" s="371"/>
      <c r="Z72" s="371"/>
      <c r="AA72" s="371"/>
      <c r="AB72" s="371"/>
      <c r="AC72" s="371"/>
      <c r="AD72" s="373"/>
      <c r="AF72" s="53"/>
    </row>
    <row r="73" spans="1:32" ht="33.75" customHeight="1">
      <c r="A73" s="382">
        <v>1</v>
      </c>
      <c r="B73" s="383"/>
      <c r="C73" s="187" t="s">
        <v>114</v>
      </c>
      <c r="D73" s="187"/>
      <c r="E73" s="71" t="s">
        <v>122</v>
      </c>
      <c r="F73" s="384" t="s">
        <v>121</v>
      </c>
      <c r="G73" s="385"/>
      <c r="H73" s="385"/>
      <c r="I73" s="385"/>
      <c r="J73" s="386"/>
      <c r="K73" s="387" t="s">
        <v>123</v>
      </c>
      <c r="L73" s="388"/>
      <c r="M73" s="388"/>
      <c r="N73" s="388"/>
      <c r="O73" s="388"/>
      <c r="P73" s="388"/>
      <c r="Q73" s="388"/>
      <c r="R73" s="388"/>
      <c r="S73" s="389"/>
      <c r="T73" s="390">
        <v>43384</v>
      </c>
      <c r="U73" s="391"/>
      <c r="V73" s="392"/>
      <c r="W73" s="392"/>
      <c r="X73" s="393"/>
      <c r="Y73" s="393"/>
      <c r="Z73" s="393"/>
      <c r="AA73" s="393"/>
      <c r="AB73" s="393"/>
      <c r="AC73" s="393"/>
      <c r="AD73" s="394"/>
      <c r="AF73" s="53"/>
    </row>
    <row r="74" spans="1:32" ht="30" customHeight="1">
      <c r="A74" s="374">
        <f>A73+1</f>
        <v>2</v>
      </c>
      <c r="B74" s="375"/>
      <c r="C74" s="186"/>
      <c r="D74" s="186"/>
      <c r="E74" s="35"/>
      <c r="F74" s="375"/>
      <c r="G74" s="375"/>
      <c r="H74" s="375"/>
      <c r="I74" s="375"/>
      <c r="J74" s="375"/>
      <c r="K74" s="376"/>
      <c r="L74" s="377"/>
      <c r="M74" s="377"/>
      <c r="N74" s="377"/>
      <c r="O74" s="377"/>
      <c r="P74" s="377"/>
      <c r="Q74" s="377"/>
      <c r="R74" s="377"/>
      <c r="S74" s="378"/>
      <c r="T74" s="379"/>
      <c r="U74" s="379"/>
      <c r="V74" s="379"/>
      <c r="W74" s="379"/>
      <c r="X74" s="380"/>
      <c r="Y74" s="380"/>
      <c r="Z74" s="380"/>
      <c r="AA74" s="380"/>
      <c r="AB74" s="380"/>
      <c r="AC74" s="380"/>
      <c r="AD74" s="381"/>
      <c r="AF74" s="53"/>
    </row>
    <row r="75" spans="1:32" ht="30" customHeight="1">
      <c r="A75" s="374">
        <f t="shared" ref="A75:A81" si="12">A74+1</f>
        <v>3</v>
      </c>
      <c r="B75" s="375"/>
      <c r="C75" s="186"/>
      <c r="D75" s="186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si="12"/>
        <v>4</v>
      </c>
      <c r="B76" s="375"/>
      <c r="C76" s="186"/>
      <c r="D76" s="186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12"/>
        <v>5</v>
      </c>
      <c r="B77" s="375"/>
      <c r="C77" s="186"/>
      <c r="D77" s="186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12"/>
        <v>6</v>
      </c>
      <c r="B78" s="375"/>
      <c r="C78" s="186"/>
      <c r="D78" s="186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12"/>
        <v>7</v>
      </c>
      <c r="B79" s="375"/>
      <c r="C79" s="186"/>
      <c r="D79" s="186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12"/>
        <v>8</v>
      </c>
      <c r="B80" s="375"/>
      <c r="C80" s="186"/>
      <c r="D80" s="186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12"/>
        <v>9</v>
      </c>
      <c r="B81" s="375"/>
      <c r="C81" s="186"/>
      <c r="D81" s="186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6" thickBot="1">
      <c r="A82" s="367" t="s">
        <v>270</v>
      </c>
      <c r="B82" s="367"/>
      <c r="C82" s="367"/>
      <c r="D82" s="367"/>
      <c r="E82" s="36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68" t="s">
        <v>113</v>
      </c>
      <c r="B83" s="369"/>
      <c r="C83" s="395" t="s">
        <v>52</v>
      </c>
      <c r="D83" s="395"/>
      <c r="E83" s="395" t="s">
        <v>53</v>
      </c>
      <c r="F83" s="395"/>
      <c r="G83" s="395"/>
      <c r="H83" s="395"/>
      <c r="I83" s="395"/>
      <c r="J83" s="395"/>
      <c r="K83" s="395" t="s">
        <v>54</v>
      </c>
      <c r="L83" s="395"/>
      <c r="M83" s="395"/>
      <c r="N83" s="395"/>
      <c r="O83" s="395"/>
      <c r="P83" s="395"/>
      <c r="Q83" s="395"/>
      <c r="R83" s="395"/>
      <c r="S83" s="395"/>
      <c r="T83" s="395" t="s">
        <v>55</v>
      </c>
      <c r="U83" s="395"/>
      <c r="V83" s="395" t="s">
        <v>56</v>
      </c>
      <c r="W83" s="395"/>
      <c r="X83" s="395"/>
      <c r="Y83" s="395" t="s">
        <v>51</v>
      </c>
      <c r="Z83" s="395"/>
      <c r="AA83" s="395"/>
      <c r="AB83" s="395"/>
      <c r="AC83" s="395"/>
      <c r="AD83" s="396"/>
      <c r="AF83" s="53"/>
    </row>
    <row r="84" spans="1:32" ht="30.75" customHeight="1">
      <c r="A84" s="382">
        <v>1</v>
      </c>
      <c r="B84" s="383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8"/>
      <c r="W84" s="398"/>
      <c r="X84" s="398"/>
      <c r="Y84" s="399"/>
      <c r="Z84" s="399"/>
      <c r="AA84" s="399"/>
      <c r="AB84" s="399"/>
      <c r="AC84" s="399"/>
      <c r="AD84" s="400"/>
      <c r="AF84" s="53"/>
    </row>
    <row r="85" spans="1:32" ht="30.75" customHeight="1">
      <c r="A85" s="374">
        <v>2</v>
      </c>
      <c r="B85" s="375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9"/>
      <c r="U85" s="409"/>
      <c r="V85" s="410"/>
      <c r="W85" s="410"/>
      <c r="X85" s="410"/>
      <c r="Y85" s="401"/>
      <c r="Z85" s="401"/>
      <c r="AA85" s="401"/>
      <c r="AB85" s="401"/>
      <c r="AC85" s="401"/>
      <c r="AD85" s="402"/>
      <c r="AF85" s="53"/>
    </row>
    <row r="86" spans="1:32" ht="30.75" customHeight="1" thickBot="1">
      <c r="A86" s="403">
        <v>3</v>
      </c>
      <c r="B86" s="404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6"/>
      <c r="Z86" s="406"/>
      <c r="AA86" s="406"/>
      <c r="AB86" s="406"/>
      <c r="AC86" s="406"/>
      <c r="AD86" s="40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3083-D5F2-4CE4-99F2-80ED3BE3E519}">
  <sheetPr>
    <pageSetUpPr fitToPage="1"/>
  </sheetPr>
  <dimension ref="A1:AF88"/>
  <sheetViews>
    <sheetView topLeftCell="A52" zoomScale="72" zoomScaleNormal="72" zoomScaleSheetLayoutView="70" workbookViewId="0">
      <selection activeCell="C66" sqref="C66:AA6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271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197" t="s">
        <v>17</v>
      </c>
      <c r="L5" s="197" t="s">
        <v>18</v>
      </c>
      <c r="M5" s="197" t="s">
        <v>19</v>
      </c>
      <c r="N5" s="19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15" si="0">L6</f>
        <v>0</v>
      </c>
      <c r="L6" s="15"/>
      <c r="M6" s="16">
        <f t="shared" ref="M6:M22" si="1">L6-N6</f>
        <v>0</v>
      </c>
      <c r="N6" s="16">
        <v>0</v>
      </c>
      <c r="O6" s="62" t="str">
        <f t="shared" ref="O6:O23" si="2">IF(L6=0,"0",N6/L6)</f>
        <v>0</v>
      </c>
      <c r="P6" s="42" t="str">
        <f t="shared" ref="P6:P22" si="3">IF(L6=0,"0",(24-Q6))</f>
        <v>0</v>
      </c>
      <c r="Q6" s="43">
        <f t="shared" ref="Q6:Q22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9">
        <f t="shared" ref="AE6:AE22" si="8">$AD$23</f>
        <v>0.34463702445010858</v>
      </c>
      <c r="AF6" s="93">
        <f t="shared" ref="AF6:AF22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0.34463702445010858</v>
      </c>
      <c r="AF7" s="93">
        <f t="shared" si="9"/>
        <v>2</v>
      </c>
    </row>
    <row r="8" spans="1:32" ht="27" customHeight="1">
      <c r="A8" s="108">
        <v>3</v>
      </c>
      <c r="B8" s="11" t="s">
        <v>57</v>
      </c>
      <c r="C8" s="37" t="s">
        <v>119</v>
      </c>
      <c r="D8" s="55" t="s">
        <v>167</v>
      </c>
      <c r="E8" s="57" t="s">
        <v>238</v>
      </c>
      <c r="F8" s="33" t="s">
        <v>124</v>
      </c>
      <c r="G8" s="36">
        <v>2</v>
      </c>
      <c r="H8" s="38">
        <v>24</v>
      </c>
      <c r="I8" s="7">
        <v>60000</v>
      </c>
      <c r="J8" s="5">
        <v>9860</v>
      </c>
      <c r="K8" s="15">
        <f>L8+5516</f>
        <v>15376</v>
      </c>
      <c r="L8" s="15">
        <f>2440*2+2490*2</f>
        <v>9860</v>
      </c>
      <c r="M8" s="16">
        <f t="shared" si="1"/>
        <v>9860</v>
      </c>
      <c r="N8" s="16">
        <v>0</v>
      </c>
      <c r="O8" s="62">
        <f t="shared" si="2"/>
        <v>0</v>
      </c>
      <c r="P8" s="42">
        <f t="shared" si="3"/>
        <v>24</v>
      </c>
      <c r="Q8" s="43">
        <f t="shared" si="4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5"/>
        <v>1</v>
      </c>
      <c r="AC8" s="9">
        <f t="shared" si="6"/>
        <v>1</v>
      </c>
      <c r="AD8" s="10">
        <f t="shared" si="7"/>
        <v>1</v>
      </c>
      <c r="AE8" s="39">
        <f t="shared" si="8"/>
        <v>0.34463702445010858</v>
      </c>
      <c r="AF8" s="93">
        <f t="shared" si="9"/>
        <v>3</v>
      </c>
    </row>
    <row r="9" spans="1:32" ht="27" customHeight="1">
      <c r="A9" s="109">
        <v>4</v>
      </c>
      <c r="B9" s="11" t="s">
        <v>57</v>
      </c>
      <c r="C9" s="11" t="s">
        <v>180</v>
      </c>
      <c r="D9" s="55" t="s">
        <v>220</v>
      </c>
      <c r="E9" s="57" t="s">
        <v>221</v>
      </c>
      <c r="F9" s="33" t="s">
        <v>222</v>
      </c>
      <c r="G9" s="36">
        <v>1</v>
      </c>
      <c r="H9" s="38">
        <v>24</v>
      </c>
      <c r="I9" s="7">
        <v>31000</v>
      </c>
      <c r="J9" s="14">
        <v>2861</v>
      </c>
      <c r="K9" s="15">
        <f t="shared" si="0"/>
        <v>2861</v>
      </c>
      <c r="L9" s="15">
        <f>2861</f>
        <v>2861</v>
      </c>
      <c r="M9" s="16">
        <f t="shared" si="1"/>
        <v>2861</v>
      </c>
      <c r="N9" s="16">
        <v>0</v>
      </c>
      <c r="O9" s="62">
        <f t="shared" si="2"/>
        <v>0</v>
      </c>
      <c r="P9" s="42">
        <f t="shared" si="3"/>
        <v>16</v>
      </c>
      <c r="Q9" s="43">
        <f t="shared" si="4"/>
        <v>8</v>
      </c>
      <c r="R9" s="7"/>
      <c r="S9" s="6"/>
      <c r="T9" s="17">
        <v>8</v>
      </c>
      <c r="U9" s="17"/>
      <c r="V9" s="18"/>
      <c r="W9" s="19"/>
      <c r="X9" s="17"/>
      <c r="Y9" s="20"/>
      <c r="Z9" s="20"/>
      <c r="AA9" s="21"/>
      <c r="AB9" s="8">
        <f t="shared" si="5"/>
        <v>1</v>
      </c>
      <c r="AC9" s="9">
        <f t="shared" si="6"/>
        <v>0.66666666666666663</v>
      </c>
      <c r="AD9" s="10">
        <f t="shared" si="7"/>
        <v>0.66666666666666663</v>
      </c>
      <c r="AE9" s="39">
        <f t="shared" si="8"/>
        <v>0.34463702445010858</v>
      </c>
      <c r="AF9" s="93">
        <f t="shared" si="9"/>
        <v>4</v>
      </c>
    </row>
    <row r="10" spans="1:32" ht="27" customHeight="1">
      <c r="A10" s="109">
        <v>5</v>
      </c>
      <c r="B10" s="11" t="s">
        <v>57</v>
      </c>
      <c r="C10" s="11" t="s">
        <v>119</v>
      </c>
      <c r="D10" s="55" t="s">
        <v>137</v>
      </c>
      <c r="E10" s="57" t="s">
        <v>128</v>
      </c>
      <c r="F10" s="12" t="s">
        <v>231</v>
      </c>
      <c r="G10" s="12">
        <v>2</v>
      </c>
      <c r="H10" s="13">
        <v>20</v>
      </c>
      <c r="I10" s="7">
        <v>60000</v>
      </c>
      <c r="J10" s="14">
        <v>11770</v>
      </c>
      <c r="K10" s="15">
        <f>L10+12336+11770</f>
        <v>35910</v>
      </c>
      <c r="L10" s="15">
        <f>3694*2+2208*2</f>
        <v>11804</v>
      </c>
      <c r="M10" s="16">
        <f t="shared" si="1"/>
        <v>11804</v>
      </c>
      <c r="N10" s="16">
        <v>0</v>
      </c>
      <c r="O10" s="62">
        <f t="shared" si="2"/>
        <v>0</v>
      </c>
      <c r="P10" s="42">
        <f t="shared" si="3"/>
        <v>24</v>
      </c>
      <c r="Q10" s="43">
        <f t="shared" si="4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5"/>
        <v>1.0028887000849618</v>
      </c>
      <c r="AC10" s="9">
        <f t="shared" si="6"/>
        <v>1</v>
      </c>
      <c r="AD10" s="10">
        <f t="shared" si="7"/>
        <v>1.0028887000849618</v>
      </c>
      <c r="AE10" s="39">
        <f t="shared" si="8"/>
        <v>0.34463702445010858</v>
      </c>
      <c r="AF10" s="93">
        <f t="shared" si="9"/>
        <v>5</v>
      </c>
    </row>
    <row r="11" spans="1:32" ht="27" customHeight="1">
      <c r="A11" s="109">
        <v>6</v>
      </c>
      <c r="B11" s="11"/>
      <c r="C11" s="11"/>
      <c r="D11" s="55"/>
      <c r="E11" s="57"/>
      <c r="F11" s="12"/>
      <c r="G11" s="12"/>
      <c r="H11" s="13"/>
      <c r="I11" s="7"/>
      <c r="J11" s="14"/>
      <c r="K11" s="15"/>
      <c r="L11" s="15"/>
      <c r="M11" s="16">
        <f t="shared" si="1"/>
        <v>0</v>
      </c>
      <c r="N11" s="16">
        <v>0</v>
      </c>
      <c r="O11" s="62" t="str">
        <f t="shared" si="2"/>
        <v>0</v>
      </c>
      <c r="P11" s="42" t="str">
        <f t="shared" si="3"/>
        <v>0</v>
      </c>
      <c r="Q11" s="43">
        <f t="shared" si="4"/>
        <v>24</v>
      </c>
      <c r="R11" s="7"/>
      <c r="S11" s="6"/>
      <c r="T11" s="17"/>
      <c r="U11" s="17"/>
      <c r="V11" s="18"/>
      <c r="W11" s="19"/>
      <c r="X11" s="17"/>
      <c r="Y11" s="20"/>
      <c r="Z11" s="20"/>
      <c r="AA11" s="21">
        <v>24</v>
      </c>
      <c r="AB11" s="8" t="str">
        <f t="shared" si="5"/>
        <v>0</v>
      </c>
      <c r="AC11" s="9">
        <f t="shared" si="6"/>
        <v>0</v>
      </c>
      <c r="AD11" s="10">
        <f t="shared" si="7"/>
        <v>0</v>
      </c>
      <c r="AE11" s="39">
        <f t="shared" si="8"/>
        <v>0.34463702445010858</v>
      </c>
      <c r="AF11" s="93">
        <f t="shared" si="9"/>
        <v>6</v>
      </c>
    </row>
    <row r="12" spans="1:32" ht="27" customHeight="1">
      <c r="A12" s="109">
        <v>7</v>
      </c>
      <c r="B12" s="11"/>
      <c r="C12" s="11"/>
      <c r="D12" s="55"/>
      <c r="E12" s="57"/>
      <c r="F12" s="33"/>
      <c r="G12" s="36"/>
      <c r="H12" s="38"/>
      <c r="I12" s="7"/>
      <c r="J12" s="14"/>
      <c r="K12" s="15"/>
      <c r="L12" s="15"/>
      <c r="M12" s="16">
        <f t="shared" si="1"/>
        <v>0</v>
      </c>
      <c r="N12" s="16">
        <v>0</v>
      </c>
      <c r="O12" s="62" t="str">
        <f t="shared" si="2"/>
        <v>0</v>
      </c>
      <c r="P12" s="42" t="str">
        <f t="shared" si="3"/>
        <v>0</v>
      </c>
      <c r="Q12" s="43">
        <f t="shared" si="4"/>
        <v>24</v>
      </c>
      <c r="R12" s="7"/>
      <c r="S12" s="6"/>
      <c r="T12" s="17"/>
      <c r="U12" s="17"/>
      <c r="V12" s="18"/>
      <c r="W12" s="19"/>
      <c r="X12" s="17"/>
      <c r="Y12" s="20"/>
      <c r="Z12" s="20"/>
      <c r="AA12" s="21">
        <v>24</v>
      </c>
      <c r="AB12" s="8" t="str">
        <f t="shared" si="5"/>
        <v>0</v>
      </c>
      <c r="AC12" s="9">
        <f t="shared" si="6"/>
        <v>0</v>
      </c>
      <c r="AD12" s="10">
        <f t="shared" si="7"/>
        <v>0</v>
      </c>
      <c r="AE12" s="39">
        <f t="shared" si="8"/>
        <v>0.34463702445010858</v>
      </c>
      <c r="AF12" s="93">
        <f t="shared" si="9"/>
        <v>7</v>
      </c>
    </row>
    <row r="13" spans="1:32" ht="27" customHeight="1">
      <c r="A13" s="109">
        <v>8</v>
      </c>
      <c r="B13" s="11"/>
      <c r="C13" s="11"/>
      <c r="D13" s="55"/>
      <c r="E13" s="57"/>
      <c r="F13" s="33"/>
      <c r="G13" s="36"/>
      <c r="H13" s="38"/>
      <c r="I13" s="7"/>
      <c r="J13" s="14"/>
      <c r="K13" s="15"/>
      <c r="L13" s="15"/>
      <c r="M13" s="16">
        <f t="shared" si="1"/>
        <v>0</v>
      </c>
      <c r="N13" s="16">
        <v>0</v>
      </c>
      <c r="O13" s="62" t="str">
        <f t="shared" si="2"/>
        <v>0</v>
      </c>
      <c r="P13" s="42" t="str">
        <f t="shared" si="3"/>
        <v>0</v>
      </c>
      <c r="Q13" s="43">
        <f t="shared" si="4"/>
        <v>24</v>
      </c>
      <c r="R13" s="7"/>
      <c r="S13" s="6"/>
      <c r="T13" s="17"/>
      <c r="U13" s="17"/>
      <c r="V13" s="18"/>
      <c r="W13" s="19"/>
      <c r="X13" s="17"/>
      <c r="Y13" s="20"/>
      <c r="Z13" s="20"/>
      <c r="AA13" s="21">
        <v>24</v>
      </c>
      <c r="AB13" s="8" t="str">
        <f t="shared" si="5"/>
        <v>0</v>
      </c>
      <c r="AC13" s="9">
        <f t="shared" si="6"/>
        <v>0</v>
      </c>
      <c r="AD13" s="10">
        <f t="shared" si="7"/>
        <v>0</v>
      </c>
      <c r="AE13" s="39">
        <f t="shared" si="8"/>
        <v>0.34463702445010858</v>
      </c>
      <c r="AF13" s="93">
        <f t="shared" si="9"/>
        <v>8</v>
      </c>
    </row>
    <row r="14" spans="1:32" ht="27" customHeight="1">
      <c r="A14" s="125">
        <v>9</v>
      </c>
      <c r="B14" s="11"/>
      <c r="C14" s="37"/>
      <c r="D14" s="55"/>
      <c r="E14" s="57"/>
      <c r="F14" s="33"/>
      <c r="G14" s="36"/>
      <c r="H14" s="38"/>
      <c r="I14" s="7"/>
      <c r="J14" s="5">
        <v>0</v>
      </c>
      <c r="K14" s="15">
        <f t="shared" si="0"/>
        <v>0</v>
      </c>
      <c r="L14" s="15"/>
      <c r="M14" s="16">
        <f t="shared" si="1"/>
        <v>0</v>
      </c>
      <c r="N14" s="16">
        <v>0</v>
      </c>
      <c r="O14" s="62" t="str">
        <f t="shared" si="2"/>
        <v>0</v>
      </c>
      <c r="P14" s="42" t="str">
        <f t="shared" si="3"/>
        <v>0</v>
      </c>
      <c r="Q14" s="43">
        <f t="shared" si="4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9">
        <f t="shared" si="8"/>
        <v>0.34463702445010858</v>
      </c>
      <c r="AF14" s="93">
        <f t="shared" si="9"/>
        <v>9</v>
      </c>
    </row>
    <row r="15" spans="1:32" ht="27" customHeight="1">
      <c r="A15" s="108">
        <v>10</v>
      </c>
      <c r="B15" s="11"/>
      <c r="C15" s="37"/>
      <c r="D15" s="55"/>
      <c r="E15" s="57"/>
      <c r="F15" s="12"/>
      <c r="G15" s="12"/>
      <c r="H15" s="13"/>
      <c r="I15" s="34"/>
      <c r="J15" s="14">
        <v>0</v>
      </c>
      <c r="K15" s="15">
        <f t="shared" si="0"/>
        <v>0</v>
      </c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0.34463702445010858</v>
      </c>
      <c r="AF15" s="93">
        <f t="shared" si="9"/>
        <v>10</v>
      </c>
    </row>
    <row r="16" spans="1:32" ht="27" customHeight="1">
      <c r="A16" s="108">
        <v>11</v>
      </c>
      <c r="B16" s="11"/>
      <c r="C16" s="11"/>
      <c r="D16" s="55"/>
      <c r="E16" s="57"/>
      <c r="F16" s="12"/>
      <c r="G16" s="12"/>
      <c r="H16" s="13"/>
      <c r="I16" s="7"/>
      <c r="J16" s="14"/>
      <c r="K16" s="15"/>
      <c r="L16" s="15"/>
      <c r="M16" s="16">
        <f t="shared" si="1"/>
        <v>0</v>
      </c>
      <c r="N16" s="16">
        <v>0</v>
      </c>
      <c r="O16" s="62" t="str">
        <f t="shared" si="2"/>
        <v>0</v>
      </c>
      <c r="P16" s="42" t="str">
        <f t="shared" si="3"/>
        <v>0</v>
      </c>
      <c r="Q16" s="43">
        <f t="shared" si="4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 t="str">
        <f t="shared" si="5"/>
        <v>0</v>
      </c>
      <c r="AC16" s="9">
        <f t="shared" si="6"/>
        <v>0</v>
      </c>
      <c r="AD16" s="10">
        <f t="shared" si="7"/>
        <v>0</v>
      </c>
      <c r="AE16" s="39">
        <f t="shared" si="8"/>
        <v>0.34463702445010858</v>
      </c>
      <c r="AF16" s="93">
        <f t="shared" si="9"/>
        <v>11</v>
      </c>
    </row>
    <row r="17" spans="1:32" ht="27" customHeight="1">
      <c r="A17" s="108">
        <v>12</v>
      </c>
      <c r="B17" s="11"/>
      <c r="C17" s="37"/>
      <c r="D17" s="55"/>
      <c r="E17" s="57"/>
      <c r="F17" s="12"/>
      <c r="G17" s="12"/>
      <c r="H17" s="13"/>
      <c r="I17" s="34"/>
      <c r="J17" s="14"/>
      <c r="K17" s="15"/>
      <c r="L17" s="15"/>
      <c r="M17" s="16">
        <f t="shared" si="1"/>
        <v>0</v>
      </c>
      <c r="N17" s="16">
        <v>0</v>
      </c>
      <c r="O17" s="62" t="str">
        <f t="shared" si="2"/>
        <v>0</v>
      </c>
      <c r="P17" s="42" t="str">
        <f t="shared" si="3"/>
        <v>0</v>
      </c>
      <c r="Q17" s="43">
        <f t="shared" si="4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 t="str">
        <f t="shared" si="5"/>
        <v>0</v>
      </c>
      <c r="AC17" s="9">
        <f t="shared" si="6"/>
        <v>0</v>
      </c>
      <c r="AD17" s="10">
        <f t="shared" si="7"/>
        <v>0</v>
      </c>
      <c r="AE17" s="39">
        <f t="shared" si="8"/>
        <v>0.34463702445010858</v>
      </c>
      <c r="AF17" s="93">
        <f t="shared" si="9"/>
        <v>12</v>
      </c>
    </row>
    <row r="18" spans="1:32" ht="27" customHeight="1">
      <c r="A18" s="109">
        <v>13</v>
      </c>
      <c r="B18" s="11" t="s">
        <v>57</v>
      </c>
      <c r="C18" s="37" t="s">
        <v>119</v>
      </c>
      <c r="D18" s="55" t="s">
        <v>117</v>
      </c>
      <c r="E18" s="57" t="s">
        <v>209</v>
      </c>
      <c r="F18" s="33" t="s">
        <v>124</v>
      </c>
      <c r="G18" s="36">
        <v>2</v>
      </c>
      <c r="H18" s="38">
        <v>25</v>
      </c>
      <c r="I18" s="7">
        <v>60000</v>
      </c>
      <c r="J18" s="5">
        <v>10374</v>
      </c>
      <c r="K18" s="15">
        <f>L18+7486+10058</f>
        <v>27918</v>
      </c>
      <c r="L18" s="15">
        <f>2913*2+2274*2</f>
        <v>10374</v>
      </c>
      <c r="M18" s="16">
        <f t="shared" si="1"/>
        <v>10374</v>
      </c>
      <c r="N18" s="16">
        <v>0</v>
      </c>
      <c r="O18" s="62">
        <f t="shared" si="2"/>
        <v>0</v>
      </c>
      <c r="P18" s="42">
        <f t="shared" si="3"/>
        <v>24</v>
      </c>
      <c r="Q18" s="43">
        <f t="shared" si="4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9">
        <f t="shared" si="8"/>
        <v>0.34463702445010858</v>
      </c>
      <c r="AF18" s="93">
        <f t="shared" si="9"/>
        <v>13</v>
      </c>
    </row>
    <row r="19" spans="1:32" ht="27" customHeight="1">
      <c r="A19" s="109">
        <v>14</v>
      </c>
      <c r="B19" s="11" t="s">
        <v>57</v>
      </c>
      <c r="C19" s="37" t="s">
        <v>119</v>
      </c>
      <c r="D19" s="55" t="s">
        <v>117</v>
      </c>
      <c r="E19" s="57" t="s">
        <v>189</v>
      </c>
      <c r="F19" s="12" t="s">
        <v>162</v>
      </c>
      <c r="G19" s="36">
        <v>1</v>
      </c>
      <c r="H19" s="38">
        <v>24</v>
      </c>
      <c r="I19" s="7">
        <v>6000</v>
      </c>
      <c r="J19" s="5">
        <v>1035</v>
      </c>
      <c r="K19" s="15">
        <f>L19+2507+1320+4035</f>
        <v>8897</v>
      </c>
      <c r="L19" s="15">
        <v>1035</v>
      </c>
      <c r="M19" s="16">
        <f t="shared" ref="M19:M20" si="10">L19-N19</f>
        <v>1035</v>
      </c>
      <c r="N19" s="16">
        <v>0</v>
      </c>
      <c r="O19" s="62">
        <f t="shared" ref="O19:O20" si="11">IF(L19=0,"0",N19/L19)</f>
        <v>0</v>
      </c>
      <c r="P19" s="42">
        <f t="shared" ref="P19:P20" si="12">IF(L19=0,"0",(24-Q19))</f>
        <v>6</v>
      </c>
      <c r="Q19" s="43">
        <f t="shared" ref="Q19:Q20" si="13">SUM(R19:AA19)</f>
        <v>18</v>
      </c>
      <c r="R19" s="7"/>
      <c r="S19" s="6"/>
      <c r="T19" s="17"/>
      <c r="U19" s="17"/>
      <c r="V19" s="18"/>
      <c r="W19" s="19">
        <v>18</v>
      </c>
      <c r="X19" s="17"/>
      <c r="Y19" s="20"/>
      <c r="Z19" s="20"/>
      <c r="AA19" s="21"/>
      <c r="AB19" s="8">
        <f t="shared" ref="AB19:AB20" si="14">IF(J19=0,"0",(L19/J19))</f>
        <v>1</v>
      </c>
      <c r="AC19" s="9">
        <f t="shared" ref="AC19:AC20" si="15">IF(P19=0,"0",(P19/24))</f>
        <v>0.25</v>
      </c>
      <c r="AD19" s="10">
        <f>AC19*AB19*(1-O19)</f>
        <v>0.25</v>
      </c>
      <c r="AE19" s="39">
        <f t="shared" si="8"/>
        <v>0.34463702445010858</v>
      </c>
      <c r="AF19" s="93">
        <f t="shared" ref="AF19:AF20" si="16">A19</f>
        <v>14</v>
      </c>
    </row>
    <row r="20" spans="1:32" ht="27" customHeight="1">
      <c r="A20" s="109">
        <v>14</v>
      </c>
      <c r="B20" s="11" t="s">
        <v>57</v>
      </c>
      <c r="C20" s="37" t="s">
        <v>180</v>
      </c>
      <c r="D20" s="55" t="s">
        <v>117</v>
      </c>
      <c r="E20" s="57" t="s">
        <v>272</v>
      </c>
      <c r="F20" s="12" t="s">
        <v>273</v>
      </c>
      <c r="G20" s="36">
        <v>1</v>
      </c>
      <c r="H20" s="38">
        <v>24</v>
      </c>
      <c r="I20" s="7">
        <v>200</v>
      </c>
      <c r="J20" s="5">
        <v>225</v>
      </c>
      <c r="K20" s="15">
        <f>L20</f>
        <v>225</v>
      </c>
      <c r="L20" s="15">
        <v>225</v>
      </c>
      <c r="M20" s="16">
        <f t="shared" si="10"/>
        <v>225</v>
      </c>
      <c r="N20" s="16">
        <v>0</v>
      </c>
      <c r="O20" s="62">
        <f t="shared" si="11"/>
        <v>0</v>
      </c>
      <c r="P20" s="42">
        <f t="shared" si="12"/>
        <v>4</v>
      </c>
      <c r="Q20" s="43">
        <f t="shared" si="13"/>
        <v>20</v>
      </c>
      <c r="R20" s="7"/>
      <c r="S20" s="6"/>
      <c r="T20" s="17"/>
      <c r="U20" s="17"/>
      <c r="V20" s="18"/>
      <c r="W20" s="19">
        <v>20</v>
      </c>
      <c r="X20" s="17"/>
      <c r="Y20" s="20"/>
      <c r="Z20" s="20"/>
      <c r="AA20" s="21"/>
      <c r="AB20" s="8">
        <f t="shared" si="14"/>
        <v>1</v>
      </c>
      <c r="AC20" s="9">
        <f t="shared" si="15"/>
        <v>0.16666666666666666</v>
      </c>
      <c r="AD20" s="10">
        <f>AC20*AB20*(1-O20)</f>
        <v>0.16666666666666666</v>
      </c>
      <c r="AE20" s="39">
        <f t="shared" si="8"/>
        <v>0.34463702445010858</v>
      </c>
      <c r="AF20" s="93">
        <f t="shared" si="16"/>
        <v>14</v>
      </c>
    </row>
    <row r="21" spans="1:32" ht="27" customHeight="1">
      <c r="A21" s="109">
        <v>14</v>
      </c>
      <c r="B21" s="11" t="s">
        <v>57</v>
      </c>
      <c r="C21" s="37" t="s">
        <v>180</v>
      </c>
      <c r="D21" s="55" t="s">
        <v>117</v>
      </c>
      <c r="E21" s="57" t="s">
        <v>274</v>
      </c>
      <c r="F21" s="12" t="s">
        <v>162</v>
      </c>
      <c r="G21" s="36">
        <v>1</v>
      </c>
      <c r="H21" s="38">
        <v>24</v>
      </c>
      <c r="I21" s="7">
        <v>30000</v>
      </c>
      <c r="J21" s="5">
        <v>3291</v>
      </c>
      <c r="K21" s="15">
        <f>L21</f>
        <v>3291</v>
      </c>
      <c r="L21" s="15">
        <f>364+2927</f>
        <v>3291</v>
      </c>
      <c r="M21" s="16">
        <f t="shared" si="1"/>
        <v>3291</v>
      </c>
      <c r="N21" s="16">
        <v>0</v>
      </c>
      <c r="O21" s="62">
        <f t="shared" si="2"/>
        <v>0</v>
      </c>
      <c r="P21" s="42">
        <f t="shared" si="3"/>
        <v>13</v>
      </c>
      <c r="Q21" s="43">
        <f t="shared" si="4"/>
        <v>11</v>
      </c>
      <c r="R21" s="7"/>
      <c r="S21" s="6"/>
      <c r="T21" s="17">
        <v>11</v>
      </c>
      <c r="U21" s="17"/>
      <c r="V21" s="18"/>
      <c r="W21" s="19"/>
      <c r="X21" s="17"/>
      <c r="Y21" s="20"/>
      <c r="Z21" s="20"/>
      <c r="AA21" s="21"/>
      <c r="AB21" s="8">
        <f t="shared" si="5"/>
        <v>1</v>
      </c>
      <c r="AC21" s="9">
        <f t="shared" si="6"/>
        <v>0.54166666666666663</v>
      </c>
      <c r="AD21" s="10">
        <f>AC21*AB21*(1-O21)</f>
        <v>0.54166666666666663</v>
      </c>
      <c r="AE21" s="39">
        <f t="shared" si="8"/>
        <v>0.34463702445010858</v>
      </c>
      <c r="AF21" s="93">
        <f t="shared" si="9"/>
        <v>14</v>
      </c>
    </row>
    <row r="22" spans="1:32" ht="27" customHeight="1" thickBot="1">
      <c r="A22" s="109">
        <v>15</v>
      </c>
      <c r="B22" s="11" t="s">
        <v>57</v>
      </c>
      <c r="C22" s="11" t="s">
        <v>115</v>
      </c>
      <c r="D22" s="55"/>
      <c r="E22" s="56" t="s">
        <v>126</v>
      </c>
      <c r="F22" s="12" t="s">
        <v>116</v>
      </c>
      <c r="G22" s="12">
        <v>4</v>
      </c>
      <c r="H22" s="38">
        <v>20</v>
      </c>
      <c r="I22" s="7">
        <v>500000</v>
      </c>
      <c r="J22" s="14">
        <v>35376</v>
      </c>
      <c r="K22" s="15">
        <f>L22+27008+76128+41848+38820</f>
        <v>219180</v>
      </c>
      <c r="L22" s="15">
        <f>8844*4</f>
        <v>35376</v>
      </c>
      <c r="M22" s="16">
        <f t="shared" si="1"/>
        <v>35376</v>
      </c>
      <c r="N22" s="16">
        <v>0</v>
      </c>
      <c r="O22" s="62">
        <f t="shared" si="2"/>
        <v>0</v>
      </c>
      <c r="P22" s="42">
        <f t="shared" si="3"/>
        <v>13</v>
      </c>
      <c r="Q22" s="43">
        <f t="shared" si="4"/>
        <v>11</v>
      </c>
      <c r="R22" s="7"/>
      <c r="S22" s="6"/>
      <c r="T22" s="17"/>
      <c r="U22" s="17"/>
      <c r="V22" s="18">
        <v>11</v>
      </c>
      <c r="W22" s="19"/>
      <c r="X22" s="17"/>
      <c r="Y22" s="20"/>
      <c r="Z22" s="20"/>
      <c r="AA22" s="21"/>
      <c r="AB22" s="8">
        <f t="shared" si="5"/>
        <v>1</v>
      </c>
      <c r="AC22" s="9">
        <f t="shared" si="6"/>
        <v>0.54166666666666663</v>
      </c>
      <c r="AD22" s="10">
        <f t="shared" si="7"/>
        <v>0.54166666666666663</v>
      </c>
      <c r="AE22" s="39">
        <f t="shared" si="8"/>
        <v>0.34463702445010858</v>
      </c>
      <c r="AF22" s="93">
        <f t="shared" si="9"/>
        <v>15</v>
      </c>
    </row>
    <row r="23" spans="1:32" ht="31.5" customHeight="1" thickBot="1">
      <c r="A23" s="312" t="s">
        <v>34</v>
      </c>
      <c r="B23" s="313"/>
      <c r="C23" s="313"/>
      <c r="D23" s="313"/>
      <c r="E23" s="313"/>
      <c r="F23" s="313"/>
      <c r="G23" s="313"/>
      <c r="H23" s="314"/>
      <c r="I23" s="25">
        <f t="shared" ref="I23:N23" si="17">SUM(I6:I22)</f>
        <v>747200</v>
      </c>
      <c r="J23" s="22">
        <f t="shared" si="17"/>
        <v>74792</v>
      </c>
      <c r="K23" s="23">
        <f t="shared" si="17"/>
        <v>313658</v>
      </c>
      <c r="L23" s="24">
        <f t="shared" si="17"/>
        <v>74826</v>
      </c>
      <c r="M23" s="23">
        <f t="shared" si="17"/>
        <v>74826</v>
      </c>
      <c r="N23" s="24">
        <f t="shared" si="17"/>
        <v>0</v>
      </c>
      <c r="O23" s="44">
        <f t="shared" si="2"/>
        <v>0</v>
      </c>
      <c r="P23" s="45">
        <f t="shared" ref="P23:AA23" si="18">SUM(P6:P22)</f>
        <v>124</v>
      </c>
      <c r="Q23" s="46">
        <f t="shared" si="18"/>
        <v>284</v>
      </c>
      <c r="R23" s="26">
        <f t="shared" si="18"/>
        <v>24</v>
      </c>
      <c r="S23" s="27">
        <f t="shared" si="18"/>
        <v>0</v>
      </c>
      <c r="T23" s="27">
        <f t="shared" si="18"/>
        <v>19</v>
      </c>
      <c r="U23" s="27">
        <f t="shared" si="18"/>
        <v>0</v>
      </c>
      <c r="V23" s="28">
        <f t="shared" si="18"/>
        <v>11</v>
      </c>
      <c r="W23" s="29">
        <f t="shared" si="18"/>
        <v>158</v>
      </c>
      <c r="X23" s="30">
        <f t="shared" si="18"/>
        <v>0</v>
      </c>
      <c r="Y23" s="30">
        <f t="shared" si="18"/>
        <v>0</v>
      </c>
      <c r="Z23" s="30">
        <f t="shared" si="18"/>
        <v>0</v>
      </c>
      <c r="AA23" s="30">
        <f t="shared" si="18"/>
        <v>72</v>
      </c>
      <c r="AB23" s="31">
        <f>SUM(AB6:AB22)/15</f>
        <v>0.53352591333899757</v>
      </c>
      <c r="AC23" s="4">
        <f>SUM(AC6:AC22)/15</f>
        <v>0.34444444444444444</v>
      </c>
      <c r="AD23" s="4">
        <f>SUM(AD6:AD22)/15</f>
        <v>0.34463702445010858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315" t="s">
        <v>45</v>
      </c>
      <c r="B50" s="315"/>
      <c r="C50" s="315"/>
      <c r="D50" s="315"/>
      <c r="E50" s="315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316" t="s">
        <v>275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19" t="s">
        <v>277</v>
      </c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1"/>
    </row>
    <row r="52" spans="1:32" ht="27" customHeight="1">
      <c r="A52" s="322" t="s">
        <v>2</v>
      </c>
      <c r="B52" s="323"/>
      <c r="C52" s="198" t="s">
        <v>46</v>
      </c>
      <c r="D52" s="198" t="s">
        <v>47</v>
      </c>
      <c r="E52" s="198" t="s">
        <v>108</v>
      </c>
      <c r="F52" s="323" t="s">
        <v>107</v>
      </c>
      <c r="G52" s="323"/>
      <c r="H52" s="323"/>
      <c r="I52" s="323"/>
      <c r="J52" s="323"/>
      <c r="K52" s="323"/>
      <c r="L52" s="323"/>
      <c r="M52" s="324"/>
      <c r="N52" s="73" t="s">
        <v>112</v>
      </c>
      <c r="O52" s="198" t="s">
        <v>46</v>
      </c>
      <c r="P52" s="325" t="s">
        <v>47</v>
      </c>
      <c r="Q52" s="326"/>
      <c r="R52" s="325" t="s">
        <v>38</v>
      </c>
      <c r="S52" s="327"/>
      <c r="T52" s="327"/>
      <c r="U52" s="326"/>
      <c r="V52" s="325" t="s">
        <v>48</v>
      </c>
      <c r="W52" s="327"/>
      <c r="X52" s="327"/>
      <c r="Y52" s="327"/>
      <c r="Z52" s="327"/>
      <c r="AA52" s="327"/>
      <c r="AB52" s="327"/>
      <c r="AC52" s="327"/>
      <c r="AD52" s="328"/>
    </row>
    <row r="53" spans="1:32" ht="27" customHeight="1">
      <c r="A53" s="339" t="s">
        <v>119</v>
      </c>
      <c r="B53" s="340"/>
      <c r="C53" s="200" t="s">
        <v>118</v>
      </c>
      <c r="D53" s="200" t="s">
        <v>137</v>
      </c>
      <c r="E53" s="200" t="s">
        <v>128</v>
      </c>
      <c r="F53" s="341" t="s">
        <v>236</v>
      </c>
      <c r="G53" s="342"/>
      <c r="H53" s="342"/>
      <c r="I53" s="342"/>
      <c r="J53" s="342"/>
      <c r="K53" s="342"/>
      <c r="L53" s="342"/>
      <c r="M53" s="343"/>
      <c r="N53" s="199" t="s">
        <v>119</v>
      </c>
      <c r="O53" s="124" t="s">
        <v>118</v>
      </c>
      <c r="P53" s="340" t="s">
        <v>158</v>
      </c>
      <c r="Q53" s="340"/>
      <c r="R53" s="340" t="s">
        <v>141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180</v>
      </c>
      <c r="B54" s="340"/>
      <c r="C54" s="200" t="s">
        <v>276</v>
      </c>
      <c r="D54" s="200" t="s">
        <v>220</v>
      </c>
      <c r="E54" s="200" t="s">
        <v>221</v>
      </c>
      <c r="F54" s="341" t="s">
        <v>131</v>
      </c>
      <c r="G54" s="342"/>
      <c r="H54" s="342"/>
      <c r="I54" s="342"/>
      <c r="J54" s="342"/>
      <c r="K54" s="342"/>
      <c r="L54" s="342"/>
      <c r="M54" s="343"/>
      <c r="N54" s="199" t="s">
        <v>180</v>
      </c>
      <c r="O54" s="124" t="s">
        <v>237</v>
      </c>
      <c r="P54" s="340" t="s">
        <v>120</v>
      </c>
      <c r="Q54" s="340"/>
      <c r="R54" s="340" t="s">
        <v>278</v>
      </c>
      <c r="S54" s="340"/>
      <c r="T54" s="340"/>
      <c r="U54" s="340"/>
      <c r="V54" s="346" t="s">
        <v>131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180</v>
      </c>
      <c r="B55" s="340"/>
      <c r="C55" s="200" t="s">
        <v>136</v>
      </c>
      <c r="D55" s="200" t="s">
        <v>117</v>
      </c>
      <c r="E55" s="200" t="s">
        <v>272</v>
      </c>
      <c r="F55" s="341" t="s">
        <v>131</v>
      </c>
      <c r="G55" s="342"/>
      <c r="H55" s="342"/>
      <c r="I55" s="342"/>
      <c r="J55" s="342"/>
      <c r="K55" s="342"/>
      <c r="L55" s="342"/>
      <c r="M55" s="343"/>
      <c r="N55" s="199" t="s">
        <v>119</v>
      </c>
      <c r="O55" s="124" t="s">
        <v>183</v>
      </c>
      <c r="P55" s="340" t="s">
        <v>220</v>
      </c>
      <c r="Q55" s="340"/>
      <c r="R55" s="340" t="s">
        <v>239</v>
      </c>
      <c r="S55" s="340"/>
      <c r="T55" s="340"/>
      <c r="U55" s="340"/>
      <c r="V55" s="346" t="s">
        <v>131</v>
      </c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 t="s">
        <v>180</v>
      </c>
      <c r="B56" s="340"/>
      <c r="C56" s="200" t="s">
        <v>136</v>
      </c>
      <c r="D56" s="200" t="s">
        <v>117</v>
      </c>
      <c r="E56" s="200" t="s">
        <v>274</v>
      </c>
      <c r="F56" s="341" t="s">
        <v>131</v>
      </c>
      <c r="G56" s="342"/>
      <c r="H56" s="342"/>
      <c r="I56" s="342"/>
      <c r="J56" s="342"/>
      <c r="K56" s="342"/>
      <c r="L56" s="342"/>
      <c r="M56" s="343"/>
      <c r="N56" s="199" t="s">
        <v>180</v>
      </c>
      <c r="O56" s="124" t="s">
        <v>199</v>
      </c>
      <c r="P56" s="344" t="s">
        <v>135</v>
      </c>
      <c r="Q56" s="345"/>
      <c r="R56" s="340" t="s">
        <v>279</v>
      </c>
      <c r="S56" s="340"/>
      <c r="T56" s="340"/>
      <c r="U56" s="340"/>
      <c r="V56" s="346" t="s">
        <v>131</v>
      </c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/>
      <c r="B57" s="340"/>
      <c r="C57" s="200"/>
      <c r="D57" s="200"/>
      <c r="E57" s="200"/>
      <c r="F57" s="341"/>
      <c r="G57" s="342"/>
      <c r="H57" s="342"/>
      <c r="I57" s="342"/>
      <c r="J57" s="342"/>
      <c r="K57" s="342"/>
      <c r="L57" s="342"/>
      <c r="M57" s="343"/>
      <c r="N57" s="199"/>
      <c r="O57" s="124"/>
      <c r="P57" s="340"/>
      <c r="Q57" s="340"/>
      <c r="R57" s="340"/>
      <c r="S57" s="340"/>
      <c r="T57" s="340"/>
      <c r="U57" s="340"/>
      <c r="V57" s="346"/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200"/>
      <c r="D58" s="200"/>
      <c r="E58" s="200"/>
      <c r="F58" s="341"/>
      <c r="G58" s="342"/>
      <c r="H58" s="342"/>
      <c r="I58" s="342"/>
      <c r="J58" s="342"/>
      <c r="K58" s="342"/>
      <c r="L58" s="342"/>
      <c r="M58" s="343"/>
      <c r="N58" s="199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200"/>
      <c r="D59" s="200"/>
      <c r="E59" s="200"/>
      <c r="F59" s="341"/>
      <c r="G59" s="342"/>
      <c r="H59" s="342"/>
      <c r="I59" s="342"/>
      <c r="J59" s="342"/>
      <c r="K59" s="342"/>
      <c r="L59" s="342"/>
      <c r="M59" s="343"/>
      <c r="N59" s="199"/>
      <c r="O59" s="124"/>
      <c r="P59" s="344"/>
      <c r="Q59" s="345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</row>
    <row r="60" spans="1:32" ht="27" customHeight="1">
      <c r="A60" s="339"/>
      <c r="B60" s="340"/>
      <c r="C60" s="200"/>
      <c r="D60" s="200"/>
      <c r="E60" s="200"/>
      <c r="F60" s="346"/>
      <c r="G60" s="346"/>
      <c r="H60" s="346"/>
      <c r="I60" s="346"/>
      <c r="J60" s="346"/>
      <c r="K60" s="346"/>
      <c r="L60" s="346"/>
      <c r="M60" s="347"/>
      <c r="N60" s="199"/>
      <c r="O60" s="124"/>
      <c r="P60" s="344"/>
      <c r="Q60" s="345"/>
      <c r="R60" s="340"/>
      <c r="S60" s="340"/>
      <c r="T60" s="340"/>
      <c r="U60" s="340"/>
      <c r="V60" s="346"/>
      <c r="W60" s="346"/>
      <c r="X60" s="346"/>
      <c r="Y60" s="346"/>
      <c r="Z60" s="346"/>
      <c r="AA60" s="346"/>
      <c r="AB60" s="346"/>
      <c r="AC60" s="346"/>
      <c r="AD60" s="347"/>
    </row>
    <row r="61" spans="1:32" ht="27" customHeight="1">
      <c r="A61" s="339"/>
      <c r="B61" s="340"/>
      <c r="C61" s="200"/>
      <c r="D61" s="200"/>
      <c r="E61" s="200"/>
      <c r="F61" s="341"/>
      <c r="G61" s="342"/>
      <c r="H61" s="342"/>
      <c r="I61" s="342"/>
      <c r="J61" s="342"/>
      <c r="K61" s="342"/>
      <c r="L61" s="342"/>
      <c r="M61" s="343"/>
      <c r="N61" s="199"/>
      <c r="O61" s="124"/>
      <c r="P61" s="340"/>
      <c r="Q61" s="340"/>
      <c r="R61" s="340"/>
      <c r="S61" s="340"/>
      <c r="T61" s="340"/>
      <c r="U61" s="340"/>
      <c r="V61" s="346"/>
      <c r="W61" s="346"/>
      <c r="X61" s="346"/>
      <c r="Y61" s="346"/>
      <c r="Z61" s="346"/>
      <c r="AA61" s="346"/>
      <c r="AB61" s="346"/>
      <c r="AC61" s="346"/>
      <c r="AD61" s="347"/>
      <c r="AF61" s="93">
        <f>8*3000</f>
        <v>24000</v>
      </c>
    </row>
    <row r="62" spans="1:32" ht="27" customHeight="1" thickBot="1">
      <c r="A62" s="348"/>
      <c r="B62" s="349"/>
      <c r="C62" s="202"/>
      <c r="D62" s="202"/>
      <c r="E62" s="202"/>
      <c r="F62" s="350"/>
      <c r="G62" s="350"/>
      <c r="H62" s="350"/>
      <c r="I62" s="350"/>
      <c r="J62" s="350"/>
      <c r="K62" s="350"/>
      <c r="L62" s="350"/>
      <c r="M62" s="351"/>
      <c r="N62" s="201"/>
      <c r="O62" s="120"/>
      <c r="P62" s="349"/>
      <c r="Q62" s="349"/>
      <c r="R62" s="349"/>
      <c r="S62" s="349"/>
      <c r="T62" s="349"/>
      <c r="U62" s="349"/>
      <c r="V62" s="352"/>
      <c r="W62" s="352"/>
      <c r="X62" s="352"/>
      <c r="Y62" s="352"/>
      <c r="Z62" s="352"/>
      <c r="AA62" s="352"/>
      <c r="AB62" s="352"/>
      <c r="AC62" s="352"/>
      <c r="AD62" s="353"/>
      <c r="AF62" s="93">
        <f>16*3000</f>
        <v>48000</v>
      </c>
    </row>
    <row r="63" spans="1:32" ht="27.75" thickBot="1">
      <c r="A63" s="354" t="s">
        <v>280</v>
      </c>
      <c r="B63" s="354"/>
      <c r="C63" s="354"/>
      <c r="D63" s="354"/>
      <c r="E63" s="354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355" t="s">
        <v>113</v>
      </c>
      <c r="B64" s="356"/>
      <c r="C64" s="203" t="s">
        <v>2</v>
      </c>
      <c r="D64" s="203" t="s">
        <v>37</v>
      </c>
      <c r="E64" s="203" t="s">
        <v>3</v>
      </c>
      <c r="F64" s="356" t="s">
        <v>110</v>
      </c>
      <c r="G64" s="356"/>
      <c r="H64" s="356"/>
      <c r="I64" s="356"/>
      <c r="J64" s="356"/>
      <c r="K64" s="356" t="s">
        <v>39</v>
      </c>
      <c r="L64" s="356"/>
      <c r="M64" s="203" t="s">
        <v>40</v>
      </c>
      <c r="N64" s="356" t="s">
        <v>41</v>
      </c>
      <c r="O64" s="356"/>
      <c r="P64" s="357" t="s">
        <v>42</v>
      </c>
      <c r="Q64" s="358"/>
      <c r="R64" s="357" t="s">
        <v>43</v>
      </c>
      <c r="S64" s="359"/>
      <c r="T64" s="359"/>
      <c r="U64" s="359"/>
      <c r="V64" s="359"/>
      <c r="W64" s="359"/>
      <c r="X64" s="359"/>
      <c r="Y64" s="359"/>
      <c r="Z64" s="359"/>
      <c r="AA64" s="358"/>
      <c r="AB64" s="356" t="s">
        <v>44</v>
      </c>
      <c r="AC64" s="356"/>
      <c r="AD64" s="360"/>
      <c r="AF64" s="93">
        <f>SUM(AF61:AF63)</f>
        <v>96000</v>
      </c>
    </row>
    <row r="65" spans="1:32" ht="25.5" customHeight="1">
      <c r="A65" s="361">
        <v>1</v>
      </c>
      <c r="B65" s="362"/>
      <c r="C65" s="123" t="s">
        <v>180</v>
      </c>
      <c r="D65" s="206"/>
      <c r="E65" s="204" t="s">
        <v>135</v>
      </c>
      <c r="F65" s="363" t="s">
        <v>279</v>
      </c>
      <c r="G65" s="364"/>
      <c r="H65" s="364"/>
      <c r="I65" s="364"/>
      <c r="J65" s="364"/>
      <c r="K65" s="364" t="s">
        <v>231</v>
      </c>
      <c r="L65" s="364"/>
      <c r="M65" s="54" t="s">
        <v>223</v>
      </c>
      <c r="N65" s="364">
        <v>7</v>
      </c>
      <c r="O65" s="364"/>
      <c r="P65" s="365"/>
      <c r="Q65" s="365"/>
      <c r="R65" s="346" t="s">
        <v>281</v>
      </c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2</v>
      </c>
      <c r="B66" s="362"/>
      <c r="C66" s="123" t="s">
        <v>283</v>
      </c>
      <c r="D66" s="206"/>
      <c r="E66" s="204"/>
      <c r="F66" s="363" t="s">
        <v>282</v>
      </c>
      <c r="G66" s="364"/>
      <c r="H66" s="364"/>
      <c r="I66" s="364"/>
      <c r="J66" s="364"/>
      <c r="K66" s="364"/>
      <c r="L66" s="364"/>
      <c r="M66" s="54"/>
      <c r="N66" s="364">
        <v>8</v>
      </c>
      <c r="O66" s="364"/>
      <c r="P66" s="365">
        <v>200</v>
      </c>
      <c r="Q66" s="365"/>
      <c r="R66" s="346" t="s">
        <v>284</v>
      </c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3</v>
      </c>
      <c r="B67" s="362"/>
      <c r="C67" s="123"/>
      <c r="D67" s="206"/>
      <c r="E67" s="204"/>
      <c r="F67" s="363"/>
      <c r="G67" s="364"/>
      <c r="H67" s="364"/>
      <c r="I67" s="364"/>
      <c r="J67" s="364"/>
      <c r="K67" s="364"/>
      <c r="L67" s="364"/>
      <c r="M67" s="54"/>
      <c r="N67" s="364"/>
      <c r="O67" s="364"/>
      <c r="P67" s="365"/>
      <c r="Q67" s="365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4</v>
      </c>
      <c r="B68" s="362"/>
      <c r="C68" s="123"/>
      <c r="D68" s="206"/>
      <c r="E68" s="204"/>
      <c r="F68" s="363"/>
      <c r="G68" s="364"/>
      <c r="H68" s="364"/>
      <c r="I68" s="364"/>
      <c r="J68" s="364"/>
      <c r="K68" s="364"/>
      <c r="L68" s="364"/>
      <c r="M68" s="54"/>
      <c r="N68" s="364"/>
      <c r="O68" s="364"/>
      <c r="P68" s="365"/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5</v>
      </c>
      <c r="B69" s="362"/>
      <c r="C69" s="123"/>
      <c r="D69" s="206"/>
      <c r="E69" s="204"/>
      <c r="F69" s="363"/>
      <c r="G69" s="364"/>
      <c r="H69" s="364"/>
      <c r="I69" s="364"/>
      <c r="J69" s="364"/>
      <c r="K69" s="364"/>
      <c r="L69" s="364"/>
      <c r="M69" s="54"/>
      <c r="N69" s="364"/>
      <c r="O69" s="364"/>
      <c r="P69" s="365"/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6</v>
      </c>
      <c r="B70" s="362"/>
      <c r="C70" s="123"/>
      <c r="D70" s="206"/>
      <c r="E70" s="204"/>
      <c r="F70" s="363"/>
      <c r="G70" s="364"/>
      <c r="H70" s="364"/>
      <c r="I70" s="364"/>
      <c r="J70" s="364"/>
      <c r="K70" s="364"/>
      <c r="L70" s="364"/>
      <c r="M70" s="54"/>
      <c r="N70" s="364"/>
      <c r="O70" s="364"/>
      <c r="P70" s="365"/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5.5" customHeight="1">
      <c r="A71" s="361">
        <v>7</v>
      </c>
      <c r="B71" s="362"/>
      <c r="C71" s="123"/>
      <c r="D71" s="206"/>
      <c r="E71" s="204"/>
      <c r="F71" s="363"/>
      <c r="G71" s="364"/>
      <c r="H71" s="364"/>
      <c r="I71" s="364"/>
      <c r="J71" s="364"/>
      <c r="K71" s="364"/>
      <c r="L71" s="364"/>
      <c r="M71" s="54"/>
      <c r="N71" s="364"/>
      <c r="O71" s="364"/>
      <c r="P71" s="365"/>
      <c r="Q71" s="365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64"/>
      <c r="AC71" s="364"/>
      <c r="AD71" s="366"/>
      <c r="AF71" s="53"/>
    </row>
    <row r="72" spans="1:32" ht="25.5" customHeight="1">
      <c r="A72" s="361">
        <v>8</v>
      </c>
      <c r="B72" s="362"/>
      <c r="C72" s="123"/>
      <c r="D72" s="206"/>
      <c r="E72" s="204"/>
      <c r="F72" s="363"/>
      <c r="G72" s="364"/>
      <c r="H72" s="364"/>
      <c r="I72" s="364"/>
      <c r="J72" s="364"/>
      <c r="K72" s="364"/>
      <c r="L72" s="364"/>
      <c r="M72" s="54"/>
      <c r="N72" s="364"/>
      <c r="O72" s="364"/>
      <c r="P72" s="365"/>
      <c r="Q72" s="365"/>
      <c r="R72" s="346"/>
      <c r="S72" s="346"/>
      <c r="T72" s="346"/>
      <c r="U72" s="346"/>
      <c r="V72" s="346"/>
      <c r="W72" s="346"/>
      <c r="X72" s="346"/>
      <c r="Y72" s="346"/>
      <c r="Z72" s="346"/>
      <c r="AA72" s="346"/>
      <c r="AB72" s="364"/>
      <c r="AC72" s="364"/>
      <c r="AD72" s="366"/>
      <c r="AF72" s="53"/>
    </row>
    <row r="73" spans="1:32" ht="26.25" customHeight="1" thickBot="1">
      <c r="A73" s="367" t="s">
        <v>285</v>
      </c>
      <c r="B73" s="367"/>
      <c r="C73" s="367"/>
      <c r="D73" s="367"/>
      <c r="E73" s="36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68" t="s">
        <v>113</v>
      </c>
      <c r="B74" s="369"/>
      <c r="C74" s="205" t="s">
        <v>2</v>
      </c>
      <c r="D74" s="205" t="s">
        <v>37</v>
      </c>
      <c r="E74" s="205" t="s">
        <v>3</v>
      </c>
      <c r="F74" s="369" t="s">
        <v>38</v>
      </c>
      <c r="G74" s="369"/>
      <c r="H74" s="369"/>
      <c r="I74" s="369"/>
      <c r="J74" s="369"/>
      <c r="K74" s="370" t="s">
        <v>58</v>
      </c>
      <c r="L74" s="371"/>
      <c r="M74" s="371"/>
      <c r="N74" s="371"/>
      <c r="O74" s="371"/>
      <c r="P74" s="371"/>
      <c r="Q74" s="371"/>
      <c r="R74" s="371"/>
      <c r="S74" s="372"/>
      <c r="T74" s="369" t="s">
        <v>49</v>
      </c>
      <c r="U74" s="369"/>
      <c r="V74" s="370" t="s">
        <v>50</v>
      </c>
      <c r="W74" s="372"/>
      <c r="X74" s="371" t="s">
        <v>51</v>
      </c>
      <c r="Y74" s="371"/>
      <c r="Z74" s="371"/>
      <c r="AA74" s="371"/>
      <c r="AB74" s="371"/>
      <c r="AC74" s="371"/>
      <c r="AD74" s="373"/>
      <c r="AF74" s="53"/>
    </row>
    <row r="75" spans="1:32" ht="33.75" customHeight="1">
      <c r="A75" s="382">
        <v>1</v>
      </c>
      <c r="B75" s="383"/>
      <c r="C75" s="207" t="s">
        <v>114</v>
      </c>
      <c r="D75" s="207"/>
      <c r="E75" s="71" t="s">
        <v>122</v>
      </c>
      <c r="F75" s="384" t="s">
        <v>121</v>
      </c>
      <c r="G75" s="385"/>
      <c r="H75" s="385"/>
      <c r="I75" s="385"/>
      <c r="J75" s="386"/>
      <c r="K75" s="387" t="s">
        <v>123</v>
      </c>
      <c r="L75" s="388"/>
      <c r="M75" s="388"/>
      <c r="N75" s="388"/>
      <c r="O75" s="388"/>
      <c r="P75" s="388"/>
      <c r="Q75" s="388"/>
      <c r="R75" s="388"/>
      <c r="S75" s="389"/>
      <c r="T75" s="390">
        <v>43384</v>
      </c>
      <c r="U75" s="391"/>
      <c r="V75" s="392"/>
      <c r="W75" s="392"/>
      <c r="X75" s="393"/>
      <c r="Y75" s="393"/>
      <c r="Z75" s="393"/>
      <c r="AA75" s="393"/>
      <c r="AB75" s="393"/>
      <c r="AC75" s="393"/>
      <c r="AD75" s="394"/>
      <c r="AF75" s="53"/>
    </row>
    <row r="76" spans="1:32" ht="30" customHeight="1">
      <c r="A76" s="374">
        <f>A75+1</f>
        <v>2</v>
      </c>
      <c r="B76" s="375"/>
      <c r="C76" s="206"/>
      <c r="D76" s="206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ref="A77:A83" si="19">A76+1</f>
        <v>3</v>
      </c>
      <c r="B77" s="375"/>
      <c r="C77" s="206"/>
      <c r="D77" s="206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19"/>
        <v>4</v>
      </c>
      <c r="B78" s="375"/>
      <c r="C78" s="206"/>
      <c r="D78" s="206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19"/>
        <v>5</v>
      </c>
      <c r="B79" s="375"/>
      <c r="C79" s="206"/>
      <c r="D79" s="206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19"/>
        <v>6</v>
      </c>
      <c r="B80" s="375"/>
      <c r="C80" s="206"/>
      <c r="D80" s="206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19"/>
        <v>7</v>
      </c>
      <c r="B81" s="375"/>
      <c r="C81" s="206"/>
      <c r="D81" s="206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0" customHeight="1">
      <c r="A82" s="374">
        <f t="shared" si="19"/>
        <v>8</v>
      </c>
      <c r="B82" s="375"/>
      <c r="C82" s="206"/>
      <c r="D82" s="206"/>
      <c r="E82" s="35"/>
      <c r="F82" s="375"/>
      <c r="G82" s="375"/>
      <c r="H82" s="375"/>
      <c r="I82" s="375"/>
      <c r="J82" s="375"/>
      <c r="K82" s="376"/>
      <c r="L82" s="377"/>
      <c r="M82" s="377"/>
      <c r="N82" s="377"/>
      <c r="O82" s="377"/>
      <c r="P82" s="377"/>
      <c r="Q82" s="377"/>
      <c r="R82" s="377"/>
      <c r="S82" s="378"/>
      <c r="T82" s="379"/>
      <c r="U82" s="379"/>
      <c r="V82" s="379"/>
      <c r="W82" s="379"/>
      <c r="X82" s="380"/>
      <c r="Y82" s="380"/>
      <c r="Z82" s="380"/>
      <c r="AA82" s="380"/>
      <c r="AB82" s="380"/>
      <c r="AC82" s="380"/>
      <c r="AD82" s="381"/>
      <c r="AF82" s="53"/>
    </row>
    <row r="83" spans="1:32" ht="30" customHeight="1">
      <c r="A83" s="374">
        <f t="shared" si="19"/>
        <v>9</v>
      </c>
      <c r="B83" s="375"/>
      <c r="C83" s="206"/>
      <c r="D83" s="206"/>
      <c r="E83" s="35"/>
      <c r="F83" s="375"/>
      <c r="G83" s="375"/>
      <c r="H83" s="375"/>
      <c r="I83" s="375"/>
      <c r="J83" s="375"/>
      <c r="K83" s="376"/>
      <c r="L83" s="377"/>
      <c r="M83" s="377"/>
      <c r="N83" s="377"/>
      <c r="O83" s="377"/>
      <c r="P83" s="377"/>
      <c r="Q83" s="377"/>
      <c r="R83" s="377"/>
      <c r="S83" s="378"/>
      <c r="T83" s="379"/>
      <c r="U83" s="379"/>
      <c r="V83" s="379"/>
      <c r="W83" s="379"/>
      <c r="X83" s="380"/>
      <c r="Y83" s="380"/>
      <c r="Z83" s="380"/>
      <c r="AA83" s="380"/>
      <c r="AB83" s="380"/>
      <c r="AC83" s="380"/>
      <c r="AD83" s="381"/>
      <c r="AF83" s="53"/>
    </row>
    <row r="84" spans="1:32" ht="36" thickBot="1">
      <c r="A84" s="367" t="s">
        <v>286</v>
      </c>
      <c r="B84" s="367"/>
      <c r="C84" s="367"/>
      <c r="D84" s="367"/>
      <c r="E84" s="36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68" t="s">
        <v>113</v>
      </c>
      <c r="B85" s="369"/>
      <c r="C85" s="395" t="s">
        <v>52</v>
      </c>
      <c r="D85" s="395"/>
      <c r="E85" s="395" t="s">
        <v>53</v>
      </c>
      <c r="F85" s="395"/>
      <c r="G85" s="395"/>
      <c r="H85" s="395"/>
      <c r="I85" s="395"/>
      <c r="J85" s="395"/>
      <c r="K85" s="395" t="s">
        <v>54</v>
      </c>
      <c r="L85" s="395"/>
      <c r="M85" s="395"/>
      <c r="N85" s="395"/>
      <c r="O85" s="395"/>
      <c r="P85" s="395"/>
      <c r="Q85" s="395"/>
      <c r="R85" s="395"/>
      <c r="S85" s="395"/>
      <c r="T85" s="395" t="s">
        <v>55</v>
      </c>
      <c r="U85" s="395"/>
      <c r="V85" s="395" t="s">
        <v>56</v>
      </c>
      <c r="W85" s="395"/>
      <c r="X85" s="395"/>
      <c r="Y85" s="395" t="s">
        <v>51</v>
      </c>
      <c r="Z85" s="395"/>
      <c r="AA85" s="395"/>
      <c r="AB85" s="395"/>
      <c r="AC85" s="395"/>
      <c r="AD85" s="396"/>
      <c r="AF85" s="53"/>
    </row>
    <row r="86" spans="1:32" ht="30.75" customHeight="1">
      <c r="A86" s="382">
        <v>1</v>
      </c>
      <c r="B86" s="383"/>
      <c r="C86" s="397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8"/>
      <c r="W86" s="398"/>
      <c r="X86" s="398"/>
      <c r="Y86" s="399"/>
      <c r="Z86" s="399"/>
      <c r="AA86" s="399"/>
      <c r="AB86" s="399"/>
      <c r="AC86" s="399"/>
      <c r="AD86" s="400"/>
      <c r="AF86" s="53"/>
    </row>
    <row r="87" spans="1:32" ht="30.75" customHeight="1">
      <c r="A87" s="374">
        <v>2</v>
      </c>
      <c r="B87" s="375"/>
      <c r="C87" s="408"/>
      <c r="D87" s="408"/>
      <c r="E87" s="408"/>
      <c r="F87" s="408"/>
      <c r="G87" s="408"/>
      <c r="H87" s="408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9"/>
      <c r="U87" s="409"/>
      <c r="V87" s="410"/>
      <c r="W87" s="410"/>
      <c r="X87" s="410"/>
      <c r="Y87" s="401"/>
      <c r="Z87" s="401"/>
      <c r="AA87" s="401"/>
      <c r="AB87" s="401"/>
      <c r="AC87" s="401"/>
      <c r="AD87" s="402"/>
      <c r="AF87" s="53"/>
    </row>
    <row r="88" spans="1:32" ht="30.75" customHeight="1" thickBot="1">
      <c r="A88" s="403">
        <v>3</v>
      </c>
      <c r="B88" s="404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05"/>
      <c r="O88" s="405"/>
      <c r="P88" s="405"/>
      <c r="Q88" s="405"/>
      <c r="R88" s="405"/>
      <c r="S88" s="405"/>
      <c r="T88" s="405"/>
      <c r="U88" s="405"/>
      <c r="V88" s="405"/>
      <c r="W88" s="405"/>
      <c r="X88" s="405"/>
      <c r="Y88" s="406"/>
      <c r="Z88" s="406"/>
      <c r="AA88" s="406"/>
      <c r="AB88" s="406"/>
      <c r="AC88" s="406"/>
      <c r="AD88" s="407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5FC7-1B02-4F21-8587-CFFDA756A11C}">
  <sheetPr>
    <pageSetUpPr fitToPage="1"/>
  </sheetPr>
  <dimension ref="A1:AF87"/>
  <sheetViews>
    <sheetView zoomScale="72" zoomScaleNormal="72" zoomScaleSheetLayoutView="70" workbookViewId="0">
      <selection activeCell="T15" sqref="T1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7.375" style="53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298" t="s">
        <v>287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299"/>
      <c r="B3" s="299"/>
      <c r="C3" s="299"/>
      <c r="D3" s="299"/>
      <c r="E3" s="299"/>
      <c r="F3" s="299"/>
      <c r="G3" s="29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00" t="s">
        <v>0</v>
      </c>
      <c r="B4" s="302" t="s">
        <v>1</v>
      </c>
      <c r="C4" s="302" t="s">
        <v>2</v>
      </c>
      <c r="D4" s="305" t="s">
        <v>3</v>
      </c>
      <c r="E4" s="307" t="s">
        <v>4</v>
      </c>
      <c r="F4" s="305" t="s">
        <v>5</v>
      </c>
      <c r="G4" s="302" t="s">
        <v>6</v>
      </c>
      <c r="H4" s="308" t="s">
        <v>7</v>
      </c>
      <c r="I4" s="329" t="s">
        <v>8</v>
      </c>
      <c r="J4" s="330"/>
      <c r="K4" s="330"/>
      <c r="L4" s="330"/>
      <c r="M4" s="330"/>
      <c r="N4" s="330"/>
      <c r="O4" s="331"/>
      <c r="P4" s="332" t="s">
        <v>9</v>
      </c>
      <c r="Q4" s="333"/>
      <c r="R4" s="334" t="s">
        <v>10</v>
      </c>
      <c r="S4" s="334"/>
      <c r="T4" s="334"/>
      <c r="U4" s="334"/>
      <c r="V4" s="334"/>
      <c r="W4" s="335" t="s">
        <v>11</v>
      </c>
      <c r="X4" s="334"/>
      <c r="Y4" s="334"/>
      <c r="Z4" s="334"/>
      <c r="AA4" s="336"/>
      <c r="AB4" s="337" t="s">
        <v>12</v>
      </c>
      <c r="AC4" s="310" t="s">
        <v>13</v>
      </c>
      <c r="AD4" s="310" t="s">
        <v>14</v>
      </c>
      <c r="AE4" s="58"/>
    </row>
    <row r="5" spans="1:32" ht="51" customHeight="1" thickBot="1">
      <c r="A5" s="301"/>
      <c r="B5" s="303"/>
      <c r="C5" s="304"/>
      <c r="D5" s="306"/>
      <c r="E5" s="306"/>
      <c r="F5" s="306"/>
      <c r="G5" s="303"/>
      <c r="H5" s="309"/>
      <c r="I5" s="59" t="s">
        <v>15</v>
      </c>
      <c r="J5" s="60" t="s">
        <v>16</v>
      </c>
      <c r="K5" s="218" t="s">
        <v>17</v>
      </c>
      <c r="L5" s="218" t="s">
        <v>18</v>
      </c>
      <c r="M5" s="218" t="s">
        <v>19</v>
      </c>
      <c r="N5" s="21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38"/>
      <c r="AC5" s="311"/>
      <c r="AD5" s="31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 t="shared" ref="K6:K16" si="0">L6</f>
        <v>0</v>
      </c>
      <c r="L6" s="15"/>
      <c r="M6" s="16">
        <f t="shared" ref="M6:M21" si="1">L6-N6</f>
        <v>0</v>
      </c>
      <c r="N6" s="16">
        <v>0</v>
      </c>
      <c r="O6" s="62" t="str">
        <f t="shared" ref="O6:O22" si="2">IF(L6=0,"0",N6/L6)</f>
        <v>0</v>
      </c>
      <c r="P6" s="42" t="str">
        <f t="shared" ref="P6:P21" si="3">IF(L6=0,"0",(24-Q6))</f>
        <v>0</v>
      </c>
      <c r="Q6" s="43">
        <f t="shared" ref="Q6:Q21" si="4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9">
        <f t="shared" ref="AE6:AE21" si="8">$AD$22</f>
        <v>0.37222222222222229</v>
      </c>
      <c r="AF6" s="93">
        <f t="shared" ref="AF6:AF21" si="9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 t="shared" si="0"/>
        <v>0</v>
      </c>
      <c r="L7" s="15"/>
      <c r="M7" s="16">
        <f t="shared" si="1"/>
        <v>0</v>
      </c>
      <c r="N7" s="16">
        <v>0</v>
      </c>
      <c r="O7" s="62" t="str">
        <f t="shared" si="2"/>
        <v>0</v>
      </c>
      <c r="P7" s="42" t="str">
        <f t="shared" si="3"/>
        <v>0</v>
      </c>
      <c r="Q7" s="43">
        <f t="shared" si="4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9">
        <f t="shared" si="8"/>
        <v>0.37222222222222229</v>
      </c>
      <c r="AF7" s="93">
        <f t="shared" si="9"/>
        <v>2</v>
      </c>
    </row>
    <row r="8" spans="1:32" ht="27" customHeight="1">
      <c r="A8" s="108">
        <v>3</v>
      </c>
      <c r="B8" s="11" t="s">
        <v>57</v>
      </c>
      <c r="C8" s="37" t="s">
        <v>180</v>
      </c>
      <c r="D8" s="55" t="s">
        <v>120</v>
      </c>
      <c r="E8" s="57" t="s">
        <v>288</v>
      </c>
      <c r="F8" s="33" t="s">
        <v>289</v>
      </c>
      <c r="G8" s="36">
        <v>1</v>
      </c>
      <c r="H8" s="38">
        <v>24</v>
      </c>
      <c r="I8" s="7">
        <v>200</v>
      </c>
      <c r="J8" s="5">
        <v>200</v>
      </c>
      <c r="K8" s="15">
        <f>L8</f>
        <v>200</v>
      </c>
      <c r="L8" s="15">
        <v>200</v>
      </c>
      <c r="M8" s="16">
        <f t="shared" si="1"/>
        <v>200</v>
      </c>
      <c r="N8" s="16">
        <v>0</v>
      </c>
      <c r="O8" s="62">
        <f t="shared" si="2"/>
        <v>0</v>
      </c>
      <c r="P8" s="42">
        <f t="shared" si="3"/>
        <v>3</v>
      </c>
      <c r="Q8" s="43">
        <f t="shared" si="4"/>
        <v>21</v>
      </c>
      <c r="R8" s="7"/>
      <c r="S8" s="6"/>
      <c r="T8" s="17"/>
      <c r="U8" s="17"/>
      <c r="V8" s="18"/>
      <c r="W8" s="19">
        <v>21</v>
      </c>
      <c r="X8" s="17"/>
      <c r="Y8" s="20"/>
      <c r="Z8" s="20"/>
      <c r="AA8" s="21"/>
      <c r="AB8" s="8">
        <f t="shared" si="5"/>
        <v>1</v>
      </c>
      <c r="AC8" s="9">
        <f t="shared" si="6"/>
        <v>0.125</v>
      </c>
      <c r="AD8" s="10">
        <f t="shared" si="7"/>
        <v>0.125</v>
      </c>
      <c r="AE8" s="39">
        <f t="shared" si="8"/>
        <v>0.37222222222222229</v>
      </c>
      <c r="AF8" s="93">
        <f t="shared" si="9"/>
        <v>3</v>
      </c>
    </row>
    <row r="9" spans="1:32" ht="27" customHeight="1">
      <c r="A9" s="108">
        <v>3</v>
      </c>
      <c r="B9" s="11" t="s">
        <v>57</v>
      </c>
      <c r="C9" s="37" t="s">
        <v>180</v>
      </c>
      <c r="D9" s="55" t="s">
        <v>120</v>
      </c>
      <c r="E9" s="57" t="s">
        <v>278</v>
      </c>
      <c r="F9" s="33" t="s">
        <v>179</v>
      </c>
      <c r="G9" s="36">
        <v>1</v>
      </c>
      <c r="H9" s="38">
        <v>24</v>
      </c>
      <c r="I9" s="7">
        <v>29000</v>
      </c>
      <c r="J9" s="5">
        <v>3139</v>
      </c>
      <c r="K9" s="15">
        <f>L9</f>
        <v>3139</v>
      </c>
      <c r="L9" s="15">
        <f>394+2745</f>
        <v>3139</v>
      </c>
      <c r="M9" s="16">
        <f t="shared" ref="M9" si="10">L9-N9</f>
        <v>3139</v>
      </c>
      <c r="N9" s="16">
        <v>0</v>
      </c>
      <c r="O9" s="62">
        <f t="shared" ref="O9" si="11">IF(L9=0,"0",N9/L9)</f>
        <v>0</v>
      </c>
      <c r="P9" s="42">
        <f t="shared" ref="P9" si="12">IF(L9=0,"0",(24-Q9))</f>
        <v>18</v>
      </c>
      <c r="Q9" s="43">
        <f t="shared" ref="Q9" si="13">SUM(R9:AA9)</f>
        <v>6</v>
      </c>
      <c r="R9" s="7"/>
      <c r="S9" s="6"/>
      <c r="T9" s="17">
        <v>6</v>
      </c>
      <c r="U9" s="17"/>
      <c r="V9" s="18"/>
      <c r="W9" s="19"/>
      <c r="X9" s="17"/>
      <c r="Y9" s="20"/>
      <c r="Z9" s="20"/>
      <c r="AA9" s="21"/>
      <c r="AB9" s="8">
        <f t="shared" ref="AB9" si="14">IF(J9=0,"0",(L9/J9))</f>
        <v>1</v>
      </c>
      <c r="AC9" s="9">
        <f t="shared" ref="AC9" si="15">IF(P9=0,"0",(P9/24))</f>
        <v>0.75</v>
      </c>
      <c r="AD9" s="10">
        <f t="shared" ref="AD9" si="16">AC9*AB9*(1-O9)</f>
        <v>0.75</v>
      </c>
      <c r="AE9" s="39">
        <f t="shared" si="8"/>
        <v>0.37222222222222229</v>
      </c>
      <c r="AF9" s="93">
        <f t="shared" ref="AF9" si="17">A9</f>
        <v>3</v>
      </c>
    </row>
    <row r="10" spans="1:32" ht="27" customHeight="1">
      <c r="A10" s="109">
        <v>4</v>
      </c>
      <c r="B10" s="11" t="s">
        <v>57</v>
      </c>
      <c r="C10" s="11" t="s">
        <v>180</v>
      </c>
      <c r="D10" s="55" t="s">
        <v>220</v>
      </c>
      <c r="E10" s="57" t="s">
        <v>221</v>
      </c>
      <c r="F10" s="33" t="s">
        <v>222</v>
      </c>
      <c r="G10" s="36">
        <v>1</v>
      </c>
      <c r="H10" s="38">
        <v>24</v>
      </c>
      <c r="I10" s="7">
        <v>31000</v>
      </c>
      <c r="J10" s="14">
        <v>2861</v>
      </c>
      <c r="K10" s="15">
        <f>L10+2861</f>
        <v>5722</v>
      </c>
      <c r="L10" s="15">
        <f>484+2377</f>
        <v>2861</v>
      </c>
      <c r="M10" s="16">
        <f t="shared" si="1"/>
        <v>2861</v>
      </c>
      <c r="N10" s="16">
        <v>0</v>
      </c>
      <c r="O10" s="62">
        <f t="shared" si="2"/>
        <v>0</v>
      </c>
      <c r="P10" s="42">
        <f t="shared" si="3"/>
        <v>14</v>
      </c>
      <c r="Q10" s="43">
        <f t="shared" si="4"/>
        <v>10</v>
      </c>
      <c r="R10" s="7"/>
      <c r="S10" s="6">
        <v>10</v>
      </c>
      <c r="T10" s="17"/>
      <c r="U10" s="17"/>
      <c r="V10" s="18"/>
      <c r="W10" s="19"/>
      <c r="X10" s="17"/>
      <c r="Y10" s="20"/>
      <c r="Z10" s="20"/>
      <c r="AA10" s="21"/>
      <c r="AB10" s="8">
        <f t="shared" si="5"/>
        <v>1</v>
      </c>
      <c r="AC10" s="9">
        <f t="shared" si="6"/>
        <v>0.58333333333333337</v>
      </c>
      <c r="AD10" s="10">
        <f t="shared" si="7"/>
        <v>0.58333333333333337</v>
      </c>
      <c r="AE10" s="39">
        <f t="shared" si="8"/>
        <v>0.37222222222222229</v>
      </c>
      <c r="AF10" s="93">
        <f t="shared" si="9"/>
        <v>4</v>
      </c>
    </row>
    <row r="11" spans="1:32" ht="27" customHeight="1">
      <c r="A11" s="109">
        <v>5</v>
      </c>
      <c r="B11" s="11" t="s">
        <v>57</v>
      </c>
      <c r="C11" s="11" t="s">
        <v>119</v>
      </c>
      <c r="D11" s="55" t="s">
        <v>158</v>
      </c>
      <c r="E11" s="57" t="s">
        <v>141</v>
      </c>
      <c r="F11" s="12" t="s">
        <v>116</v>
      </c>
      <c r="G11" s="12">
        <v>1</v>
      </c>
      <c r="H11" s="13">
        <v>20</v>
      </c>
      <c r="I11" s="7">
        <v>5000</v>
      </c>
      <c r="J11" s="14">
        <v>7898</v>
      </c>
      <c r="K11" s="15">
        <f>L11</f>
        <v>7898</v>
      </c>
      <c r="L11" s="15">
        <f>3178+4720</f>
        <v>7898</v>
      </c>
      <c r="M11" s="16">
        <f t="shared" si="1"/>
        <v>7898</v>
      </c>
      <c r="N11" s="16">
        <v>0</v>
      </c>
      <c r="O11" s="62">
        <f t="shared" si="2"/>
        <v>0</v>
      </c>
      <c r="P11" s="42">
        <f t="shared" si="3"/>
        <v>24</v>
      </c>
      <c r="Q11" s="43">
        <f t="shared" si="4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5"/>
        <v>1</v>
      </c>
      <c r="AC11" s="9">
        <f t="shared" si="6"/>
        <v>1</v>
      </c>
      <c r="AD11" s="10">
        <f t="shared" si="7"/>
        <v>1</v>
      </c>
      <c r="AE11" s="39">
        <f t="shared" si="8"/>
        <v>0.37222222222222229</v>
      </c>
      <c r="AF11" s="93">
        <f t="shared" si="9"/>
        <v>5</v>
      </c>
    </row>
    <row r="12" spans="1:32" ht="27" customHeight="1">
      <c r="A12" s="109">
        <v>6</v>
      </c>
      <c r="B12" s="11" t="s">
        <v>57</v>
      </c>
      <c r="C12" s="11" t="s">
        <v>119</v>
      </c>
      <c r="D12" s="55" t="s">
        <v>220</v>
      </c>
      <c r="E12" s="57" t="s">
        <v>239</v>
      </c>
      <c r="F12" s="12" t="s">
        <v>125</v>
      </c>
      <c r="G12" s="12">
        <v>2</v>
      </c>
      <c r="H12" s="13">
        <v>24</v>
      </c>
      <c r="I12" s="7">
        <v>60000</v>
      </c>
      <c r="J12" s="14">
        <v>11216</v>
      </c>
      <c r="K12" s="15">
        <f>L12</f>
        <v>11216</v>
      </c>
      <c r="L12" s="15">
        <f>2200*2+3408*2</f>
        <v>11216</v>
      </c>
      <c r="M12" s="16">
        <f t="shared" si="1"/>
        <v>11216</v>
      </c>
      <c r="N12" s="16">
        <v>0</v>
      </c>
      <c r="O12" s="62">
        <f t="shared" si="2"/>
        <v>0</v>
      </c>
      <c r="P12" s="42">
        <f t="shared" si="3"/>
        <v>23</v>
      </c>
      <c r="Q12" s="43">
        <f t="shared" si="4"/>
        <v>1</v>
      </c>
      <c r="R12" s="7"/>
      <c r="S12" s="6"/>
      <c r="T12" s="17">
        <v>1</v>
      </c>
      <c r="U12" s="17"/>
      <c r="V12" s="18"/>
      <c r="W12" s="19"/>
      <c r="X12" s="17"/>
      <c r="Y12" s="20"/>
      <c r="Z12" s="20"/>
      <c r="AA12" s="21"/>
      <c r="AB12" s="8">
        <f t="shared" si="5"/>
        <v>1</v>
      </c>
      <c r="AC12" s="9">
        <f t="shared" si="6"/>
        <v>0.95833333333333337</v>
      </c>
      <c r="AD12" s="10">
        <f t="shared" si="7"/>
        <v>0.95833333333333337</v>
      </c>
      <c r="AE12" s="39">
        <f t="shared" si="8"/>
        <v>0.37222222222222229</v>
      </c>
      <c r="AF12" s="93">
        <f t="shared" si="9"/>
        <v>6</v>
      </c>
    </row>
    <row r="13" spans="1:32" ht="27" customHeight="1">
      <c r="A13" s="109">
        <v>7</v>
      </c>
      <c r="B13" s="11" t="s">
        <v>57</v>
      </c>
      <c r="C13" s="11" t="s">
        <v>180</v>
      </c>
      <c r="D13" s="55" t="s">
        <v>135</v>
      </c>
      <c r="E13" s="57" t="s">
        <v>279</v>
      </c>
      <c r="F13" s="33" t="s">
        <v>290</v>
      </c>
      <c r="G13" s="36">
        <v>2</v>
      </c>
      <c r="H13" s="38">
        <v>20</v>
      </c>
      <c r="I13" s="7">
        <v>400</v>
      </c>
      <c r="J13" s="14">
        <v>400</v>
      </c>
      <c r="K13" s="15">
        <f>L13</f>
        <v>400</v>
      </c>
      <c r="L13" s="15">
        <v>400</v>
      </c>
      <c r="M13" s="16">
        <f t="shared" si="1"/>
        <v>400</v>
      </c>
      <c r="N13" s="16">
        <v>0</v>
      </c>
      <c r="O13" s="62">
        <f t="shared" si="2"/>
        <v>0</v>
      </c>
      <c r="P13" s="42">
        <f t="shared" si="3"/>
        <v>4</v>
      </c>
      <c r="Q13" s="43">
        <f t="shared" si="4"/>
        <v>20</v>
      </c>
      <c r="R13" s="7"/>
      <c r="S13" s="6"/>
      <c r="T13" s="17"/>
      <c r="U13" s="17"/>
      <c r="V13" s="18"/>
      <c r="W13" s="19">
        <v>20</v>
      </c>
      <c r="X13" s="17"/>
      <c r="Y13" s="20"/>
      <c r="Z13" s="20"/>
      <c r="AA13" s="21"/>
      <c r="AB13" s="8">
        <f t="shared" si="5"/>
        <v>1</v>
      </c>
      <c r="AC13" s="9">
        <f t="shared" si="6"/>
        <v>0.16666666666666666</v>
      </c>
      <c r="AD13" s="10">
        <f t="shared" si="7"/>
        <v>0.16666666666666666</v>
      </c>
      <c r="AE13" s="39">
        <f t="shared" si="8"/>
        <v>0.37222222222222229</v>
      </c>
      <c r="AF13" s="93">
        <f t="shared" si="9"/>
        <v>7</v>
      </c>
    </row>
    <row r="14" spans="1:32" ht="27" customHeight="1">
      <c r="A14" s="109">
        <v>8</v>
      </c>
      <c r="B14" s="11"/>
      <c r="C14" s="11"/>
      <c r="D14" s="55"/>
      <c r="E14" s="57"/>
      <c r="F14" s="33"/>
      <c r="G14" s="36"/>
      <c r="H14" s="38"/>
      <c r="I14" s="7"/>
      <c r="J14" s="14"/>
      <c r="K14" s="15"/>
      <c r="L14" s="15"/>
      <c r="M14" s="16">
        <f t="shared" si="1"/>
        <v>0</v>
      </c>
      <c r="N14" s="16">
        <v>0</v>
      </c>
      <c r="O14" s="62" t="str">
        <f t="shared" si="2"/>
        <v>0</v>
      </c>
      <c r="P14" s="42" t="str">
        <f t="shared" si="3"/>
        <v>0</v>
      </c>
      <c r="Q14" s="43">
        <f t="shared" si="4"/>
        <v>24</v>
      </c>
      <c r="R14" s="7"/>
      <c r="S14" s="6"/>
      <c r="T14" s="17"/>
      <c r="U14" s="17"/>
      <c r="V14" s="18"/>
      <c r="W14" s="19"/>
      <c r="X14" s="17"/>
      <c r="Y14" s="20"/>
      <c r="Z14" s="20"/>
      <c r="AA14" s="21">
        <v>24</v>
      </c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9">
        <f t="shared" si="8"/>
        <v>0.37222222222222229</v>
      </c>
      <c r="AF14" s="93">
        <f t="shared" si="9"/>
        <v>8</v>
      </c>
    </row>
    <row r="15" spans="1:32" ht="27" customHeight="1">
      <c r="A15" s="125">
        <v>9</v>
      </c>
      <c r="B15" s="11"/>
      <c r="C15" s="37"/>
      <c r="D15" s="55"/>
      <c r="E15" s="57"/>
      <c r="F15" s="33"/>
      <c r="G15" s="36"/>
      <c r="H15" s="38"/>
      <c r="I15" s="7"/>
      <c r="J15" s="5">
        <v>0</v>
      </c>
      <c r="K15" s="15">
        <f t="shared" si="0"/>
        <v>0</v>
      </c>
      <c r="L15" s="15"/>
      <c r="M15" s="16">
        <f t="shared" si="1"/>
        <v>0</v>
      </c>
      <c r="N15" s="16">
        <v>0</v>
      </c>
      <c r="O15" s="62" t="str">
        <f t="shared" si="2"/>
        <v>0</v>
      </c>
      <c r="P15" s="42" t="str">
        <f t="shared" si="3"/>
        <v>0</v>
      </c>
      <c r="Q15" s="43">
        <f t="shared" si="4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9">
        <f t="shared" si="8"/>
        <v>0.37222222222222229</v>
      </c>
      <c r="AF15" s="93">
        <f t="shared" si="9"/>
        <v>9</v>
      </c>
    </row>
    <row r="16" spans="1:32" ht="27" customHeight="1">
      <c r="A16" s="108">
        <v>10</v>
      </c>
      <c r="B16" s="11"/>
      <c r="C16" s="37"/>
      <c r="D16" s="55"/>
      <c r="E16" s="57"/>
      <c r="F16" s="12"/>
      <c r="G16" s="12"/>
      <c r="H16" s="13"/>
      <c r="I16" s="34"/>
      <c r="J16" s="14">
        <v>0</v>
      </c>
      <c r="K16" s="15">
        <f t="shared" si="0"/>
        <v>0</v>
      </c>
      <c r="L16" s="15"/>
      <c r="M16" s="16">
        <f t="shared" si="1"/>
        <v>0</v>
      </c>
      <c r="N16" s="16">
        <v>0</v>
      </c>
      <c r="O16" s="62" t="str">
        <f t="shared" si="2"/>
        <v>0</v>
      </c>
      <c r="P16" s="42" t="str">
        <f t="shared" si="3"/>
        <v>0</v>
      </c>
      <c r="Q16" s="43">
        <f t="shared" si="4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 t="str">
        <f t="shared" si="5"/>
        <v>0</v>
      </c>
      <c r="AC16" s="9">
        <f t="shared" si="6"/>
        <v>0</v>
      </c>
      <c r="AD16" s="10">
        <f t="shared" si="7"/>
        <v>0</v>
      </c>
      <c r="AE16" s="39">
        <f t="shared" si="8"/>
        <v>0.37222222222222229</v>
      </c>
      <c r="AF16" s="93">
        <f t="shared" si="9"/>
        <v>10</v>
      </c>
    </row>
    <row r="17" spans="1:32" ht="27" customHeight="1">
      <c r="A17" s="108">
        <v>11</v>
      </c>
      <c r="B17" s="11"/>
      <c r="C17" s="11"/>
      <c r="D17" s="55"/>
      <c r="E17" s="57"/>
      <c r="F17" s="12"/>
      <c r="G17" s="12"/>
      <c r="H17" s="13"/>
      <c r="I17" s="7"/>
      <c r="J17" s="14"/>
      <c r="K17" s="15"/>
      <c r="L17" s="15"/>
      <c r="M17" s="16">
        <f t="shared" si="1"/>
        <v>0</v>
      </c>
      <c r="N17" s="16">
        <v>0</v>
      </c>
      <c r="O17" s="62" t="str">
        <f t="shared" si="2"/>
        <v>0</v>
      </c>
      <c r="P17" s="42" t="str">
        <f t="shared" si="3"/>
        <v>0</v>
      </c>
      <c r="Q17" s="43">
        <f t="shared" si="4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 t="str">
        <f t="shared" si="5"/>
        <v>0</v>
      </c>
      <c r="AC17" s="9">
        <f t="shared" si="6"/>
        <v>0</v>
      </c>
      <c r="AD17" s="10">
        <f t="shared" si="7"/>
        <v>0</v>
      </c>
      <c r="AE17" s="39">
        <f t="shared" si="8"/>
        <v>0.37222222222222229</v>
      </c>
      <c r="AF17" s="93">
        <f t="shared" si="9"/>
        <v>11</v>
      </c>
    </row>
    <row r="18" spans="1:32" ht="27" customHeight="1">
      <c r="A18" s="108">
        <v>12</v>
      </c>
      <c r="B18" s="11"/>
      <c r="C18" s="37"/>
      <c r="D18" s="55"/>
      <c r="E18" s="57"/>
      <c r="F18" s="12"/>
      <c r="G18" s="12"/>
      <c r="H18" s="13"/>
      <c r="I18" s="34"/>
      <c r="J18" s="14"/>
      <c r="K18" s="15"/>
      <c r="L18" s="15"/>
      <c r="M18" s="16">
        <f t="shared" si="1"/>
        <v>0</v>
      </c>
      <c r="N18" s="16">
        <v>0</v>
      </c>
      <c r="O18" s="62" t="str">
        <f t="shared" si="2"/>
        <v>0</v>
      </c>
      <c r="P18" s="42" t="str">
        <f t="shared" si="3"/>
        <v>0</v>
      </c>
      <c r="Q18" s="43">
        <f t="shared" si="4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 t="str">
        <f t="shared" si="5"/>
        <v>0</v>
      </c>
      <c r="AC18" s="9">
        <f t="shared" si="6"/>
        <v>0</v>
      </c>
      <c r="AD18" s="10">
        <f t="shared" si="7"/>
        <v>0</v>
      </c>
      <c r="AE18" s="39">
        <f t="shared" si="8"/>
        <v>0.37222222222222229</v>
      </c>
      <c r="AF18" s="93">
        <f t="shared" si="9"/>
        <v>12</v>
      </c>
    </row>
    <row r="19" spans="1:32" ht="27" customHeight="1">
      <c r="A19" s="109">
        <v>13</v>
      </c>
      <c r="B19" s="11" t="s">
        <v>57</v>
      </c>
      <c r="C19" s="37" t="s">
        <v>119</v>
      </c>
      <c r="D19" s="55" t="s">
        <v>117</v>
      </c>
      <c r="E19" s="57" t="s">
        <v>209</v>
      </c>
      <c r="F19" s="33" t="s">
        <v>124</v>
      </c>
      <c r="G19" s="36">
        <v>2</v>
      </c>
      <c r="H19" s="38">
        <v>25</v>
      </c>
      <c r="I19" s="7">
        <v>60000</v>
      </c>
      <c r="J19" s="5">
        <v>10126</v>
      </c>
      <c r="K19" s="15">
        <f>L19+7486+10058+10374</f>
        <v>38044</v>
      </c>
      <c r="L19" s="15">
        <f>2763*2+2300*2</f>
        <v>10126</v>
      </c>
      <c r="M19" s="16">
        <f t="shared" si="1"/>
        <v>10126</v>
      </c>
      <c r="N19" s="16">
        <v>0</v>
      </c>
      <c r="O19" s="62">
        <f t="shared" si="2"/>
        <v>0</v>
      </c>
      <c r="P19" s="42">
        <f t="shared" si="3"/>
        <v>24</v>
      </c>
      <c r="Q19" s="43">
        <f t="shared" si="4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9">
        <f t="shared" si="8"/>
        <v>0.37222222222222229</v>
      </c>
      <c r="AF19" s="93">
        <f t="shared" si="9"/>
        <v>13</v>
      </c>
    </row>
    <row r="20" spans="1:32" ht="27" customHeight="1">
      <c r="A20" s="109">
        <v>14</v>
      </c>
      <c r="B20" s="11" t="s">
        <v>57</v>
      </c>
      <c r="C20" s="37" t="s">
        <v>180</v>
      </c>
      <c r="D20" s="55" t="s">
        <v>117</v>
      </c>
      <c r="E20" s="57" t="s">
        <v>274</v>
      </c>
      <c r="F20" s="12" t="s">
        <v>162</v>
      </c>
      <c r="G20" s="36">
        <v>1</v>
      </c>
      <c r="H20" s="38">
        <v>24</v>
      </c>
      <c r="I20" s="7">
        <v>30000</v>
      </c>
      <c r="J20" s="5">
        <v>5129</v>
      </c>
      <c r="K20" s="15">
        <f>L20+3291</f>
        <v>8420</v>
      </c>
      <c r="L20" s="15">
        <f>2766+2363</f>
        <v>5129</v>
      </c>
      <c r="M20" s="16">
        <f t="shared" si="1"/>
        <v>5129</v>
      </c>
      <c r="N20" s="16">
        <v>0</v>
      </c>
      <c r="O20" s="62">
        <f t="shared" si="2"/>
        <v>0</v>
      </c>
      <c r="P20" s="42">
        <f t="shared" si="3"/>
        <v>24</v>
      </c>
      <c r="Q20" s="43">
        <f t="shared" si="4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9">
        <f t="shared" si="8"/>
        <v>0.37222222222222229</v>
      </c>
      <c r="AF20" s="93">
        <f t="shared" si="9"/>
        <v>14</v>
      </c>
    </row>
    <row r="21" spans="1:32" ht="27" customHeight="1" thickBot="1">
      <c r="A21" s="109">
        <v>15</v>
      </c>
      <c r="B21" s="11" t="s">
        <v>57</v>
      </c>
      <c r="C21" s="11" t="s">
        <v>115</v>
      </c>
      <c r="D21" s="55"/>
      <c r="E21" s="56" t="s">
        <v>126</v>
      </c>
      <c r="F21" s="12" t="s">
        <v>116</v>
      </c>
      <c r="G21" s="12">
        <v>4</v>
      </c>
      <c r="H21" s="38">
        <v>20</v>
      </c>
      <c r="I21" s="7">
        <v>500000</v>
      </c>
      <c r="J21" s="14">
        <v>35376</v>
      </c>
      <c r="K21" s="15">
        <f>L21+27008+76128+41848+38820+35376</f>
        <v>219180</v>
      </c>
      <c r="L21" s="15"/>
      <c r="M21" s="16">
        <f t="shared" si="1"/>
        <v>0</v>
      </c>
      <c r="N21" s="16">
        <v>0</v>
      </c>
      <c r="O21" s="62" t="str">
        <f t="shared" si="2"/>
        <v>0</v>
      </c>
      <c r="P21" s="42" t="str">
        <f t="shared" si="3"/>
        <v>0</v>
      </c>
      <c r="Q21" s="43">
        <f t="shared" si="4"/>
        <v>24</v>
      </c>
      <c r="R21" s="7"/>
      <c r="S21" s="6"/>
      <c r="T21" s="17"/>
      <c r="U21" s="17"/>
      <c r="V21" s="18">
        <v>24</v>
      </c>
      <c r="W21" s="19"/>
      <c r="X21" s="17"/>
      <c r="Y21" s="20"/>
      <c r="Z21" s="20"/>
      <c r="AA21" s="21"/>
      <c r="AB21" s="8">
        <f t="shared" si="5"/>
        <v>0</v>
      </c>
      <c r="AC21" s="9">
        <f t="shared" si="6"/>
        <v>0</v>
      </c>
      <c r="AD21" s="10">
        <f t="shared" si="7"/>
        <v>0</v>
      </c>
      <c r="AE21" s="39">
        <f t="shared" si="8"/>
        <v>0.37222222222222229</v>
      </c>
      <c r="AF21" s="93">
        <f t="shared" si="9"/>
        <v>15</v>
      </c>
    </row>
    <row r="22" spans="1:32" ht="31.5" customHeight="1" thickBot="1">
      <c r="A22" s="312" t="s">
        <v>34</v>
      </c>
      <c r="B22" s="313"/>
      <c r="C22" s="313"/>
      <c r="D22" s="313"/>
      <c r="E22" s="313"/>
      <c r="F22" s="313"/>
      <c r="G22" s="313"/>
      <c r="H22" s="314"/>
      <c r="I22" s="25">
        <f t="shared" ref="I22:N22" si="18">SUM(I6:I21)</f>
        <v>715600</v>
      </c>
      <c r="J22" s="22">
        <f t="shared" si="18"/>
        <v>76345</v>
      </c>
      <c r="K22" s="23">
        <f t="shared" si="18"/>
        <v>294219</v>
      </c>
      <c r="L22" s="24">
        <f t="shared" si="18"/>
        <v>40969</v>
      </c>
      <c r="M22" s="23">
        <f t="shared" si="18"/>
        <v>40969</v>
      </c>
      <c r="N22" s="24">
        <f t="shared" si="18"/>
        <v>0</v>
      </c>
      <c r="O22" s="44">
        <f t="shared" si="2"/>
        <v>0</v>
      </c>
      <c r="P22" s="45">
        <f t="shared" ref="P22:AA22" si="19">SUM(P6:P21)</f>
        <v>134</v>
      </c>
      <c r="Q22" s="46">
        <f t="shared" si="19"/>
        <v>250</v>
      </c>
      <c r="R22" s="26">
        <f t="shared" si="19"/>
        <v>24</v>
      </c>
      <c r="S22" s="27">
        <f t="shared" si="19"/>
        <v>10</v>
      </c>
      <c r="T22" s="27">
        <f t="shared" si="19"/>
        <v>7</v>
      </c>
      <c r="U22" s="27">
        <f t="shared" si="19"/>
        <v>0</v>
      </c>
      <c r="V22" s="28">
        <f t="shared" si="19"/>
        <v>24</v>
      </c>
      <c r="W22" s="29">
        <f t="shared" si="19"/>
        <v>161</v>
      </c>
      <c r="X22" s="30">
        <f t="shared" si="19"/>
        <v>0</v>
      </c>
      <c r="Y22" s="30">
        <f t="shared" si="19"/>
        <v>0</v>
      </c>
      <c r="Z22" s="30">
        <f t="shared" si="19"/>
        <v>0</v>
      </c>
      <c r="AA22" s="30">
        <f t="shared" si="19"/>
        <v>24</v>
      </c>
      <c r="AB22" s="31">
        <f>SUM(AB6:AB21)/15</f>
        <v>0.53333333333333333</v>
      </c>
      <c r="AC22" s="4">
        <f>SUM(AC6:AC21)/15</f>
        <v>0.37222222222222229</v>
      </c>
      <c r="AD22" s="4">
        <f>SUM(AD6:AD21)/15</f>
        <v>0.37222222222222229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15" t="s">
        <v>45</v>
      </c>
      <c r="B49" s="315"/>
      <c r="C49" s="315"/>
      <c r="D49" s="315"/>
      <c r="E49" s="31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16" t="s">
        <v>291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19" t="s">
        <v>294</v>
      </c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1"/>
    </row>
    <row r="51" spans="1:32" ht="27" customHeight="1">
      <c r="A51" s="322" t="s">
        <v>2</v>
      </c>
      <c r="B51" s="323"/>
      <c r="C51" s="217" t="s">
        <v>46</v>
      </c>
      <c r="D51" s="217" t="s">
        <v>47</v>
      </c>
      <c r="E51" s="217" t="s">
        <v>108</v>
      </c>
      <c r="F51" s="323" t="s">
        <v>107</v>
      </c>
      <c r="G51" s="323"/>
      <c r="H51" s="323"/>
      <c r="I51" s="323"/>
      <c r="J51" s="323"/>
      <c r="K51" s="323"/>
      <c r="L51" s="323"/>
      <c r="M51" s="324"/>
      <c r="N51" s="73" t="s">
        <v>112</v>
      </c>
      <c r="O51" s="217" t="s">
        <v>46</v>
      </c>
      <c r="P51" s="325" t="s">
        <v>47</v>
      </c>
      <c r="Q51" s="326"/>
      <c r="R51" s="325" t="s">
        <v>38</v>
      </c>
      <c r="S51" s="327"/>
      <c r="T51" s="327"/>
      <c r="U51" s="326"/>
      <c r="V51" s="325" t="s">
        <v>48</v>
      </c>
      <c r="W51" s="327"/>
      <c r="X51" s="327"/>
      <c r="Y51" s="327"/>
      <c r="Z51" s="327"/>
      <c r="AA51" s="327"/>
      <c r="AB51" s="327"/>
      <c r="AC51" s="327"/>
      <c r="AD51" s="328"/>
    </row>
    <row r="52" spans="1:32" ht="27" customHeight="1">
      <c r="A52" s="339" t="s">
        <v>119</v>
      </c>
      <c r="B52" s="340"/>
      <c r="C52" s="214" t="s">
        <v>118</v>
      </c>
      <c r="D52" s="214" t="s">
        <v>158</v>
      </c>
      <c r="E52" s="214" t="s">
        <v>141</v>
      </c>
      <c r="F52" s="341" t="s">
        <v>131</v>
      </c>
      <c r="G52" s="342"/>
      <c r="H52" s="342"/>
      <c r="I52" s="342"/>
      <c r="J52" s="342"/>
      <c r="K52" s="342"/>
      <c r="L52" s="342"/>
      <c r="M52" s="343"/>
      <c r="N52" s="213" t="s">
        <v>180</v>
      </c>
      <c r="O52" s="124" t="s">
        <v>118</v>
      </c>
      <c r="P52" s="340" t="s">
        <v>167</v>
      </c>
      <c r="Q52" s="340"/>
      <c r="R52" s="340" t="s">
        <v>296</v>
      </c>
      <c r="S52" s="340"/>
      <c r="T52" s="340"/>
      <c r="U52" s="340"/>
      <c r="V52" s="346" t="s">
        <v>131</v>
      </c>
      <c r="W52" s="346"/>
      <c r="X52" s="346"/>
      <c r="Y52" s="346"/>
      <c r="Z52" s="346"/>
      <c r="AA52" s="346"/>
      <c r="AB52" s="346"/>
      <c r="AC52" s="346"/>
      <c r="AD52" s="347"/>
    </row>
    <row r="53" spans="1:32" ht="27" customHeight="1">
      <c r="A53" s="339" t="s">
        <v>180</v>
      </c>
      <c r="B53" s="340"/>
      <c r="C53" s="214" t="s">
        <v>276</v>
      </c>
      <c r="D53" s="214" t="s">
        <v>220</v>
      </c>
      <c r="E53" s="214" t="s">
        <v>221</v>
      </c>
      <c r="F53" s="341" t="s">
        <v>292</v>
      </c>
      <c r="G53" s="342"/>
      <c r="H53" s="342"/>
      <c r="I53" s="342"/>
      <c r="J53" s="342"/>
      <c r="K53" s="342"/>
      <c r="L53" s="342"/>
      <c r="M53" s="343"/>
      <c r="N53" s="213" t="s">
        <v>180</v>
      </c>
      <c r="O53" s="124" t="s">
        <v>199</v>
      </c>
      <c r="P53" s="340" t="s">
        <v>266</v>
      </c>
      <c r="Q53" s="340"/>
      <c r="R53" s="340" t="s">
        <v>295</v>
      </c>
      <c r="S53" s="340"/>
      <c r="T53" s="340"/>
      <c r="U53" s="340"/>
      <c r="V53" s="346" t="s">
        <v>131</v>
      </c>
      <c r="W53" s="346"/>
      <c r="X53" s="346"/>
      <c r="Y53" s="346"/>
      <c r="Z53" s="346"/>
      <c r="AA53" s="346"/>
      <c r="AB53" s="346"/>
      <c r="AC53" s="346"/>
      <c r="AD53" s="347"/>
    </row>
    <row r="54" spans="1:32" ht="27" customHeight="1">
      <c r="A54" s="339" t="s">
        <v>180</v>
      </c>
      <c r="B54" s="340"/>
      <c r="C54" s="214" t="s">
        <v>237</v>
      </c>
      <c r="D54" s="214" t="s">
        <v>120</v>
      </c>
      <c r="E54" s="214" t="s">
        <v>288</v>
      </c>
      <c r="F54" s="341" t="s">
        <v>293</v>
      </c>
      <c r="G54" s="342"/>
      <c r="H54" s="342"/>
      <c r="I54" s="342"/>
      <c r="J54" s="342"/>
      <c r="K54" s="342"/>
      <c r="L54" s="342"/>
      <c r="M54" s="343"/>
      <c r="N54" s="213" t="s">
        <v>114</v>
      </c>
      <c r="O54" s="124" t="s">
        <v>199</v>
      </c>
      <c r="P54" s="340" t="s">
        <v>164</v>
      </c>
      <c r="Q54" s="340"/>
      <c r="R54" s="340" t="s">
        <v>226</v>
      </c>
      <c r="S54" s="340"/>
      <c r="T54" s="340"/>
      <c r="U54" s="340"/>
      <c r="V54" s="346" t="s">
        <v>293</v>
      </c>
      <c r="W54" s="346"/>
      <c r="X54" s="346"/>
      <c r="Y54" s="346"/>
      <c r="Z54" s="346"/>
      <c r="AA54" s="346"/>
      <c r="AB54" s="346"/>
      <c r="AC54" s="346"/>
      <c r="AD54" s="347"/>
    </row>
    <row r="55" spans="1:32" ht="27" customHeight="1">
      <c r="A55" s="339" t="s">
        <v>180</v>
      </c>
      <c r="B55" s="340"/>
      <c r="C55" s="214" t="s">
        <v>199</v>
      </c>
      <c r="D55" s="214" t="s">
        <v>135</v>
      </c>
      <c r="E55" s="214" t="s">
        <v>279</v>
      </c>
      <c r="F55" s="341" t="s">
        <v>293</v>
      </c>
      <c r="G55" s="342"/>
      <c r="H55" s="342"/>
      <c r="I55" s="342"/>
      <c r="J55" s="342"/>
      <c r="K55" s="342"/>
      <c r="L55" s="342"/>
      <c r="M55" s="343"/>
      <c r="N55" s="213" t="s">
        <v>114</v>
      </c>
      <c r="O55" s="124" t="s">
        <v>186</v>
      </c>
      <c r="P55" s="344" t="s">
        <v>167</v>
      </c>
      <c r="Q55" s="345"/>
      <c r="R55" s="340" t="s">
        <v>246</v>
      </c>
      <c r="S55" s="340"/>
      <c r="T55" s="340"/>
      <c r="U55" s="340"/>
      <c r="V55" s="346" t="s">
        <v>293</v>
      </c>
      <c r="W55" s="346"/>
      <c r="X55" s="346"/>
      <c r="Y55" s="346"/>
      <c r="Z55" s="346"/>
      <c r="AA55" s="346"/>
      <c r="AB55" s="346"/>
      <c r="AC55" s="346"/>
      <c r="AD55" s="347"/>
    </row>
    <row r="56" spans="1:32" ht="27" customHeight="1">
      <c r="A56" s="339" t="s">
        <v>119</v>
      </c>
      <c r="B56" s="340"/>
      <c r="C56" s="214" t="s">
        <v>183</v>
      </c>
      <c r="D56" s="214" t="s">
        <v>220</v>
      </c>
      <c r="E56" s="214" t="s">
        <v>239</v>
      </c>
      <c r="F56" s="341" t="s">
        <v>131</v>
      </c>
      <c r="G56" s="342"/>
      <c r="H56" s="342"/>
      <c r="I56" s="342"/>
      <c r="J56" s="342"/>
      <c r="K56" s="342"/>
      <c r="L56" s="342"/>
      <c r="M56" s="343"/>
      <c r="N56" s="213" t="s">
        <v>114</v>
      </c>
      <c r="O56" s="124" t="s">
        <v>297</v>
      </c>
      <c r="P56" s="340" t="s">
        <v>175</v>
      </c>
      <c r="Q56" s="340"/>
      <c r="R56" s="340" t="s">
        <v>224</v>
      </c>
      <c r="S56" s="340"/>
      <c r="T56" s="340"/>
      <c r="U56" s="340"/>
      <c r="V56" s="346" t="s">
        <v>293</v>
      </c>
      <c r="W56" s="346"/>
      <c r="X56" s="346"/>
      <c r="Y56" s="346"/>
      <c r="Z56" s="346"/>
      <c r="AA56" s="346"/>
      <c r="AB56" s="346"/>
      <c r="AC56" s="346"/>
      <c r="AD56" s="347"/>
    </row>
    <row r="57" spans="1:32" ht="27" customHeight="1">
      <c r="A57" s="339" t="s">
        <v>180</v>
      </c>
      <c r="B57" s="340"/>
      <c r="C57" s="214" t="s">
        <v>237</v>
      </c>
      <c r="D57" s="214" t="s">
        <v>120</v>
      </c>
      <c r="E57" s="214" t="s">
        <v>278</v>
      </c>
      <c r="F57" s="341" t="s">
        <v>131</v>
      </c>
      <c r="G57" s="342"/>
      <c r="H57" s="342"/>
      <c r="I57" s="342"/>
      <c r="J57" s="342"/>
      <c r="K57" s="342"/>
      <c r="L57" s="342"/>
      <c r="M57" s="343"/>
      <c r="N57" s="213" t="s">
        <v>114</v>
      </c>
      <c r="O57" s="124" t="s">
        <v>276</v>
      </c>
      <c r="P57" s="344" t="s">
        <v>117</v>
      </c>
      <c r="Q57" s="345"/>
      <c r="R57" s="340" t="s">
        <v>241</v>
      </c>
      <c r="S57" s="340"/>
      <c r="T57" s="340"/>
      <c r="U57" s="340"/>
      <c r="V57" s="346" t="s">
        <v>293</v>
      </c>
      <c r="W57" s="346"/>
      <c r="X57" s="346"/>
      <c r="Y57" s="346"/>
      <c r="Z57" s="346"/>
      <c r="AA57" s="346"/>
      <c r="AB57" s="346"/>
      <c r="AC57" s="346"/>
      <c r="AD57" s="347"/>
    </row>
    <row r="58" spans="1:32" ht="27" customHeight="1">
      <c r="A58" s="339"/>
      <c r="B58" s="340"/>
      <c r="C58" s="214"/>
      <c r="D58" s="214"/>
      <c r="E58" s="214"/>
      <c r="F58" s="341"/>
      <c r="G58" s="342"/>
      <c r="H58" s="342"/>
      <c r="I58" s="342"/>
      <c r="J58" s="342"/>
      <c r="K58" s="342"/>
      <c r="L58" s="342"/>
      <c r="M58" s="343"/>
      <c r="N58" s="213"/>
      <c r="O58" s="124"/>
      <c r="P58" s="344"/>
      <c r="Q58" s="345"/>
      <c r="R58" s="340"/>
      <c r="S58" s="340"/>
      <c r="T58" s="340"/>
      <c r="U58" s="340"/>
      <c r="V58" s="346"/>
      <c r="W58" s="346"/>
      <c r="X58" s="346"/>
      <c r="Y58" s="346"/>
      <c r="Z58" s="346"/>
      <c r="AA58" s="346"/>
      <c r="AB58" s="346"/>
      <c r="AC58" s="346"/>
      <c r="AD58" s="347"/>
    </row>
    <row r="59" spans="1:32" ht="27" customHeight="1">
      <c r="A59" s="339"/>
      <c r="B59" s="340"/>
      <c r="C59" s="214"/>
      <c r="D59" s="214"/>
      <c r="E59" s="214"/>
      <c r="F59" s="346"/>
      <c r="G59" s="346"/>
      <c r="H59" s="346"/>
      <c r="I59" s="346"/>
      <c r="J59" s="346"/>
      <c r="K59" s="346"/>
      <c r="L59" s="346"/>
      <c r="M59" s="347"/>
      <c r="N59" s="213"/>
      <c r="O59" s="124"/>
      <c r="P59" s="344"/>
      <c r="Q59" s="345"/>
      <c r="R59" s="340"/>
      <c r="S59" s="340"/>
      <c r="T59" s="340"/>
      <c r="U59" s="340"/>
      <c r="V59" s="346"/>
      <c r="W59" s="346"/>
      <c r="X59" s="346"/>
      <c r="Y59" s="346"/>
      <c r="Z59" s="346"/>
      <c r="AA59" s="346"/>
      <c r="AB59" s="346"/>
      <c r="AC59" s="346"/>
      <c r="AD59" s="347"/>
    </row>
    <row r="60" spans="1:32" ht="27" customHeight="1">
      <c r="A60" s="339"/>
      <c r="B60" s="340"/>
      <c r="C60" s="214"/>
      <c r="D60" s="214"/>
      <c r="E60" s="214"/>
      <c r="F60" s="341"/>
      <c r="G60" s="342"/>
      <c r="H60" s="342"/>
      <c r="I60" s="342"/>
      <c r="J60" s="342"/>
      <c r="K60" s="342"/>
      <c r="L60" s="342"/>
      <c r="M60" s="343"/>
      <c r="N60" s="213"/>
      <c r="O60" s="124"/>
      <c r="P60" s="340"/>
      <c r="Q60" s="340"/>
      <c r="R60" s="340"/>
      <c r="S60" s="340"/>
      <c r="T60" s="340"/>
      <c r="U60" s="340"/>
      <c r="V60" s="346"/>
      <c r="W60" s="346"/>
      <c r="X60" s="346"/>
      <c r="Y60" s="346"/>
      <c r="Z60" s="346"/>
      <c r="AA60" s="346"/>
      <c r="AB60" s="346"/>
      <c r="AC60" s="346"/>
      <c r="AD60" s="347"/>
      <c r="AF60" s="93">
        <f>8*3000</f>
        <v>24000</v>
      </c>
    </row>
    <row r="61" spans="1:32" ht="27" customHeight="1" thickBot="1">
      <c r="A61" s="348"/>
      <c r="B61" s="349"/>
      <c r="C61" s="216"/>
      <c r="D61" s="216"/>
      <c r="E61" s="216"/>
      <c r="F61" s="350"/>
      <c r="G61" s="350"/>
      <c r="H61" s="350"/>
      <c r="I61" s="350"/>
      <c r="J61" s="350"/>
      <c r="K61" s="350"/>
      <c r="L61" s="350"/>
      <c r="M61" s="351"/>
      <c r="N61" s="215"/>
      <c r="O61" s="120"/>
      <c r="P61" s="349"/>
      <c r="Q61" s="349"/>
      <c r="R61" s="349"/>
      <c r="S61" s="349"/>
      <c r="T61" s="349"/>
      <c r="U61" s="349"/>
      <c r="V61" s="352"/>
      <c r="W61" s="352"/>
      <c r="X61" s="352"/>
      <c r="Y61" s="352"/>
      <c r="Z61" s="352"/>
      <c r="AA61" s="352"/>
      <c r="AB61" s="352"/>
      <c r="AC61" s="352"/>
      <c r="AD61" s="353"/>
      <c r="AF61" s="93">
        <f>16*3000</f>
        <v>48000</v>
      </c>
    </row>
    <row r="62" spans="1:32" ht="27.75" thickBot="1">
      <c r="A62" s="354" t="s">
        <v>298</v>
      </c>
      <c r="B62" s="354"/>
      <c r="C62" s="354"/>
      <c r="D62" s="354"/>
      <c r="E62" s="35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55" t="s">
        <v>113</v>
      </c>
      <c r="B63" s="356"/>
      <c r="C63" s="212" t="s">
        <v>2</v>
      </c>
      <c r="D63" s="212" t="s">
        <v>37</v>
      </c>
      <c r="E63" s="212" t="s">
        <v>3</v>
      </c>
      <c r="F63" s="356" t="s">
        <v>110</v>
      </c>
      <c r="G63" s="356"/>
      <c r="H63" s="356"/>
      <c r="I63" s="356"/>
      <c r="J63" s="356"/>
      <c r="K63" s="356" t="s">
        <v>39</v>
      </c>
      <c r="L63" s="356"/>
      <c r="M63" s="212" t="s">
        <v>40</v>
      </c>
      <c r="N63" s="356" t="s">
        <v>41</v>
      </c>
      <c r="O63" s="356"/>
      <c r="P63" s="357" t="s">
        <v>42</v>
      </c>
      <c r="Q63" s="358"/>
      <c r="R63" s="357" t="s">
        <v>43</v>
      </c>
      <c r="S63" s="359"/>
      <c r="T63" s="359"/>
      <c r="U63" s="359"/>
      <c r="V63" s="359"/>
      <c r="W63" s="359"/>
      <c r="X63" s="359"/>
      <c r="Y63" s="359"/>
      <c r="Z63" s="359"/>
      <c r="AA63" s="358"/>
      <c r="AB63" s="356" t="s">
        <v>44</v>
      </c>
      <c r="AC63" s="356"/>
      <c r="AD63" s="360"/>
      <c r="AF63" s="93">
        <f>SUM(AF60:AF62)</f>
        <v>96000</v>
      </c>
    </row>
    <row r="64" spans="1:32" ht="25.5" customHeight="1">
      <c r="A64" s="361">
        <v>1</v>
      </c>
      <c r="B64" s="362"/>
      <c r="C64" s="123" t="s">
        <v>180</v>
      </c>
      <c r="D64" s="208"/>
      <c r="E64" s="211" t="s">
        <v>120</v>
      </c>
      <c r="F64" s="363" t="s">
        <v>288</v>
      </c>
      <c r="G64" s="364"/>
      <c r="H64" s="364"/>
      <c r="I64" s="364"/>
      <c r="J64" s="364"/>
      <c r="K64" s="364" t="s">
        <v>289</v>
      </c>
      <c r="L64" s="364"/>
      <c r="M64" s="54" t="s">
        <v>223</v>
      </c>
      <c r="N64" s="364">
        <v>3</v>
      </c>
      <c r="O64" s="364"/>
      <c r="P64" s="365">
        <v>50</v>
      </c>
      <c r="Q64" s="365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64"/>
      <c r="AC64" s="364"/>
      <c r="AD64" s="366"/>
      <c r="AF64" s="53"/>
    </row>
    <row r="65" spans="1:32" ht="25.5" customHeight="1">
      <c r="A65" s="361">
        <v>2</v>
      </c>
      <c r="B65" s="362"/>
      <c r="C65" s="123" t="s">
        <v>119</v>
      </c>
      <c r="D65" s="208"/>
      <c r="E65" s="211" t="s">
        <v>303</v>
      </c>
      <c r="F65" s="363" t="s">
        <v>299</v>
      </c>
      <c r="G65" s="364"/>
      <c r="H65" s="364"/>
      <c r="I65" s="364"/>
      <c r="J65" s="364"/>
      <c r="K65" s="364" t="s">
        <v>222</v>
      </c>
      <c r="L65" s="364"/>
      <c r="M65" s="54" t="s">
        <v>223</v>
      </c>
      <c r="N65" s="364">
        <v>7</v>
      </c>
      <c r="O65" s="364"/>
      <c r="P65" s="365">
        <v>50</v>
      </c>
      <c r="Q65" s="365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64"/>
      <c r="AC65" s="364"/>
      <c r="AD65" s="366"/>
      <c r="AF65" s="53"/>
    </row>
    <row r="66" spans="1:32" ht="25.5" customHeight="1">
      <c r="A66" s="361">
        <v>3</v>
      </c>
      <c r="B66" s="362"/>
      <c r="C66" s="123" t="s">
        <v>180</v>
      </c>
      <c r="D66" s="208"/>
      <c r="E66" s="211" t="s">
        <v>135</v>
      </c>
      <c r="F66" s="363" t="s">
        <v>279</v>
      </c>
      <c r="G66" s="364"/>
      <c r="H66" s="364"/>
      <c r="I66" s="364"/>
      <c r="J66" s="364"/>
      <c r="K66" s="364" t="s">
        <v>231</v>
      </c>
      <c r="L66" s="364"/>
      <c r="M66" s="54" t="s">
        <v>223</v>
      </c>
      <c r="N66" s="364">
        <v>7</v>
      </c>
      <c r="O66" s="364"/>
      <c r="P66" s="365">
        <v>100</v>
      </c>
      <c r="Q66" s="365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64"/>
      <c r="AC66" s="364"/>
      <c r="AD66" s="366"/>
      <c r="AF66" s="53"/>
    </row>
    <row r="67" spans="1:32" ht="25.5" customHeight="1">
      <c r="A67" s="361">
        <v>4</v>
      </c>
      <c r="B67" s="362"/>
      <c r="C67" s="123" t="s">
        <v>283</v>
      </c>
      <c r="D67" s="208"/>
      <c r="E67" s="211"/>
      <c r="F67" s="363" t="s">
        <v>282</v>
      </c>
      <c r="G67" s="364"/>
      <c r="H67" s="364"/>
      <c r="I67" s="364"/>
      <c r="J67" s="364"/>
      <c r="K67" s="364"/>
      <c r="L67" s="364"/>
      <c r="M67" s="54"/>
      <c r="N67" s="364">
        <v>8</v>
      </c>
      <c r="O67" s="364"/>
      <c r="P67" s="365">
        <v>1600</v>
      </c>
      <c r="Q67" s="365"/>
      <c r="R67" s="346" t="s">
        <v>284</v>
      </c>
      <c r="S67" s="346"/>
      <c r="T67" s="346"/>
      <c r="U67" s="346"/>
      <c r="V67" s="346"/>
      <c r="W67" s="346"/>
      <c r="X67" s="346"/>
      <c r="Y67" s="346"/>
      <c r="Z67" s="346"/>
      <c r="AA67" s="346"/>
      <c r="AB67" s="364"/>
      <c r="AC67" s="364"/>
      <c r="AD67" s="366"/>
      <c r="AF67" s="53"/>
    </row>
    <row r="68" spans="1:32" ht="25.5" customHeight="1">
      <c r="A68" s="361">
        <v>5</v>
      </c>
      <c r="B68" s="362"/>
      <c r="C68" s="123" t="s">
        <v>119</v>
      </c>
      <c r="D68" s="208"/>
      <c r="E68" s="211" t="s">
        <v>135</v>
      </c>
      <c r="F68" s="363" t="s">
        <v>145</v>
      </c>
      <c r="G68" s="364"/>
      <c r="H68" s="364"/>
      <c r="I68" s="364"/>
      <c r="J68" s="364"/>
      <c r="K68" s="364" t="s">
        <v>125</v>
      </c>
      <c r="L68" s="364"/>
      <c r="M68" s="54" t="s">
        <v>223</v>
      </c>
      <c r="N68" s="364">
        <v>10</v>
      </c>
      <c r="O68" s="364"/>
      <c r="P68" s="365">
        <v>100</v>
      </c>
      <c r="Q68" s="365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64"/>
      <c r="AC68" s="364"/>
      <c r="AD68" s="366"/>
      <c r="AF68" s="53"/>
    </row>
    <row r="69" spans="1:32" ht="25.5" customHeight="1">
      <c r="A69" s="361">
        <v>6</v>
      </c>
      <c r="B69" s="362"/>
      <c r="C69" s="123" t="s">
        <v>114</v>
      </c>
      <c r="D69" s="208"/>
      <c r="E69" s="211" t="s">
        <v>120</v>
      </c>
      <c r="F69" s="363" t="s">
        <v>300</v>
      </c>
      <c r="G69" s="364"/>
      <c r="H69" s="364"/>
      <c r="I69" s="364"/>
      <c r="J69" s="364"/>
      <c r="K69" s="364" t="s">
        <v>179</v>
      </c>
      <c r="L69" s="364"/>
      <c r="M69" s="54" t="s">
        <v>223</v>
      </c>
      <c r="N69" s="364">
        <v>11</v>
      </c>
      <c r="O69" s="364"/>
      <c r="P69" s="365">
        <v>220</v>
      </c>
      <c r="Q69" s="365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64"/>
      <c r="AC69" s="364"/>
      <c r="AD69" s="366"/>
      <c r="AF69" s="53"/>
    </row>
    <row r="70" spans="1:32" ht="25.5" customHeight="1">
      <c r="A70" s="361">
        <v>7</v>
      </c>
      <c r="B70" s="362"/>
      <c r="C70" s="123" t="s">
        <v>304</v>
      </c>
      <c r="D70" s="208"/>
      <c r="E70" s="211"/>
      <c r="F70" s="363" t="s">
        <v>301</v>
      </c>
      <c r="G70" s="364"/>
      <c r="H70" s="364"/>
      <c r="I70" s="364"/>
      <c r="J70" s="364"/>
      <c r="K70" s="364" t="s">
        <v>302</v>
      </c>
      <c r="L70" s="364"/>
      <c r="M70" s="54" t="s">
        <v>225</v>
      </c>
      <c r="N70" s="364">
        <v>11</v>
      </c>
      <c r="O70" s="364"/>
      <c r="P70" s="365">
        <v>30</v>
      </c>
      <c r="Q70" s="365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64"/>
      <c r="AC70" s="364"/>
      <c r="AD70" s="366"/>
      <c r="AF70" s="53"/>
    </row>
    <row r="71" spans="1:32" ht="25.5" customHeight="1">
      <c r="A71" s="361">
        <v>8</v>
      </c>
      <c r="B71" s="362"/>
      <c r="C71" s="123"/>
      <c r="D71" s="208"/>
      <c r="E71" s="211"/>
      <c r="F71" s="363"/>
      <c r="G71" s="364"/>
      <c r="H71" s="364"/>
      <c r="I71" s="364"/>
      <c r="J71" s="364"/>
      <c r="K71" s="364"/>
      <c r="L71" s="364"/>
      <c r="M71" s="54"/>
      <c r="N71" s="364"/>
      <c r="O71" s="364"/>
      <c r="P71" s="365"/>
      <c r="Q71" s="365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64"/>
      <c r="AC71" s="364"/>
      <c r="AD71" s="366"/>
      <c r="AF71" s="53"/>
    </row>
    <row r="72" spans="1:32" ht="26.25" customHeight="1" thickBot="1">
      <c r="A72" s="367" t="s">
        <v>305</v>
      </c>
      <c r="B72" s="367"/>
      <c r="C72" s="367"/>
      <c r="D72" s="367"/>
      <c r="E72" s="36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8" t="s">
        <v>113</v>
      </c>
      <c r="B73" s="369"/>
      <c r="C73" s="210" t="s">
        <v>2</v>
      </c>
      <c r="D73" s="210" t="s">
        <v>37</v>
      </c>
      <c r="E73" s="210" t="s">
        <v>3</v>
      </c>
      <c r="F73" s="369" t="s">
        <v>38</v>
      </c>
      <c r="G73" s="369"/>
      <c r="H73" s="369"/>
      <c r="I73" s="369"/>
      <c r="J73" s="369"/>
      <c r="K73" s="370" t="s">
        <v>58</v>
      </c>
      <c r="L73" s="371"/>
      <c r="M73" s="371"/>
      <c r="N73" s="371"/>
      <c r="O73" s="371"/>
      <c r="P73" s="371"/>
      <c r="Q73" s="371"/>
      <c r="R73" s="371"/>
      <c r="S73" s="372"/>
      <c r="T73" s="369" t="s">
        <v>49</v>
      </c>
      <c r="U73" s="369"/>
      <c r="V73" s="370" t="s">
        <v>50</v>
      </c>
      <c r="W73" s="372"/>
      <c r="X73" s="371" t="s">
        <v>51</v>
      </c>
      <c r="Y73" s="371"/>
      <c r="Z73" s="371"/>
      <c r="AA73" s="371"/>
      <c r="AB73" s="371"/>
      <c r="AC73" s="371"/>
      <c r="AD73" s="373"/>
      <c r="AF73" s="53"/>
    </row>
    <row r="74" spans="1:32" ht="33.75" customHeight="1">
      <c r="A74" s="382">
        <v>1</v>
      </c>
      <c r="B74" s="383"/>
      <c r="C74" s="209" t="s">
        <v>114</v>
      </c>
      <c r="D74" s="209"/>
      <c r="E74" s="71" t="s">
        <v>122</v>
      </c>
      <c r="F74" s="384" t="s">
        <v>121</v>
      </c>
      <c r="G74" s="385"/>
      <c r="H74" s="385"/>
      <c r="I74" s="385"/>
      <c r="J74" s="386"/>
      <c r="K74" s="387" t="s">
        <v>123</v>
      </c>
      <c r="L74" s="388"/>
      <c r="M74" s="388"/>
      <c r="N74" s="388"/>
      <c r="O74" s="388"/>
      <c r="P74" s="388"/>
      <c r="Q74" s="388"/>
      <c r="R74" s="388"/>
      <c r="S74" s="389"/>
      <c r="T74" s="390">
        <v>43384</v>
      </c>
      <c r="U74" s="391"/>
      <c r="V74" s="392"/>
      <c r="W74" s="392"/>
      <c r="X74" s="393"/>
      <c r="Y74" s="393"/>
      <c r="Z74" s="393"/>
      <c r="AA74" s="393"/>
      <c r="AB74" s="393"/>
      <c r="AC74" s="393"/>
      <c r="AD74" s="394"/>
      <c r="AF74" s="53"/>
    </row>
    <row r="75" spans="1:32" ht="30" customHeight="1">
      <c r="A75" s="374">
        <f>A74+1</f>
        <v>2</v>
      </c>
      <c r="B75" s="375"/>
      <c r="C75" s="208"/>
      <c r="D75" s="208"/>
      <c r="E75" s="35"/>
      <c r="F75" s="375"/>
      <c r="G75" s="375"/>
      <c r="H75" s="375"/>
      <c r="I75" s="375"/>
      <c r="J75" s="375"/>
      <c r="K75" s="376"/>
      <c r="L75" s="377"/>
      <c r="M75" s="377"/>
      <c r="N75" s="377"/>
      <c r="O75" s="377"/>
      <c r="P75" s="377"/>
      <c r="Q75" s="377"/>
      <c r="R75" s="377"/>
      <c r="S75" s="378"/>
      <c r="T75" s="379"/>
      <c r="U75" s="379"/>
      <c r="V75" s="379"/>
      <c r="W75" s="379"/>
      <c r="X75" s="380"/>
      <c r="Y75" s="380"/>
      <c r="Z75" s="380"/>
      <c r="AA75" s="380"/>
      <c r="AB75" s="380"/>
      <c r="AC75" s="380"/>
      <c r="AD75" s="381"/>
      <c r="AF75" s="53"/>
    </row>
    <row r="76" spans="1:32" ht="30" customHeight="1">
      <c r="A76" s="374">
        <f t="shared" ref="A76:A82" si="20">A75+1</f>
        <v>3</v>
      </c>
      <c r="B76" s="375"/>
      <c r="C76" s="208"/>
      <c r="D76" s="208"/>
      <c r="E76" s="35"/>
      <c r="F76" s="375"/>
      <c r="G76" s="375"/>
      <c r="H76" s="375"/>
      <c r="I76" s="375"/>
      <c r="J76" s="375"/>
      <c r="K76" s="376"/>
      <c r="L76" s="377"/>
      <c r="M76" s="377"/>
      <c r="N76" s="377"/>
      <c r="O76" s="377"/>
      <c r="P76" s="377"/>
      <c r="Q76" s="377"/>
      <c r="R76" s="377"/>
      <c r="S76" s="378"/>
      <c r="T76" s="379"/>
      <c r="U76" s="379"/>
      <c r="V76" s="379"/>
      <c r="W76" s="379"/>
      <c r="X76" s="380"/>
      <c r="Y76" s="380"/>
      <c r="Z76" s="380"/>
      <c r="AA76" s="380"/>
      <c r="AB76" s="380"/>
      <c r="AC76" s="380"/>
      <c r="AD76" s="381"/>
      <c r="AF76" s="53"/>
    </row>
    <row r="77" spans="1:32" ht="30" customHeight="1">
      <c r="A77" s="374">
        <f t="shared" si="20"/>
        <v>4</v>
      </c>
      <c r="B77" s="375"/>
      <c r="C77" s="208"/>
      <c r="D77" s="208"/>
      <c r="E77" s="35"/>
      <c r="F77" s="375"/>
      <c r="G77" s="375"/>
      <c r="H77" s="375"/>
      <c r="I77" s="375"/>
      <c r="J77" s="375"/>
      <c r="K77" s="376"/>
      <c r="L77" s="377"/>
      <c r="M77" s="377"/>
      <c r="N77" s="377"/>
      <c r="O77" s="377"/>
      <c r="P77" s="377"/>
      <c r="Q77" s="377"/>
      <c r="R77" s="377"/>
      <c r="S77" s="378"/>
      <c r="T77" s="379"/>
      <c r="U77" s="379"/>
      <c r="V77" s="379"/>
      <c r="W77" s="379"/>
      <c r="X77" s="380"/>
      <c r="Y77" s="380"/>
      <c r="Z77" s="380"/>
      <c r="AA77" s="380"/>
      <c r="AB77" s="380"/>
      <c r="AC77" s="380"/>
      <c r="AD77" s="381"/>
      <c r="AF77" s="53"/>
    </row>
    <row r="78" spans="1:32" ht="30" customHeight="1">
      <c r="A78" s="374">
        <f t="shared" si="20"/>
        <v>5</v>
      </c>
      <c r="B78" s="375"/>
      <c r="C78" s="208"/>
      <c r="D78" s="208"/>
      <c r="E78" s="35"/>
      <c r="F78" s="375"/>
      <c r="G78" s="375"/>
      <c r="H78" s="375"/>
      <c r="I78" s="375"/>
      <c r="J78" s="375"/>
      <c r="K78" s="376"/>
      <c r="L78" s="377"/>
      <c r="M78" s="377"/>
      <c r="N78" s="377"/>
      <c r="O78" s="377"/>
      <c r="P78" s="377"/>
      <c r="Q78" s="377"/>
      <c r="R78" s="377"/>
      <c r="S78" s="378"/>
      <c r="T78" s="379"/>
      <c r="U78" s="379"/>
      <c r="V78" s="379"/>
      <c r="W78" s="379"/>
      <c r="X78" s="380"/>
      <c r="Y78" s="380"/>
      <c r="Z78" s="380"/>
      <c r="AA78" s="380"/>
      <c r="AB78" s="380"/>
      <c r="AC78" s="380"/>
      <c r="AD78" s="381"/>
      <c r="AF78" s="53"/>
    </row>
    <row r="79" spans="1:32" ht="30" customHeight="1">
      <c r="A79" s="374">
        <f t="shared" si="20"/>
        <v>6</v>
      </c>
      <c r="B79" s="375"/>
      <c r="C79" s="208"/>
      <c r="D79" s="208"/>
      <c r="E79" s="35"/>
      <c r="F79" s="375"/>
      <c r="G79" s="375"/>
      <c r="H79" s="375"/>
      <c r="I79" s="375"/>
      <c r="J79" s="375"/>
      <c r="K79" s="376"/>
      <c r="L79" s="377"/>
      <c r="M79" s="377"/>
      <c r="N79" s="377"/>
      <c r="O79" s="377"/>
      <c r="P79" s="377"/>
      <c r="Q79" s="377"/>
      <c r="R79" s="377"/>
      <c r="S79" s="378"/>
      <c r="T79" s="379"/>
      <c r="U79" s="379"/>
      <c r="V79" s="379"/>
      <c r="W79" s="379"/>
      <c r="X79" s="380"/>
      <c r="Y79" s="380"/>
      <c r="Z79" s="380"/>
      <c r="AA79" s="380"/>
      <c r="AB79" s="380"/>
      <c r="AC79" s="380"/>
      <c r="AD79" s="381"/>
      <c r="AF79" s="53"/>
    </row>
    <row r="80" spans="1:32" ht="30" customHeight="1">
      <c r="A80" s="374">
        <f t="shared" si="20"/>
        <v>7</v>
      </c>
      <c r="B80" s="375"/>
      <c r="C80" s="208"/>
      <c r="D80" s="208"/>
      <c r="E80" s="35"/>
      <c r="F80" s="375"/>
      <c r="G80" s="375"/>
      <c r="H80" s="375"/>
      <c r="I80" s="375"/>
      <c r="J80" s="375"/>
      <c r="K80" s="376"/>
      <c r="L80" s="377"/>
      <c r="M80" s="377"/>
      <c r="N80" s="377"/>
      <c r="O80" s="377"/>
      <c r="P80" s="377"/>
      <c r="Q80" s="377"/>
      <c r="R80" s="377"/>
      <c r="S80" s="378"/>
      <c r="T80" s="379"/>
      <c r="U80" s="379"/>
      <c r="V80" s="379"/>
      <c r="W80" s="379"/>
      <c r="X80" s="380"/>
      <c r="Y80" s="380"/>
      <c r="Z80" s="380"/>
      <c r="AA80" s="380"/>
      <c r="AB80" s="380"/>
      <c r="AC80" s="380"/>
      <c r="AD80" s="381"/>
      <c r="AF80" s="53"/>
    </row>
    <row r="81" spans="1:32" ht="30" customHeight="1">
      <c r="A81" s="374">
        <f t="shared" si="20"/>
        <v>8</v>
      </c>
      <c r="B81" s="375"/>
      <c r="C81" s="208"/>
      <c r="D81" s="208"/>
      <c r="E81" s="35"/>
      <c r="F81" s="375"/>
      <c r="G81" s="375"/>
      <c r="H81" s="375"/>
      <c r="I81" s="375"/>
      <c r="J81" s="375"/>
      <c r="K81" s="376"/>
      <c r="L81" s="377"/>
      <c r="M81" s="377"/>
      <c r="N81" s="377"/>
      <c r="O81" s="377"/>
      <c r="P81" s="377"/>
      <c r="Q81" s="377"/>
      <c r="R81" s="377"/>
      <c r="S81" s="378"/>
      <c r="T81" s="379"/>
      <c r="U81" s="379"/>
      <c r="V81" s="379"/>
      <c r="W81" s="379"/>
      <c r="X81" s="380"/>
      <c r="Y81" s="380"/>
      <c r="Z81" s="380"/>
      <c r="AA81" s="380"/>
      <c r="AB81" s="380"/>
      <c r="AC81" s="380"/>
      <c r="AD81" s="381"/>
      <c r="AF81" s="53"/>
    </row>
    <row r="82" spans="1:32" ht="30" customHeight="1">
      <c r="A82" s="374">
        <f t="shared" si="20"/>
        <v>9</v>
      </c>
      <c r="B82" s="375"/>
      <c r="C82" s="208"/>
      <c r="D82" s="208"/>
      <c r="E82" s="35"/>
      <c r="F82" s="375"/>
      <c r="G82" s="375"/>
      <c r="H82" s="375"/>
      <c r="I82" s="375"/>
      <c r="J82" s="375"/>
      <c r="K82" s="376"/>
      <c r="L82" s="377"/>
      <c r="M82" s="377"/>
      <c r="N82" s="377"/>
      <c r="O82" s="377"/>
      <c r="P82" s="377"/>
      <c r="Q82" s="377"/>
      <c r="R82" s="377"/>
      <c r="S82" s="378"/>
      <c r="T82" s="379"/>
      <c r="U82" s="379"/>
      <c r="V82" s="379"/>
      <c r="W82" s="379"/>
      <c r="X82" s="380"/>
      <c r="Y82" s="380"/>
      <c r="Z82" s="380"/>
      <c r="AA82" s="380"/>
      <c r="AB82" s="380"/>
      <c r="AC82" s="380"/>
      <c r="AD82" s="381"/>
      <c r="AF82" s="53"/>
    </row>
    <row r="83" spans="1:32" ht="36" thickBot="1">
      <c r="A83" s="367" t="s">
        <v>306</v>
      </c>
      <c r="B83" s="367"/>
      <c r="C83" s="367"/>
      <c r="D83" s="367"/>
      <c r="E83" s="36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68" t="s">
        <v>113</v>
      </c>
      <c r="B84" s="369"/>
      <c r="C84" s="395" t="s">
        <v>52</v>
      </c>
      <c r="D84" s="395"/>
      <c r="E84" s="395" t="s">
        <v>53</v>
      </c>
      <c r="F84" s="395"/>
      <c r="G84" s="395"/>
      <c r="H84" s="395"/>
      <c r="I84" s="395"/>
      <c r="J84" s="395"/>
      <c r="K84" s="395" t="s">
        <v>54</v>
      </c>
      <c r="L84" s="395"/>
      <c r="M84" s="395"/>
      <c r="N84" s="395"/>
      <c r="O84" s="395"/>
      <c r="P84" s="395"/>
      <c r="Q84" s="395"/>
      <c r="R84" s="395"/>
      <c r="S84" s="395"/>
      <c r="T84" s="395" t="s">
        <v>55</v>
      </c>
      <c r="U84" s="395"/>
      <c r="V84" s="395" t="s">
        <v>56</v>
      </c>
      <c r="W84" s="395"/>
      <c r="X84" s="395"/>
      <c r="Y84" s="395" t="s">
        <v>51</v>
      </c>
      <c r="Z84" s="395"/>
      <c r="AA84" s="395"/>
      <c r="AB84" s="395"/>
      <c r="AC84" s="395"/>
      <c r="AD84" s="396"/>
      <c r="AF84" s="53"/>
    </row>
    <row r="85" spans="1:32" ht="30.75" customHeight="1">
      <c r="A85" s="382">
        <v>1</v>
      </c>
      <c r="B85" s="383"/>
      <c r="C85" s="397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8"/>
      <c r="W85" s="398"/>
      <c r="X85" s="398"/>
      <c r="Y85" s="399"/>
      <c r="Z85" s="399"/>
      <c r="AA85" s="399"/>
      <c r="AB85" s="399"/>
      <c r="AC85" s="399"/>
      <c r="AD85" s="400"/>
      <c r="AF85" s="53"/>
    </row>
    <row r="86" spans="1:32" ht="30.75" customHeight="1">
      <c r="A86" s="374">
        <v>2</v>
      </c>
      <c r="B86" s="375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9"/>
      <c r="U86" s="409"/>
      <c r="V86" s="410"/>
      <c r="W86" s="410"/>
      <c r="X86" s="410"/>
      <c r="Y86" s="401"/>
      <c r="Z86" s="401"/>
      <c r="AA86" s="401"/>
      <c r="AB86" s="401"/>
      <c r="AC86" s="401"/>
      <c r="AD86" s="402"/>
      <c r="AF86" s="53"/>
    </row>
    <row r="87" spans="1:32" ht="30.75" customHeight="1" thickBot="1">
      <c r="A87" s="403">
        <v>3</v>
      </c>
      <c r="B87" s="404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6"/>
      <c r="Z87" s="406"/>
      <c r="AA87" s="406"/>
      <c r="AB87" s="406"/>
      <c r="AC87" s="406"/>
      <c r="AD87" s="40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30</vt:i4>
      </vt:variant>
    </vt:vector>
  </HeadingPairs>
  <TitlesOfParts>
    <vt:vector size="46" baseType="lpstr">
      <vt:lpstr>총괄</vt:lpstr>
      <vt:lpstr>01</vt:lpstr>
      <vt:lpstr>11</vt:lpstr>
      <vt:lpstr>12</vt:lpstr>
      <vt:lpstr>13</vt:lpstr>
      <vt:lpstr>14</vt:lpstr>
      <vt:lpstr>15</vt:lpstr>
      <vt:lpstr>18</vt:lpstr>
      <vt:lpstr>19</vt:lpstr>
      <vt:lpstr>20</vt:lpstr>
      <vt:lpstr>21</vt:lpstr>
      <vt:lpstr>22</vt:lpstr>
      <vt:lpstr>25</vt:lpstr>
      <vt:lpstr>26</vt:lpstr>
      <vt:lpstr>27</vt:lpstr>
      <vt:lpstr>28</vt:lpstr>
      <vt:lpstr>'01'!Print_Area</vt:lpstr>
      <vt:lpstr>'11'!Print_Area</vt:lpstr>
      <vt:lpstr>'12'!Print_Area</vt:lpstr>
      <vt:lpstr>'13'!Print_Area</vt:lpstr>
      <vt:lpstr>'14'!Print_Area</vt:lpstr>
      <vt:lpstr>'15'!Print_Area</vt:lpstr>
      <vt:lpstr>'18'!Print_Area</vt:lpstr>
      <vt:lpstr>'19'!Print_Area</vt:lpstr>
      <vt:lpstr>'20'!Print_Area</vt:lpstr>
      <vt:lpstr>'21'!Print_Area</vt:lpstr>
      <vt:lpstr>'22'!Print_Area</vt:lpstr>
      <vt:lpstr>'25'!Print_Area</vt:lpstr>
      <vt:lpstr>'26'!Print_Area</vt:lpstr>
      <vt:lpstr>'27'!Print_Area</vt:lpstr>
      <vt:lpstr>'28'!Print_Area</vt:lpstr>
      <vt:lpstr>'01'!ㅁ1</vt:lpstr>
      <vt:lpstr>'11'!ㅁ1</vt:lpstr>
      <vt:lpstr>'12'!ㅁ1</vt:lpstr>
      <vt:lpstr>'13'!ㅁ1</vt:lpstr>
      <vt:lpstr>'14'!ㅁ1</vt:lpstr>
      <vt:lpstr>'15'!ㅁ1</vt:lpstr>
      <vt:lpstr>'18'!ㅁ1</vt:lpstr>
      <vt:lpstr>'19'!ㅁ1</vt:lpstr>
      <vt:lpstr>'20'!ㅁ1</vt:lpstr>
      <vt:lpstr>'21'!ㅁ1</vt:lpstr>
      <vt:lpstr>'22'!ㅁ1</vt:lpstr>
      <vt:lpstr>'25'!ㅁ1</vt:lpstr>
      <vt:lpstr>'26'!ㅁ1</vt:lpstr>
      <vt:lpstr>'27'!ㅁ1</vt:lpstr>
      <vt:lpstr>'28'!ㅁ1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2018-10-10T23:54:56Z</cp:lastPrinted>
  <dcterms:created xsi:type="dcterms:W3CDTF">2014-05-16T00:06:55Z</dcterms:created>
  <dcterms:modified xsi:type="dcterms:W3CDTF">2019-03-05T05:36:25Z</dcterms:modified>
</cp:coreProperties>
</file>