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B1610257-979F-454C-8F50-F5AD8FCF9F33}" xr6:coauthVersionLast="43" xr6:coauthVersionMax="43" xr10:uidLastSave="{00000000-0000-0000-0000-000000000000}"/>
  <bookViews>
    <workbookView xWindow="-120" yWindow="-120" windowWidth="29040" windowHeight="15840" firstSheet="1" activeTab="24" xr2:uid="{00000000-000D-0000-FFFF-FFFF00000000}"/>
  </bookViews>
  <sheets>
    <sheet name="총괄" sheetId="16" r:id="rId1"/>
    <sheet name="01" sheetId="1406" r:id="rId2"/>
    <sheet name="02" sheetId="1407" r:id="rId3"/>
    <sheet name="03" sheetId="1408" r:id="rId4"/>
    <sheet name="04" sheetId="1409" r:id="rId5"/>
    <sheet name="05" sheetId="1410" r:id="rId6"/>
    <sheet name="08" sheetId="1411" r:id="rId7"/>
    <sheet name="09" sheetId="1412" r:id="rId8"/>
    <sheet name="10" sheetId="1413" r:id="rId9"/>
    <sheet name="11" sheetId="1414" r:id="rId10"/>
    <sheet name="12" sheetId="1415" r:id="rId11"/>
    <sheet name="15" sheetId="1416" r:id="rId12"/>
    <sheet name="16" sheetId="1417" r:id="rId13"/>
    <sheet name="17" sheetId="1418" r:id="rId14"/>
    <sheet name="18" sheetId="1419" r:id="rId15"/>
    <sheet name="19" sheetId="1420" r:id="rId16"/>
    <sheet name="22" sheetId="1421" r:id="rId17"/>
    <sheet name="23" sheetId="1422" r:id="rId18"/>
    <sheet name="24" sheetId="1423" r:id="rId19"/>
    <sheet name="25" sheetId="1424" r:id="rId20"/>
    <sheet name="26" sheetId="1425" r:id="rId21"/>
    <sheet name="27" sheetId="1426" r:id="rId22"/>
    <sheet name="28" sheetId="1427" r:id="rId23"/>
    <sheet name="29" sheetId="1428" r:id="rId24"/>
    <sheet name="30" sheetId="1429" r:id="rId25"/>
  </sheets>
  <definedNames>
    <definedName name="_xlnm.Print_Area" localSheetId="1">'01'!$A$1:$AD$87</definedName>
    <definedName name="_xlnm.Print_Area" localSheetId="2">'02'!$A$1:$AD$86</definedName>
    <definedName name="_xlnm.Print_Area" localSheetId="3">'03'!$A$1:$AD$89</definedName>
    <definedName name="_xlnm.Print_Area" localSheetId="4">'04'!$A$1:$AD$87</definedName>
    <definedName name="_xlnm.Print_Area" localSheetId="5">'05'!$A$1:$AD$86</definedName>
    <definedName name="_xlnm.Print_Area" localSheetId="6">'08'!$A$1:$AD$86</definedName>
    <definedName name="_xlnm.Print_Area" localSheetId="7">'09'!$A$1:$AD$86</definedName>
    <definedName name="_xlnm.Print_Area" localSheetId="8">'10'!$A$1:$AD$87</definedName>
    <definedName name="_xlnm.Print_Area" localSheetId="9">'11'!$A$1:$AD$87</definedName>
    <definedName name="_xlnm.Print_Area" localSheetId="10">'12'!$A$1:$AD$86</definedName>
    <definedName name="_xlnm.Print_Area" localSheetId="11">'15'!$A$1:$AD$87</definedName>
    <definedName name="_xlnm.Print_Area" localSheetId="12">'16'!$A$1:$AD$86</definedName>
    <definedName name="_xlnm.Print_Area" localSheetId="13">'17'!$A$1:$AD$86</definedName>
    <definedName name="_xlnm.Print_Area" localSheetId="14">'18'!$A$1:$AD$86</definedName>
    <definedName name="_xlnm.Print_Area" localSheetId="15">'19'!$A$1:$AD$86</definedName>
    <definedName name="_xlnm.Print_Area" localSheetId="16">'22'!$A$1:$AD$86</definedName>
    <definedName name="_xlnm.Print_Area" localSheetId="17">'23'!$A$1:$AD$87</definedName>
    <definedName name="_xlnm.Print_Area" localSheetId="18">'24'!$A$1:$AD$87</definedName>
    <definedName name="_xlnm.Print_Area" localSheetId="19">'25'!$A$1:$AD$88</definedName>
    <definedName name="_xlnm.Print_Area" localSheetId="20">'26'!$A$1:$AD$88</definedName>
    <definedName name="_xlnm.Print_Area" localSheetId="21">'27'!$A$1:$AD$86</definedName>
    <definedName name="_xlnm.Print_Area" localSheetId="22">'28'!$A$1:$AD$86</definedName>
    <definedName name="_xlnm.Print_Area" localSheetId="23">'29'!$A$1:$AD$87</definedName>
    <definedName name="_xlnm.Print_Area" localSheetId="24">'30'!$A$1:$AD$87</definedName>
    <definedName name="ㅁ1" localSheetId="1">'01'!$M$1048522:$M$1048576</definedName>
    <definedName name="ㅁ1" localSheetId="2">'02'!$M$1048521:$M$1048576</definedName>
    <definedName name="ㅁ1" localSheetId="3">'03'!$M$1048524:$M$1048576</definedName>
    <definedName name="ㅁ1" localSheetId="4">'04'!$M$1048522:$M$1048576</definedName>
    <definedName name="ㅁ1" localSheetId="5">'05'!$M$1048521:$M$1048576</definedName>
    <definedName name="ㅁ1" localSheetId="6">'08'!$M$1048521:$M$1048576</definedName>
    <definedName name="ㅁ1" localSheetId="7">'09'!$M$1048521:$M$1048576</definedName>
    <definedName name="ㅁ1" localSheetId="8">'10'!$M$1048522:$M$1048576</definedName>
    <definedName name="ㅁ1" localSheetId="9">'11'!$M$1048522:$M$1048576</definedName>
    <definedName name="ㅁ1" localSheetId="10">'12'!$M$1048521:$M$1048576</definedName>
    <definedName name="ㅁ1" localSheetId="11">'15'!$M$1048522:$M$1048576</definedName>
    <definedName name="ㅁ1" localSheetId="12">'16'!$M$1048521:$M$1048576</definedName>
    <definedName name="ㅁ1" localSheetId="13">'17'!$M$1048521:$M$1048576</definedName>
    <definedName name="ㅁ1" localSheetId="14">'18'!$M$1048521:$M$1048576</definedName>
    <definedName name="ㅁ1" localSheetId="15">'19'!$M$1048521:$M$1048576</definedName>
    <definedName name="ㅁ1" localSheetId="16">'22'!$M$1048521:$M$1048576</definedName>
    <definedName name="ㅁ1" localSheetId="17">'23'!$M$1048522:$M$1048576</definedName>
    <definedName name="ㅁ1" localSheetId="18">'24'!$M$1048522:$M$1048576</definedName>
    <definedName name="ㅁ1" localSheetId="19">'25'!$M$1048523:$M$1048576</definedName>
    <definedName name="ㅁ1" localSheetId="20">'26'!$M$1048523:$M$1048576</definedName>
    <definedName name="ㅁ1" localSheetId="21">'27'!$M$1048521:$M$1048576</definedName>
    <definedName name="ㅁ1" localSheetId="22">'28'!$M$1048521:$M$1048576</definedName>
    <definedName name="ㅁ1" localSheetId="23">'29'!$M$1048522:$M$1048576</definedName>
    <definedName name="ㅁ1" localSheetId="24">'30'!$M$1048522:$M$1048576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429"/>
  <c r="L20" i="1429"/>
  <c r="L19" i="1429"/>
  <c r="L18" i="1429"/>
  <c r="M18" i="1429" s="1"/>
  <c r="K18" i="1429"/>
  <c r="L17" i="1429"/>
  <c r="K17" i="1429" s="1"/>
  <c r="AF16" i="1429"/>
  <c r="Q16" i="1429"/>
  <c r="AB16" i="1429"/>
  <c r="L15" i="1429"/>
  <c r="K15" i="1429"/>
  <c r="L13" i="1429"/>
  <c r="K13" i="1429" s="1"/>
  <c r="L12" i="1429"/>
  <c r="K12" i="1429" s="1"/>
  <c r="L10" i="1429"/>
  <c r="K10" i="1429" s="1"/>
  <c r="L9" i="1429"/>
  <c r="O9" i="1429" s="1"/>
  <c r="L8" i="1429"/>
  <c r="AB8" i="1429" s="1"/>
  <c r="K21" i="1429"/>
  <c r="K20" i="1429"/>
  <c r="K19" i="1429"/>
  <c r="K14" i="1429"/>
  <c r="K8" i="1429"/>
  <c r="A75" i="1429"/>
  <c r="A76" i="1429" s="1"/>
  <c r="A77" i="1429" s="1"/>
  <c r="A78" i="1429" s="1"/>
  <c r="A79" i="1429" s="1"/>
  <c r="A80" i="1429" s="1"/>
  <c r="A81" i="1429" s="1"/>
  <c r="A82" i="1429" s="1"/>
  <c r="AF61" i="1429"/>
  <c r="AF60" i="1429"/>
  <c r="AF63" i="1429" s="1"/>
  <c r="AA22" i="1429"/>
  <c r="Z22" i="1429"/>
  <c r="Y22" i="1429"/>
  <c r="X22" i="1429"/>
  <c r="W22" i="1429"/>
  <c r="V22" i="1429"/>
  <c r="U22" i="1429"/>
  <c r="T22" i="1429"/>
  <c r="S22" i="1429"/>
  <c r="R22" i="1429"/>
  <c r="N22" i="1429"/>
  <c r="J22" i="1429"/>
  <c r="AF21" i="1429"/>
  <c r="Q21" i="1429"/>
  <c r="P21" i="1429"/>
  <c r="AC21" i="1429" s="1"/>
  <c r="O21" i="1429"/>
  <c r="AF20" i="1429"/>
  <c r="Q20" i="1429"/>
  <c r="O20" i="1429"/>
  <c r="AB20" i="1429"/>
  <c r="AF19" i="1429"/>
  <c r="AB19" i="1429"/>
  <c r="Q19" i="1429"/>
  <c r="M19" i="1429"/>
  <c r="P19" i="1429"/>
  <c r="AC19" i="1429" s="1"/>
  <c r="I19" i="1429"/>
  <c r="I22" i="1429" s="1"/>
  <c r="AF18" i="1429"/>
  <c r="AB18" i="1429"/>
  <c r="Q18" i="1429"/>
  <c r="P18" i="1429" s="1"/>
  <c r="AC18" i="1429" s="1"/>
  <c r="O18" i="1429"/>
  <c r="AF17" i="1429"/>
  <c r="Q17" i="1429"/>
  <c r="P17" i="1429"/>
  <c r="AC17" i="1429" s="1"/>
  <c r="AF15" i="1429"/>
  <c r="Q15" i="1429"/>
  <c r="O15" i="1429"/>
  <c r="AB15" i="1429"/>
  <c r="AF14" i="1429"/>
  <c r="AB14" i="1429"/>
  <c r="Q14" i="1429"/>
  <c r="P14" i="1429"/>
  <c r="AC14" i="1429" s="1"/>
  <c r="O14" i="1429"/>
  <c r="M14" i="1429"/>
  <c r="AF13" i="1429"/>
  <c r="AB13" i="1429"/>
  <c r="Q13" i="1429"/>
  <c r="P13" i="1429" s="1"/>
  <c r="AC13" i="1429" s="1"/>
  <c r="O13" i="1429"/>
  <c r="M13" i="1429"/>
  <c r="AF12" i="1429"/>
  <c r="AB12" i="1429"/>
  <c r="Q12" i="1429"/>
  <c r="P12" i="1429" s="1"/>
  <c r="AC12" i="1429" s="1"/>
  <c r="M12" i="1429"/>
  <c r="O12" i="1429"/>
  <c r="AF11" i="1429"/>
  <c r="AB11" i="1429"/>
  <c r="Q11" i="1429"/>
  <c r="P11" i="1429"/>
  <c r="AC11" i="1429" s="1"/>
  <c r="O11" i="1429"/>
  <c r="M11" i="1429"/>
  <c r="K11" i="1429"/>
  <c r="AF10" i="1429"/>
  <c r="Q10" i="1429"/>
  <c r="AF9" i="1429"/>
  <c r="AB9" i="1429"/>
  <c r="Q9" i="1429"/>
  <c r="M9" i="1429"/>
  <c r="K9" i="1429"/>
  <c r="AF8" i="1429"/>
  <c r="Q8" i="1429"/>
  <c r="O8" i="1429"/>
  <c r="M8" i="1429"/>
  <c r="AF7" i="1429"/>
  <c r="AB7" i="1429"/>
  <c r="Q7" i="1429"/>
  <c r="P7" i="1429"/>
  <c r="AC7" i="1429" s="1"/>
  <c r="O7" i="1429"/>
  <c r="M7" i="1429"/>
  <c r="K7" i="1429"/>
  <c r="AF6" i="1429"/>
  <c r="AB6" i="1429"/>
  <c r="Q6" i="1429"/>
  <c r="P6" i="1429"/>
  <c r="AC6" i="1429" s="1"/>
  <c r="O6" i="1429"/>
  <c r="M6" i="1429"/>
  <c r="K6" i="1429"/>
  <c r="O17" i="1429" l="1"/>
  <c r="O16" i="1429"/>
  <c r="AD14" i="1429"/>
  <c r="K16" i="1429"/>
  <c r="P16" i="1429"/>
  <c r="AC16" i="1429" s="1"/>
  <c r="AD7" i="1429"/>
  <c r="M16" i="1429"/>
  <c r="P9" i="1429"/>
  <c r="AC9" i="1429" s="1"/>
  <c r="AD9" i="1429" s="1"/>
  <c r="AD18" i="1429"/>
  <c r="AD13" i="1429"/>
  <c r="P10" i="1429"/>
  <c r="AC10" i="1429" s="1"/>
  <c r="Q22" i="1429"/>
  <c r="L22" i="1429"/>
  <c r="O22" i="1429" s="1"/>
  <c r="AD11" i="1429"/>
  <c r="AD12" i="1429"/>
  <c r="M10" i="1429"/>
  <c r="AB10" i="1429"/>
  <c r="P15" i="1429"/>
  <c r="AC15" i="1429" s="1"/>
  <c r="AD15" i="1429" s="1"/>
  <c r="O19" i="1429"/>
  <c r="AD19" i="1429" s="1"/>
  <c r="P20" i="1429"/>
  <c r="AC20" i="1429" s="1"/>
  <c r="AD20" i="1429" s="1"/>
  <c r="AD6" i="1429"/>
  <c r="K22" i="1429"/>
  <c r="P8" i="1429"/>
  <c r="AC8" i="1429" s="1"/>
  <c r="AD8" i="1429" s="1"/>
  <c r="O10" i="1429"/>
  <c r="M17" i="1429"/>
  <c r="AB17" i="1429"/>
  <c r="AD17" i="1429" s="1"/>
  <c r="M21" i="1429"/>
  <c r="AB21" i="1429"/>
  <c r="AD21" i="1429" s="1"/>
  <c r="M15" i="1429"/>
  <c r="M20" i="1429"/>
  <c r="AD18" i="16"/>
  <c r="AD17" i="16"/>
  <c r="AD16" i="16"/>
  <c r="AD15" i="16"/>
  <c r="AD14" i="16"/>
  <c r="AD13" i="16"/>
  <c r="AD12" i="16"/>
  <c r="AE18" i="1428"/>
  <c r="AE19" i="1428"/>
  <c r="AE20" i="1428"/>
  <c r="AE21" i="1428"/>
  <c r="AD11" i="16"/>
  <c r="AD10" i="16"/>
  <c r="AD9" i="16"/>
  <c r="AD8" i="16"/>
  <c r="AD7" i="16"/>
  <c r="AD6" i="16"/>
  <c r="AD5" i="16"/>
  <c r="AD4" i="16"/>
  <c r="AD3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1428"/>
  <c r="O21" i="1428" s="1"/>
  <c r="L20" i="1428"/>
  <c r="K20" i="1428" s="1"/>
  <c r="AF20" i="1428"/>
  <c r="Q20" i="1428"/>
  <c r="AB20" i="1428"/>
  <c r="L19" i="1428"/>
  <c r="M19" i="1428" s="1"/>
  <c r="K18" i="1428"/>
  <c r="L17" i="1428"/>
  <c r="O17" i="1428" s="1"/>
  <c r="L16" i="1428"/>
  <c r="O16" i="1428" s="1"/>
  <c r="K16" i="1428"/>
  <c r="AF13" i="1428"/>
  <c r="AC13" i="1428"/>
  <c r="AB13" i="1428"/>
  <c r="Q13" i="1428"/>
  <c r="P13" i="1428"/>
  <c r="O13" i="1428"/>
  <c r="M13" i="1428"/>
  <c r="K13" i="1428"/>
  <c r="K14" i="1428"/>
  <c r="L12" i="1428"/>
  <c r="AB12" i="1428" s="1"/>
  <c r="L10" i="1428"/>
  <c r="K10" i="1428" s="1"/>
  <c r="L8" i="1428"/>
  <c r="K19" i="1428"/>
  <c r="K17" i="1428"/>
  <c r="K12" i="1428"/>
  <c r="K8" i="1428"/>
  <c r="A76" i="1428"/>
  <c r="A77" i="1428" s="1"/>
  <c r="A78" i="1428" s="1"/>
  <c r="A79" i="1428" s="1"/>
  <c r="A80" i="1428" s="1"/>
  <c r="A81" i="1428" s="1"/>
  <c r="A82" i="1428" s="1"/>
  <c r="A75" i="1428"/>
  <c r="AF61" i="1428"/>
  <c r="AF60" i="1428"/>
  <c r="AF63" i="1428" s="1"/>
  <c r="AA22" i="1428"/>
  <c r="Z22" i="1428"/>
  <c r="Y22" i="1428"/>
  <c r="X22" i="1428"/>
  <c r="W22" i="1428"/>
  <c r="V22" i="1428"/>
  <c r="U22" i="1428"/>
  <c r="T22" i="1428"/>
  <c r="S22" i="1428"/>
  <c r="R22" i="1428"/>
  <c r="N22" i="1428"/>
  <c r="J22" i="1428"/>
  <c r="AF21" i="1428"/>
  <c r="AB21" i="1428"/>
  <c r="Q21" i="1428"/>
  <c r="P21" i="1428"/>
  <c r="AC21" i="1428" s="1"/>
  <c r="M21" i="1428"/>
  <c r="K21" i="1428"/>
  <c r="AF19" i="1428"/>
  <c r="AB19" i="1428"/>
  <c r="Q19" i="1428"/>
  <c r="I19" i="1428"/>
  <c r="I22" i="1428" s="1"/>
  <c r="AF18" i="1428"/>
  <c r="AB18" i="1428"/>
  <c r="Q18" i="1428"/>
  <c r="P18" i="1428" s="1"/>
  <c r="AC18" i="1428" s="1"/>
  <c r="O18" i="1428"/>
  <c r="M18" i="1428"/>
  <c r="AF17" i="1428"/>
  <c r="AB17" i="1428"/>
  <c r="Q17" i="1428"/>
  <c r="AF16" i="1428"/>
  <c r="AB16" i="1428"/>
  <c r="Q16" i="1428"/>
  <c r="P16" i="1428" s="1"/>
  <c r="AC16" i="1428" s="1"/>
  <c r="M16" i="1428"/>
  <c r="AF15" i="1428"/>
  <c r="AC15" i="1428"/>
  <c r="AB15" i="1428"/>
  <c r="Q15" i="1428"/>
  <c r="P15" i="1428"/>
  <c r="O15" i="1428"/>
  <c r="M15" i="1428"/>
  <c r="K15" i="1428"/>
  <c r="AF14" i="1428"/>
  <c r="AB14" i="1428"/>
  <c r="Q14" i="1428"/>
  <c r="P14" i="1428" s="1"/>
  <c r="AC14" i="1428" s="1"/>
  <c r="O14" i="1428"/>
  <c r="M14" i="1428"/>
  <c r="AF12" i="1428"/>
  <c r="Q12" i="1428"/>
  <c r="P12" i="1428" s="1"/>
  <c r="AC12" i="1428" s="1"/>
  <c r="O12" i="1428"/>
  <c r="M12" i="1428"/>
  <c r="AF11" i="1428"/>
  <c r="AB11" i="1428"/>
  <c r="Q11" i="1428"/>
  <c r="P11" i="1428"/>
  <c r="AC11" i="1428" s="1"/>
  <c r="O11" i="1428"/>
  <c r="M11" i="1428"/>
  <c r="K11" i="1428"/>
  <c r="AF10" i="1428"/>
  <c r="AB10" i="1428"/>
  <c r="Q10" i="1428"/>
  <c r="P10" i="1428" s="1"/>
  <c r="AC10" i="1428" s="1"/>
  <c r="M10" i="1428"/>
  <c r="AF9" i="1428"/>
  <c r="AB9" i="1428"/>
  <c r="Q9" i="1428"/>
  <c r="P9" i="1428"/>
  <c r="AC9" i="1428" s="1"/>
  <c r="O9" i="1428"/>
  <c r="M9" i="1428"/>
  <c r="K9" i="1428"/>
  <c r="AF8" i="1428"/>
  <c r="AB8" i="1428"/>
  <c r="Q8" i="1428"/>
  <c r="O8" i="1428"/>
  <c r="M8" i="1428"/>
  <c r="AF7" i="1428"/>
  <c r="AB7" i="1428"/>
  <c r="Q7" i="1428"/>
  <c r="P7" i="1428"/>
  <c r="AC7" i="1428" s="1"/>
  <c r="O7" i="1428"/>
  <c r="M7" i="1428"/>
  <c r="K7" i="1428"/>
  <c r="AF6" i="1428"/>
  <c r="AC6" i="1428"/>
  <c r="AB6" i="1428"/>
  <c r="Q6" i="1428"/>
  <c r="P6" i="1428"/>
  <c r="O6" i="1428"/>
  <c r="M6" i="1428"/>
  <c r="K6" i="1428"/>
  <c r="AD16" i="1429" l="1"/>
  <c r="AD10" i="1429"/>
  <c r="M22" i="1429"/>
  <c r="AB22" i="1429"/>
  <c r="AC22" i="1429"/>
  <c r="P22" i="1429"/>
  <c r="P20" i="1428"/>
  <c r="AC20" i="1428" s="1"/>
  <c r="O20" i="1428"/>
  <c r="M20" i="1428"/>
  <c r="O19" i="1428"/>
  <c r="P19" i="1428"/>
  <c r="AC19" i="1428" s="1"/>
  <c r="AD19" i="1428" s="1"/>
  <c r="M17" i="1428"/>
  <c r="P17" i="1428"/>
  <c r="AC17" i="1428" s="1"/>
  <c r="AD17" i="1428" s="1"/>
  <c r="AD13" i="1428"/>
  <c r="AD11" i="1428"/>
  <c r="AD7" i="1428"/>
  <c r="AD21" i="1428"/>
  <c r="AD14" i="1428"/>
  <c r="Q22" i="1428"/>
  <c r="O10" i="1428"/>
  <c r="AD10" i="1428" s="1"/>
  <c r="L22" i="1428"/>
  <c r="O22" i="1428" s="1"/>
  <c r="P8" i="1428"/>
  <c r="AC8" i="1428" s="1"/>
  <c r="AD8" i="1428" s="1"/>
  <c r="AD12" i="1428"/>
  <c r="AD15" i="1428"/>
  <c r="M22" i="1428"/>
  <c r="AB22" i="1428"/>
  <c r="AD9" i="1428"/>
  <c r="AD16" i="1428"/>
  <c r="AD18" i="1428"/>
  <c r="AD6" i="1428"/>
  <c r="K22" i="1428"/>
  <c r="L10" i="1427"/>
  <c r="L21" i="1427" s="1"/>
  <c r="O21" i="1427" s="1"/>
  <c r="K18" i="1427"/>
  <c r="K16" i="1427"/>
  <c r="K13" i="1427"/>
  <c r="K12" i="1427"/>
  <c r="K11" i="1427"/>
  <c r="K9" i="1427"/>
  <c r="K8" i="1427"/>
  <c r="A75" i="1427"/>
  <c r="A76" i="1427" s="1"/>
  <c r="A77" i="1427" s="1"/>
  <c r="A78" i="1427" s="1"/>
  <c r="A79" i="1427" s="1"/>
  <c r="A80" i="1427" s="1"/>
  <c r="A81" i="1427" s="1"/>
  <c r="A74" i="1427"/>
  <c r="AF62" i="1427"/>
  <c r="AF60" i="1427"/>
  <c r="AF59" i="1427"/>
  <c r="AA21" i="1427"/>
  <c r="Z21" i="1427"/>
  <c r="Y21" i="1427"/>
  <c r="X21" i="1427"/>
  <c r="W21" i="1427"/>
  <c r="V21" i="1427"/>
  <c r="U21" i="1427"/>
  <c r="T21" i="1427"/>
  <c r="S21" i="1427"/>
  <c r="R21" i="1427"/>
  <c r="N21" i="1427"/>
  <c r="J21" i="1427"/>
  <c r="AF20" i="1427"/>
  <c r="AC20" i="1427"/>
  <c r="AD20" i="1427" s="1"/>
  <c r="AB20" i="1427"/>
  <c r="Q20" i="1427"/>
  <c r="P20" i="1427"/>
  <c r="O20" i="1427"/>
  <c r="M20" i="1427"/>
  <c r="K20" i="1427"/>
  <c r="AF19" i="1427"/>
  <c r="AC19" i="1427"/>
  <c r="AD19" i="1427" s="1"/>
  <c r="AB19" i="1427"/>
  <c r="Q19" i="1427"/>
  <c r="P19" i="1427"/>
  <c r="O19" i="1427"/>
  <c r="M19" i="1427"/>
  <c r="K19" i="1427"/>
  <c r="AF18" i="1427"/>
  <c r="Q18" i="1427"/>
  <c r="O18" i="1427"/>
  <c r="AB18" i="1427"/>
  <c r="I18" i="1427"/>
  <c r="I21" i="1427" s="1"/>
  <c r="AF17" i="1427"/>
  <c r="AB17" i="1427"/>
  <c r="Q17" i="1427"/>
  <c r="P17" i="1427"/>
  <c r="AC17" i="1427" s="1"/>
  <c r="AD17" i="1427" s="1"/>
  <c r="O17" i="1427"/>
  <c r="M17" i="1427"/>
  <c r="K17" i="1427"/>
  <c r="AF16" i="1427"/>
  <c r="Q16" i="1427"/>
  <c r="P16" i="1427" s="1"/>
  <c r="AC16" i="1427" s="1"/>
  <c r="AF15" i="1427"/>
  <c r="AB15" i="1427"/>
  <c r="Q15" i="1427"/>
  <c r="P15" i="1427"/>
  <c r="AC15" i="1427" s="1"/>
  <c r="AD15" i="1427" s="1"/>
  <c r="O15" i="1427"/>
  <c r="M15" i="1427"/>
  <c r="K15" i="1427"/>
  <c r="AF14" i="1427"/>
  <c r="AB14" i="1427"/>
  <c r="Q14" i="1427"/>
  <c r="P14" i="1427"/>
  <c r="AC14" i="1427" s="1"/>
  <c r="O14" i="1427"/>
  <c r="M14" i="1427"/>
  <c r="K14" i="1427"/>
  <c r="AF13" i="1427"/>
  <c r="AB13" i="1427"/>
  <c r="Q13" i="1427"/>
  <c r="P13" i="1427"/>
  <c r="AC13" i="1427" s="1"/>
  <c r="M13" i="1427"/>
  <c r="O13" i="1427"/>
  <c r="AF12" i="1427"/>
  <c r="Q12" i="1427"/>
  <c r="O12" i="1427"/>
  <c r="AB12" i="1427"/>
  <c r="AF11" i="1427"/>
  <c r="AB11" i="1427"/>
  <c r="Q11" i="1427"/>
  <c r="P11" i="1427"/>
  <c r="AC11" i="1427" s="1"/>
  <c r="O11" i="1427"/>
  <c r="M11" i="1427"/>
  <c r="AF10" i="1427"/>
  <c r="AB10" i="1427"/>
  <c r="Q10" i="1427"/>
  <c r="P10" i="1427" s="1"/>
  <c r="AC10" i="1427" s="1"/>
  <c r="O10" i="1427"/>
  <c r="AF9" i="1427"/>
  <c r="Q9" i="1427"/>
  <c r="O9" i="1427"/>
  <c r="AB9" i="1427"/>
  <c r="AF8" i="1427"/>
  <c r="AB8" i="1427"/>
  <c r="Q8" i="1427"/>
  <c r="P8" i="1427" s="1"/>
  <c r="AC8" i="1427" s="1"/>
  <c r="M8" i="1427"/>
  <c r="AF7" i="1427"/>
  <c r="AC7" i="1427"/>
  <c r="AD7" i="1427" s="1"/>
  <c r="AB7" i="1427"/>
  <c r="Q7" i="1427"/>
  <c r="P7" i="1427"/>
  <c r="O7" i="1427"/>
  <c r="M7" i="1427"/>
  <c r="K7" i="1427"/>
  <c r="AF6" i="1427"/>
  <c r="AC6" i="1427"/>
  <c r="AD6" i="1427" s="1"/>
  <c r="AB6" i="1427"/>
  <c r="Q6" i="1427"/>
  <c r="P6" i="1427"/>
  <c r="O6" i="1427"/>
  <c r="M6" i="1427"/>
  <c r="K6" i="1427"/>
  <c r="AD22" i="1429" l="1"/>
  <c r="AE16" i="1429" s="1"/>
  <c r="AD20" i="1428"/>
  <c r="AD22" i="1428" s="1"/>
  <c r="P22" i="1428"/>
  <c r="AC22" i="1428"/>
  <c r="M10" i="1427"/>
  <c r="K10" i="1427"/>
  <c r="Q21" i="1427"/>
  <c r="AD14" i="1427"/>
  <c r="AD13" i="1427"/>
  <c r="AD11" i="1427"/>
  <c r="K21" i="1427"/>
  <c r="AD10" i="1427"/>
  <c r="O8" i="1427"/>
  <c r="AD8" i="1427" s="1"/>
  <c r="P9" i="1427"/>
  <c r="AC9" i="1427" s="1"/>
  <c r="AD9" i="1427" s="1"/>
  <c r="P12" i="1427"/>
  <c r="AC12" i="1427" s="1"/>
  <c r="AD12" i="1427" s="1"/>
  <c r="M16" i="1427"/>
  <c r="AB16" i="1427"/>
  <c r="AB21" i="1427" s="1"/>
  <c r="P18" i="1427"/>
  <c r="AC18" i="1427" s="1"/>
  <c r="AD18" i="1427" s="1"/>
  <c r="O16" i="1427"/>
  <c r="M9" i="1427"/>
  <c r="M12" i="1427"/>
  <c r="M18" i="1427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18" i="1426"/>
  <c r="K18" i="1426" s="1"/>
  <c r="L16" i="1426"/>
  <c r="K16" i="1426" s="1"/>
  <c r="K14" i="1426"/>
  <c r="L13" i="1426"/>
  <c r="K13" i="1426" s="1"/>
  <c r="L12" i="1426"/>
  <c r="K12" i="1426" s="1"/>
  <c r="L10" i="1426"/>
  <c r="L9" i="1426"/>
  <c r="K9" i="1426" s="1"/>
  <c r="L8" i="1426"/>
  <c r="K8" i="1426" s="1"/>
  <c r="K20" i="1426"/>
  <c r="K11" i="1426"/>
  <c r="A74" i="1426"/>
  <c r="A75" i="1426" s="1"/>
  <c r="A76" i="1426" s="1"/>
  <c r="A77" i="1426" s="1"/>
  <c r="A78" i="1426" s="1"/>
  <c r="A79" i="1426" s="1"/>
  <c r="A80" i="1426" s="1"/>
  <c r="A81" i="1426" s="1"/>
  <c r="AF60" i="1426"/>
  <c r="AF59" i="1426"/>
  <c r="AA21" i="1426"/>
  <c r="Z21" i="1426"/>
  <c r="Y21" i="1426"/>
  <c r="X21" i="1426"/>
  <c r="W21" i="1426"/>
  <c r="V21" i="1426"/>
  <c r="U21" i="1426"/>
  <c r="T21" i="1426"/>
  <c r="S21" i="1426"/>
  <c r="R21" i="1426"/>
  <c r="N21" i="1426"/>
  <c r="J21" i="1426"/>
  <c r="AF20" i="1426"/>
  <c r="AB20" i="1426"/>
  <c r="Q20" i="1426"/>
  <c r="P20" i="1426"/>
  <c r="AC20" i="1426" s="1"/>
  <c r="O20" i="1426"/>
  <c r="M20" i="1426"/>
  <c r="AF19" i="1426"/>
  <c r="AC19" i="1426"/>
  <c r="AB19" i="1426"/>
  <c r="Q19" i="1426"/>
  <c r="P19" i="1426"/>
  <c r="O19" i="1426"/>
  <c r="M19" i="1426"/>
  <c r="K19" i="1426"/>
  <c r="AF18" i="1426"/>
  <c r="Q18" i="1426"/>
  <c r="I18" i="1426"/>
  <c r="I21" i="1426" s="1"/>
  <c r="AF17" i="1426"/>
  <c r="AB17" i="1426"/>
  <c r="Q17" i="1426"/>
  <c r="P17" i="1426"/>
  <c r="AC17" i="1426" s="1"/>
  <c r="O17" i="1426"/>
  <c r="M17" i="1426"/>
  <c r="K17" i="1426"/>
  <c r="AF16" i="1426"/>
  <c r="AB16" i="1426"/>
  <c r="Q16" i="1426"/>
  <c r="P16" i="1426"/>
  <c r="AC16" i="1426" s="1"/>
  <c r="AF15" i="1426"/>
  <c r="AB15" i="1426"/>
  <c r="Q15" i="1426"/>
  <c r="P15" i="1426"/>
  <c r="AC15" i="1426" s="1"/>
  <c r="O15" i="1426"/>
  <c r="M15" i="1426"/>
  <c r="K15" i="1426"/>
  <c r="AF14" i="1426"/>
  <c r="AB14" i="1426"/>
  <c r="Q14" i="1426"/>
  <c r="P14" i="1426" s="1"/>
  <c r="AC14" i="1426" s="1"/>
  <c r="O14" i="1426"/>
  <c r="M14" i="1426"/>
  <c r="AF13" i="1426"/>
  <c r="Q13" i="1426"/>
  <c r="AF12" i="1426"/>
  <c r="AB12" i="1426"/>
  <c r="Q12" i="1426"/>
  <c r="P12" i="1426" s="1"/>
  <c r="AC12" i="1426" s="1"/>
  <c r="O12" i="1426"/>
  <c r="M12" i="1426"/>
  <c r="AF11" i="1426"/>
  <c r="AB11" i="1426"/>
  <c r="Q11" i="1426"/>
  <c r="P11" i="1426" s="1"/>
  <c r="AC11" i="1426" s="1"/>
  <c r="O11" i="1426"/>
  <c r="M11" i="1426"/>
  <c r="AF10" i="1426"/>
  <c r="Q10" i="1426"/>
  <c r="AF9" i="1426"/>
  <c r="Q9" i="1426"/>
  <c r="AF8" i="1426"/>
  <c r="AB8" i="1426"/>
  <c r="Q8" i="1426"/>
  <c r="P8" i="1426" s="1"/>
  <c r="AC8" i="1426" s="1"/>
  <c r="O8" i="1426"/>
  <c r="M8" i="1426"/>
  <c r="AF7" i="1426"/>
  <c r="AB7" i="1426"/>
  <c r="Q7" i="1426"/>
  <c r="P7" i="1426"/>
  <c r="AC7" i="1426" s="1"/>
  <c r="AD7" i="1426" s="1"/>
  <c r="O7" i="1426"/>
  <c r="M7" i="1426"/>
  <c r="K7" i="1426"/>
  <c r="AF6" i="1426"/>
  <c r="AB6" i="1426"/>
  <c r="Q6" i="1426"/>
  <c r="P6" i="1426"/>
  <c r="O6" i="1426"/>
  <c r="M6" i="1426"/>
  <c r="K6" i="1426"/>
  <c r="AE17" i="1429" l="1"/>
  <c r="AE15" i="1429"/>
  <c r="AE13" i="1429"/>
  <c r="AE7" i="1429"/>
  <c r="AE21" i="1429"/>
  <c r="AE20" i="1429"/>
  <c r="AE14" i="1429"/>
  <c r="AE9" i="1429"/>
  <c r="AE6" i="1429"/>
  <c r="AE10" i="1429"/>
  <c r="AE18" i="1429"/>
  <c r="AE12" i="1429"/>
  <c r="AE11" i="1429"/>
  <c r="AE8" i="1429"/>
  <c r="AE19" i="1429"/>
  <c r="AE8" i="1428"/>
  <c r="AE13" i="1428"/>
  <c r="AE10" i="1428"/>
  <c r="AE14" i="1428"/>
  <c r="AE12" i="1428"/>
  <c r="AE11" i="1428"/>
  <c r="AE7" i="1428"/>
  <c r="AE16" i="1428"/>
  <c r="AE15" i="1428"/>
  <c r="AE6" i="1428"/>
  <c r="AE9" i="1428"/>
  <c r="AE17" i="1428"/>
  <c r="M21" i="1427"/>
  <c r="P21" i="1427"/>
  <c r="AD16" i="1427"/>
  <c r="AD21" i="1427" s="1"/>
  <c r="AC21" i="1427"/>
  <c r="P18" i="1426"/>
  <c r="AC18" i="1426" s="1"/>
  <c r="M16" i="1426"/>
  <c r="O16" i="1426"/>
  <c r="AD16" i="1426" s="1"/>
  <c r="AD12" i="1426"/>
  <c r="AF62" i="1426"/>
  <c r="M13" i="1426"/>
  <c r="O13" i="1426"/>
  <c r="P13" i="1426"/>
  <c r="AC13" i="1426" s="1"/>
  <c r="AD13" i="1426" s="1"/>
  <c r="AB13" i="1426"/>
  <c r="P10" i="1426"/>
  <c r="AC10" i="1426" s="1"/>
  <c r="K10" i="1426"/>
  <c r="K21" i="1426" s="1"/>
  <c r="M10" i="1426"/>
  <c r="AB10" i="1426"/>
  <c r="O10" i="1426"/>
  <c r="P9" i="1426"/>
  <c r="AC9" i="1426" s="1"/>
  <c r="Q21" i="1426"/>
  <c r="AD8" i="1426"/>
  <c r="L21" i="1426"/>
  <c r="O21" i="1426" s="1"/>
  <c r="AD20" i="1426"/>
  <c r="AD14" i="1426"/>
  <c r="AD17" i="1426"/>
  <c r="AD11" i="1426"/>
  <c r="AD19" i="1426"/>
  <c r="AD15" i="1426"/>
  <c r="M9" i="1426"/>
  <c r="AB9" i="1426"/>
  <c r="AB21" i="1426" s="1"/>
  <c r="M18" i="1426"/>
  <c r="AB18" i="1426"/>
  <c r="AC6" i="1426"/>
  <c r="O9" i="1426"/>
  <c r="O18" i="142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1425"/>
  <c r="K22" i="1425"/>
  <c r="L20" i="1425"/>
  <c r="L18" i="1425"/>
  <c r="AB18" i="1425" s="1"/>
  <c r="K16" i="1425"/>
  <c r="AF16" i="1425"/>
  <c r="AB16" i="1425"/>
  <c r="Q16" i="1425"/>
  <c r="P16" i="1425" s="1"/>
  <c r="AC16" i="1425" s="1"/>
  <c r="O16" i="1425"/>
  <c r="M16" i="1425"/>
  <c r="L14" i="1425"/>
  <c r="K14" i="1425"/>
  <c r="L13" i="1425"/>
  <c r="K13" i="1425"/>
  <c r="L11" i="1425"/>
  <c r="L9" i="1425"/>
  <c r="K9" i="1425" s="1"/>
  <c r="L8" i="1425"/>
  <c r="K21" i="1425"/>
  <c r="K20" i="1425"/>
  <c r="K15" i="1425"/>
  <c r="K12" i="1425"/>
  <c r="K11" i="1425"/>
  <c r="K8" i="1425"/>
  <c r="A76" i="1425"/>
  <c r="A77" i="1425" s="1"/>
  <c r="A78" i="1425" s="1"/>
  <c r="A79" i="1425" s="1"/>
  <c r="A80" i="1425" s="1"/>
  <c r="A81" i="1425" s="1"/>
  <c r="A82" i="1425" s="1"/>
  <c r="A83" i="1425" s="1"/>
  <c r="AF62" i="1425"/>
  <c r="AF61" i="1425"/>
  <c r="AF64" i="1425" s="1"/>
  <c r="AA23" i="1425"/>
  <c r="Z23" i="1425"/>
  <c r="Y23" i="1425"/>
  <c r="X23" i="1425"/>
  <c r="W23" i="1425"/>
  <c r="V23" i="1425"/>
  <c r="U23" i="1425"/>
  <c r="T23" i="1425"/>
  <c r="S23" i="1425"/>
  <c r="R23" i="1425"/>
  <c r="N23" i="1425"/>
  <c r="J23" i="1425"/>
  <c r="AF22" i="1425"/>
  <c r="AB22" i="1425"/>
  <c r="Q22" i="1425"/>
  <c r="P22" i="1425" s="1"/>
  <c r="AC22" i="1425" s="1"/>
  <c r="AD22" i="1425" s="1"/>
  <c r="O22" i="1425"/>
  <c r="M22" i="1425"/>
  <c r="AF21" i="1425"/>
  <c r="Q21" i="1425"/>
  <c r="P21" i="1425"/>
  <c r="AC21" i="1425" s="1"/>
  <c r="AF20" i="1425"/>
  <c r="Q20" i="1425"/>
  <c r="P20" i="1425"/>
  <c r="AC20" i="1425" s="1"/>
  <c r="I20" i="1425"/>
  <c r="I23" i="1425" s="1"/>
  <c r="AF19" i="1425"/>
  <c r="AB19" i="1425"/>
  <c r="Q19" i="1425"/>
  <c r="P19" i="1425"/>
  <c r="AC19" i="1425" s="1"/>
  <c r="O19" i="1425"/>
  <c r="M19" i="1425"/>
  <c r="K19" i="1425"/>
  <c r="AF18" i="1425"/>
  <c r="Q18" i="1425"/>
  <c r="M18" i="1425"/>
  <c r="AF17" i="1425"/>
  <c r="AB17" i="1425"/>
  <c r="Q17" i="1425"/>
  <c r="P17" i="1425"/>
  <c r="AC17" i="1425" s="1"/>
  <c r="O17" i="1425"/>
  <c r="M17" i="1425"/>
  <c r="K17" i="1425"/>
  <c r="AF15" i="1425"/>
  <c r="AB15" i="1425"/>
  <c r="Q15" i="1425"/>
  <c r="P15" i="1425" s="1"/>
  <c r="AC15" i="1425" s="1"/>
  <c r="O15" i="1425"/>
  <c r="M15" i="1425"/>
  <c r="AF14" i="1425"/>
  <c r="AB14" i="1425"/>
  <c r="Q14" i="1425"/>
  <c r="P14" i="1425" s="1"/>
  <c r="AC14" i="1425" s="1"/>
  <c r="O14" i="1425"/>
  <c r="M14" i="1425"/>
  <c r="AF13" i="1425"/>
  <c r="AB13" i="1425"/>
  <c r="Q13" i="1425"/>
  <c r="P13" i="1425"/>
  <c r="AC13" i="1425" s="1"/>
  <c r="O13" i="1425"/>
  <c r="M13" i="1425"/>
  <c r="AF12" i="1425"/>
  <c r="Q12" i="1425"/>
  <c r="P12" i="1425"/>
  <c r="AC12" i="1425" s="1"/>
  <c r="AF11" i="1425"/>
  <c r="Q11" i="1425"/>
  <c r="P11" i="1425" s="1"/>
  <c r="AC11" i="1425" s="1"/>
  <c r="AF10" i="1425"/>
  <c r="AB10" i="1425"/>
  <c r="Q10" i="1425"/>
  <c r="P10" i="1425"/>
  <c r="AC10" i="1425" s="1"/>
  <c r="O10" i="1425"/>
  <c r="M10" i="1425"/>
  <c r="K10" i="1425"/>
  <c r="AF9" i="1425"/>
  <c r="Q9" i="1425"/>
  <c r="P9" i="1425" s="1"/>
  <c r="AC9" i="1425" s="1"/>
  <c r="O9" i="1425"/>
  <c r="AF8" i="1425"/>
  <c r="Q8" i="1425"/>
  <c r="AF7" i="1425"/>
  <c r="AB7" i="1425"/>
  <c r="Q7" i="1425"/>
  <c r="P7" i="1425"/>
  <c r="AC7" i="1425" s="1"/>
  <c r="O7" i="1425"/>
  <c r="M7" i="1425"/>
  <c r="K7" i="1425"/>
  <c r="AF6" i="1425"/>
  <c r="AB6" i="1425"/>
  <c r="Q6" i="1425"/>
  <c r="P6" i="1425"/>
  <c r="AC6" i="1425" s="1"/>
  <c r="O6" i="1425"/>
  <c r="M6" i="1425"/>
  <c r="K6" i="1425"/>
  <c r="AE14" i="1427" l="1"/>
  <c r="AE11" i="1427"/>
  <c r="AE8" i="1427"/>
  <c r="AE20" i="1427"/>
  <c r="AE18" i="1427"/>
  <c r="AE17" i="1427"/>
  <c r="AE12" i="1427"/>
  <c r="AE9" i="1427"/>
  <c r="AE6" i="1427"/>
  <c r="AE15" i="1427"/>
  <c r="AE13" i="1427"/>
  <c r="AE10" i="1427"/>
  <c r="AE19" i="1427"/>
  <c r="AE16" i="1427"/>
  <c r="AE7" i="1427"/>
  <c r="AD18" i="1426"/>
  <c r="M21" i="1426"/>
  <c r="AD10" i="1426"/>
  <c r="P21" i="1426"/>
  <c r="AD9" i="1426"/>
  <c r="AC21" i="1426"/>
  <c r="AD6" i="1426"/>
  <c r="L23" i="1425"/>
  <c r="O23" i="1425" s="1"/>
  <c r="O18" i="1425"/>
  <c r="K18" i="1425"/>
  <c r="K23" i="1425" s="1"/>
  <c r="P18" i="1425"/>
  <c r="AC18" i="1425" s="1"/>
  <c r="AD16" i="1425"/>
  <c r="AD17" i="1425"/>
  <c r="AD7" i="1425"/>
  <c r="AD14" i="1425"/>
  <c r="Q23" i="1425"/>
  <c r="M9" i="1425"/>
  <c r="AB9" i="1425"/>
  <c r="AD9" i="1425" s="1"/>
  <c r="AD10" i="1425"/>
  <c r="AD13" i="1425"/>
  <c r="AD15" i="1425"/>
  <c r="AD19" i="1425"/>
  <c r="M8" i="1425"/>
  <c r="AB8" i="1425"/>
  <c r="M12" i="1425"/>
  <c r="AB12" i="1425"/>
  <c r="M21" i="1425"/>
  <c r="AB21" i="1425"/>
  <c r="AD6" i="1425"/>
  <c r="O8" i="1425"/>
  <c r="M11" i="1425"/>
  <c r="AB11" i="1425"/>
  <c r="O12" i="1425"/>
  <c r="M20" i="1425"/>
  <c r="AB20" i="1425"/>
  <c r="O21" i="1425"/>
  <c r="P8" i="1425"/>
  <c r="AC8" i="1425" s="1"/>
  <c r="AC23" i="1425" s="1"/>
  <c r="O11" i="1425"/>
  <c r="O20" i="1425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424"/>
  <c r="L20" i="1424"/>
  <c r="L18" i="1424"/>
  <c r="K16" i="1424"/>
  <c r="AF15" i="1424"/>
  <c r="AB15" i="1424"/>
  <c r="Q15" i="1424"/>
  <c r="P15" i="1424"/>
  <c r="AC15" i="1424" s="1"/>
  <c r="O15" i="1424"/>
  <c r="M15" i="1424"/>
  <c r="K15" i="1424"/>
  <c r="K14" i="1424"/>
  <c r="L13" i="1424"/>
  <c r="P13" i="1424" s="1"/>
  <c r="AC13" i="1424" s="1"/>
  <c r="L12" i="1424"/>
  <c r="AB12" i="1424" s="1"/>
  <c r="K10" i="1424"/>
  <c r="AF10" i="1424"/>
  <c r="AB10" i="1424"/>
  <c r="Q10" i="1424"/>
  <c r="P10" i="1424" s="1"/>
  <c r="AC10" i="1424" s="1"/>
  <c r="O10" i="1424"/>
  <c r="M10" i="1424"/>
  <c r="L8" i="1424"/>
  <c r="L23" i="1424" s="1"/>
  <c r="K21" i="1424"/>
  <c r="K20" i="1424"/>
  <c r="K18" i="1424"/>
  <c r="K17" i="1424"/>
  <c r="A76" i="1424"/>
  <c r="A77" i="1424" s="1"/>
  <c r="A78" i="1424" s="1"/>
  <c r="A79" i="1424" s="1"/>
  <c r="A80" i="1424" s="1"/>
  <c r="A81" i="1424" s="1"/>
  <c r="A82" i="1424" s="1"/>
  <c r="A83" i="1424" s="1"/>
  <c r="AF62" i="1424"/>
  <c r="AF61" i="1424"/>
  <c r="AA23" i="1424"/>
  <c r="Z23" i="1424"/>
  <c r="Y23" i="1424"/>
  <c r="X23" i="1424"/>
  <c r="W23" i="1424"/>
  <c r="V23" i="1424"/>
  <c r="U23" i="1424"/>
  <c r="T23" i="1424"/>
  <c r="S23" i="1424"/>
  <c r="R23" i="1424"/>
  <c r="N23" i="1424"/>
  <c r="J23" i="1424"/>
  <c r="AF22" i="1424"/>
  <c r="AB22" i="1424"/>
  <c r="Q22" i="1424"/>
  <c r="P22" i="1424"/>
  <c r="AC22" i="1424" s="1"/>
  <c r="O22" i="1424"/>
  <c r="M22" i="1424"/>
  <c r="K22" i="1424"/>
  <c r="AF21" i="1424"/>
  <c r="AB21" i="1424"/>
  <c r="Q21" i="1424"/>
  <c r="P21" i="1424" s="1"/>
  <c r="AC21" i="1424" s="1"/>
  <c r="M21" i="1424"/>
  <c r="AF20" i="1424"/>
  <c r="Q20" i="1424"/>
  <c r="P20" i="1424"/>
  <c r="AC20" i="1424" s="1"/>
  <c r="I20" i="1424"/>
  <c r="I23" i="1424" s="1"/>
  <c r="AF19" i="1424"/>
  <c r="AB19" i="1424"/>
  <c r="Q19" i="1424"/>
  <c r="P19" i="1424"/>
  <c r="AC19" i="1424" s="1"/>
  <c r="O19" i="1424"/>
  <c r="M19" i="1424"/>
  <c r="K19" i="1424"/>
  <c r="AF18" i="1424"/>
  <c r="Q18" i="1424"/>
  <c r="P18" i="1424"/>
  <c r="AC18" i="1424" s="1"/>
  <c r="AF17" i="1424"/>
  <c r="Q17" i="1424"/>
  <c r="P17" i="1424"/>
  <c r="AC17" i="1424" s="1"/>
  <c r="O17" i="1424"/>
  <c r="AF16" i="1424"/>
  <c r="AB16" i="1424"/>
  <c r="Q16" i="1424"/>
  <c r="P16" i="1424" s="1"/>
  <c r="AC16" i="1424" s="1"/>
  <c r="O16" i="1424"/>
  <c r="M16" i="1424"/>
  <c r="AF14" i="1424"/>
  <c r="AB14" i="1424"/>
  <c r="Q14" i="1424"/>
  <c r="P14" i="1424" s="1"/>
  <c r="AC14" i="1424" s="1"/>
  <c r="O14" i="1424"/>
  <c r="M14" i="1424"/>
  <c r="AF13" i="1424"/>
  <c r="AB13" i="1424"/>
  <c r="Q13" i="1424"/>
  <c r="M13" i="1424"/>
  <c r="AF12" i="1424"/>
  <c r="Q12" i="1424"/>
  <c r="AF11" i="1424"/>
  <c r="AB11" i="1424"/>
  <c r="Q11" i="1424"/>
  <c r="P11" i="1424"/>
  <c r="AC11" i="1424" s="1"/>
  <c r="O11" i="1424"/>
  <c r="M11" i="1424"/>
  <c r="K11" i="1424"/>
  <c r="AF9" i="1424"/>
  <c r="AB9" i="1424"/>
  <c r="Q9" i="1424"/>
  <c r="P9" i="1424" s="1"/>
  <c r="AC9" i="1424" s="1"/>
  <c r="O9" i="1424"/>
  <c r="M9" i="1424"/>
  <c r="K9" i="1424"/>
  <c r="AF8" i="1424"/>
  <c r="Q8" i="1424"/>
  <c r="M8" i="1424"/>
  <c r="AF7" i="1424"/>
  <c r="AB7" i="1424"/>
  <c r="Q7" i="1424"/>
  <c r="P7" i="1424"/>
  <c r="AC7" i="1424" s="1"/>
  <c r="O7" i="1424"/>
  <c r="M7" i="1424"/>
  <c r="K7" i="1424"/>
  <c r="AF6" i="1424"/>
  <c r="AB6" i="1424"/>
  <c r="Q6" i="1424"/>
  <c r="P6" i="1424"/>
  <c r="AC6" i="1424" s="1"/>
  <c r="O6" i="1424"/>
  <c r="M6" i="1424"/>
  <c r="K6" i="1424"/>
  <c r="AD21" i="1426" l="1"/>
  <c r="AE15" i="1426" s="1"/>
  <c r="AE8" i="1426"/>
  <c r="AD20" i="1425"/>
  <c r="AD18" i="1425"/>
  <c r="M23" i="1425"/>
  <c r="AD12" i="1425"/>
  <c r="AD11" i="1425"/>
  <c r="AD21" i="1425"/>
  <c r="AB23" i="1425"/>
  <c r="AD8" i="1425"/>
  <c r="P23" i="1425"/>
  <c r="O23" i="1424"/>
  <c r="O8" i="1424"/>
  <c r="P8" i="1424"/>
  <c r="AC8" i="1424" s="1"/>
  <c r="AD8" i="1424" s="1"/>
  <c r="O12" i="1424"/>
  <c r="O13" i="1424"/>
  <c r="K13" i="1424"/>
  <c r="AB8" i="1424"/>
  <c r="P12" i="1424"/>
  <c r="AC12" i="1424" s="1"/>
  <c r="AD12" i="1424" s="1"/>
  <c r="AF64" i="1424"/>
  <c r="K8" i="1424"/>
  <c r="K12" i="1424"/>
  <c r="K23" i="1424" s="1"/>
  <c r="AD15" i="1424"/>
  <c r="M12" i="1424"/>
  <c r="Q23" i="1424"/>
  <c r="AD10" i="1424"/>
  <c r="AD14" i="1424"/>
  <c r="AD11" i="1424"/>
  <c r="AD22" i="1424"/>
  <c r="AD7" i="1424"/>
  <c r="AD16" i="1424"/>
  <c r="AD13" i="1424"/>
  <c r="AD9" i="1424"/>
  <c r="AD19" i="1424"/>
  <c r="AD6" i="1424"/>
  <c r="M18" i="1424"/>
  <c r="AB18" i="1424"/>
  <c r="M20" i="1424"/>
  <c r="AB20" i="1424"/>
  <c r="O21" i="1424"/>
  <c r="AD21" i="1424" s="1"/>
  <c r="M17" i="1424"/>
  <c r="AB17" i="1424"/>
  <c r="AD17" i="1424" s="1"/>
  <c r="O18" i="1424"/>
  <c r="O20" i="1424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AE17" i="1423"/>
  <c r="AE18" i="1423"/>
  <c r="AE19" i="1423"/>
  <c r="AE20" i="1423"/>
  <c r="L20" i="1423"/>
  <c r="K20" i="1423" s="1"/>
  <c r="L19" i="1423"/>
  <c r="O19" i="1423" s="1"/>
  <c r="AF19" i="1423"/>
  <c r="AB19" i="1423"/>
  <c r="Q19" i="1423"/>
  <c r="P19" i="1423" s="1"/>
  <c r="AC19" i="1423" s="1"/>
  <c r="M19" i="1423"/>
  <c r="I19" i="1423"/>
  <c r="K18" i="1423"/>
  <c r="L16" i="1423"/>
  <c r="L15" i="1423"/>
  <c r="K15" i="1423" s="1"/>
  <c r="K13" i="1423"/>
  <c r="L8" i="1423"/>
  <c r="K8" i="1423" s="1"/>
  <c r="K21" i="1423"/>
  <c r="K16" i="1423"/>
  <c r="K12" i="1423"/>
  <c r="K10" i="1423"/>
  <c r="K9" i="1423"/>
  <c r="A76" i="1423"/>
  <c r="A77" i="1423" s="1"/>
  <c r="A78" i="1423" s="1"/>
  <c r="A79" i="1423" s="1"/>
  <c r="A80" i="1423" s="1"/>
  <c r="A81" i="1423" s="1"/>
  <c r="A82" i="1423" s="1"/>
  <c r="A75" i="1423"/>
  <c r="AF61" i="1423"/>
  <c r="AF60" i="1423"/>
  <c r="AA22" i="1423"/>
  <c r="Z22" i="1423"/>
  <c r="Y22" i="1423"/>
  <c r="X22" i="1423"/>
  <c r="W22" i="1423"/>
  <c r="V22" i="1423"/>
  <c r="U22" i="1423"/>
  <c r="T22" i="1423"/>
  <c r="S22" i="1423"/>
  <c r="R22" i="1423"/>
  <c r="N22" i="1423"/>
  <c r="J22" i="1423"/>
  <c r="I22" i="1423"/>
  <c r="AF21" i="1423"/>
  <c r="Q21" i="1423"/>
  <c r="AB21" i="1423"/>
  <c r="AF20" i="1423"/>
  <c r="Q20" i="1423"/>
  <c r="AF18" i="1423"/>
  <c r="Q18" i="1423"/>
  <c r="P18" i="1423" s="1"/>
  <c r="AC18" i="1423" s="1"/>
  <c r="O18" i="1423"/>
  <c r="AF17" i="1423"/>
  <c r="AB17" i="1423"/>
  <c r="Q17" i="1423"/>
  <c r="P17" i="1423"/>
  <c r="AC17" i="1423" s="1"/>
  <c r="O17" i="1423"/>
  <c r="M17" i="1423"/>
  <c r="K17" i="1423"/>
  <c r="AF16" i="1423"/>
  <c r="AB16" i="1423"/>
  <c r="Q16" i="1423"/>
  <c r="P16" i="1423"/>
  <c r="AC16" i="1423" s="1"/>
  <c r="M16" i="1423"/>
  <c r="O16" i="1423"/>
  <c r="AF15" i="1423"/>
  <c r="Q15" i="1423"/>
  <c r="P15" i="1423" s="1"/>
  <c r="AC15" i="1423" s="1"/>
  <c r="AF14" i="1423"/>
  <c r="AB14" i="1423"/>
  <c r="Q14" i="1423"/>
  <c r="P14" i="1423"/>
  <c r="AC14" i="1423" s="1"/>
  <c r="O14" i="1423"/>
  <c r="M14" i="1423"/>
  <c r="K14" i="1423"/>
  <c r="AF13" i="1423"/>
  <c r="AB13" i="1423"/>
  <c r="Q13" i="1423"/>
  <c r="P13" i="1423" s="1"/>
  <c r="AC13" i="1423" s="1"/>
  <c r="O13" i="1423"/>
  <c r="M13" i="1423"/>
  <c r="AF12" i="1423"/>
  <c r="AB12" i="1423"/>
  <c r="Q12" i="1423"/>
  <c r="P12" i="1423" s="1"/>
  <c r="AC12" i="1423" s="1"/>
  <c r="M12" i="1423"/>
  <c r="O12" i="1423"/>
  <c r="AF11" i="1423"/>
  <c r="AB11" i="1423"/>
  <c r="Q11" i="1423"/>
  <c r="P11" i="1423"/>
  <c r="AC11" i="1423" s="1"/>
  <c r="O11" i="1423"/>
  <c r="M11" i="1423"/>
  <c r="K11" i="1423"/>
  <c r="AF10" i="1423"/>
  <c r="Q10" i="1423"/>
  <c r="AB10" i="1423"/>
  <c r="AF9" i="1423"/>
  <c r="AB9" i="1423"/>
  <c r="Q9" i="1423"/>
  <c r="P9" i="1423"/>
  <c r="AC9" i="1423" s="1"/>
  <c r="M9" i="1423"/>
  <c r="O9" i="1423"/>
  <c r="AF8" i="1423"/>
  <c r="Q8" i="1423"/>
  <c r="O8" i="1423"/>
  <c r="L22" i="1423"/>
  <c r="O22" i="1423" s="1"/>
  <c r="AF7" i="1423"/>
  <c r="AB7" i="1423"/>
  <c r="Q7" i="1423"/>
  <c r="P7" i="1423"/>
  <c r="AC7" i="1423" s="1"/>
  <c r="O7" i="1423"/>
  <c r="M7" i="1423"/>
  <c r="K7" i="1423"/>
  <c r="AF6" i="1423"/>
  <c r="AB6" i="1423"/>
  <c r="Q6" i="1423"/>
  <c r="P6" i="1423"/>
  <c r="O6" i="1423"/>
  <c r="M6" i="1423"/>
  <c r="K6" i="1423"/>
  <c r="AE13" i="1426" l="1"/>
  <c r="AE6" i="1426"/>
  <c r="AE11" i="1426"/>
  <c r="AE19" i="1426"/>
  <c r="AE9" i="1426"/>
  <c r="AE7" i="1426"/>
  <c r="AE12" i="1426"/>
  <c r="AE17" i="1426"/>
  <c r="AE10" i="1426"/>
  <c r="AE14" i="1426"/>
  <c r="AE18" i="1426"/>
  <c r="AE20" i="1426"/>
  <c r="AE16" i="1426"/>
  <c r="AD23" i="1425"/>
  <c r="AC23" i="1424"/>
  <c r="P23" i="1424"/>
  <c r="AD18" i="1424"/>
  <c r="AD20" i="1424"/>
  <c r="M23" i="1424"/>
  <c r="AB23" i="1424"/>
  <c r="O20" i="1423"/>
  <c r="AB20" i="1423"/>
  <c r="M20" i="1423"/>
  <c r="P20" i="1423"/>
  <c r="AC20" i="1423" s="1"/>
  <c r="K19" i="1423"/>
  <c r="AD19" i="1423"/>
  <c r="AB15" i="1423"/>
  <c r="AD15" i="1423" s="1"/>
  <c r="M15" i="1423"/>
  <c r="O15" i="1423"/>
  <c r="AD7" i="1423"/>
  <c r="AF63" i="1423"/>
  <c r="AD12" i="1423"/>
  <c r="Q22" i="1423"/>
  <c r="AD11" i="1423"/>
  <c r="AD14" i="1423"/>
  <c r="AD13" i="1423"/>
  <c r="AD17" i="1423"/>
  <c r="AD9" i="1423"/>
  <c r="AD16" i="1423"/>
  <c r="O10" i="1423"/>
  <c r="O21" i="1423"/>
  <c r="AC6" i="1423"/>
  <c r="M8" i="1423"/>
  <c r="AB8" i="1423"/>
  <c r="P10" i="1423"/>
  <c r="AC10" i="1423" s="1"/>
  <c r="M18" i="1423"/>
  <c r="AB18" i="1423"/>
  <c r="AD18" i="1423" s="1"/>
  <c r="P21" i="1423"/>
  <c r="AC21" i="1423" s="1"/>
  <c r="K22" i="1423"/>
  <c r="P8" i="1423"/>
  <c r="AC8" i="1423" s="1"/>
  <c r="M10" i="1423"/>
  <c r="M21" i="1423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422"/>
  <c r="L20" i="1422"/>
  <c r="K20" i="1422" s="1"/>
  <c r="L19" i="1422"/>
  <c r="K19" i="1422" s="1"/>
  <c r="L17" i="1422"/>
  <c r="AF16" i="1422"/>
  <c r="Q16" i="1422"/>
  <c r="O16" i="1422"/>
  <c r="AB16" i="1422"/>
  <c r="L15" i="1422"/>
  <c r="K15" i="1422" s="1"/>
  <c r="K13" i="1422"/>
  <c r="L12" i="1422"/>
  <c r="K12" i="1422" s="1"/>
  <c r="L10" i="1422"/>
  <c r="L9" i="1422"/>
  <c r="AB9" i="1422" s="1"/>
  <c r="L8" i="1422"/>
  <c r="K21" i="1422"/>
  <c r="K17" i="1422"/>
  <c r="K10" i="1422"/>
  <c r="K9" i="1422"/>
  <c r="A76" i="1422"/>
  <c r="A77" i="1422" s="1"/>
  <c r="A78" i="1422" s="1"/>
  <c r="A79" i="1422" s="1"/>
  <c r="A80" i="1422" s="1"/>
  <c r="A81" i="1422" s="1"/>
  <c r="A82" i="1422" s="1"/>
  <c r="A75" i="1422"/>
  <c r="AF61" i="1422"/>
  <c r="AF60" i="1422"/>
  <c r="AF63" i="1422" s="1"/>
  <c r="AA22" i="1422"/>
  <c r="Z22" i="1422"/>
  <c r="Y22" i="1422"/>
  <c r="X22" i="1422"/>
  <c r="W22" i="1422"/>
  <c r="V22" i="1422"/>
  <c r="U22" i="1422"/>
  <c r="T22" i="1422"/>
  <c r="S22" i="1422"/>
  <c r="R22" i="1422"/>
  <c r="N22" i="1422"/>
  <c r="J22" i="1422"/>
  <c r="AF21" i="1422"/>
  <c r="Q21" i="1422"/>
  <c r="O21" i="1422"/>
  <c r="AF20" i="1422"/>
  <c r="AB20" i="1422"/>
  <c r="Q20" i="1422"/>
  <c r="P20" i="1422" s="1"/>
  <c r="AC20" i="1422" s="1"/>
  <c r="M20" i="1422"/>
  <c r="I22" i="1422"/>
  <c r="AF19" i="1422"/>
  <c r="Q19" i="1422"/>
  <c r="AF18" i="1422"/>
  <c r="AB18" i="1422"/>
  <c r="Q18" i="1422"/>
  <c r="P18" i="1422"/>
  <c r="AC18" i="1422" s="1"/>
  <c r="O18" i="1422"/>
  <c r="M18" i="1422"/>
  <c r="K18" i="1422"/>
  <c r="AF17" i="1422"/>
  <c r="AB17" i="1422"/>
  <c r="Q17" i="1422"/>
  <c r="P17" i="1422"/>
  <c r="AC17" i="1422" s="1"/>
  <c r="O17" i="1422"/>
  <c r="M17" i="1422"/>
  <c r="AF15" i="1422"/>
  <c r="AB15" i="1422"/>
  <c r="Q15" i="1422"/>
  <c r="P15" i="1422" s="1"/>
  <c r="AC15" i="1422" s="1"/>
  <c r="M15" i="1422"/>
  <c r="AF14" i="1422"/>
  <c r="AC14" i="1422"/>
  <c r="AB14" i="1422"/>
  <c r="Q14" i="1422"/>
  <c r="P14" i="1422"/>
  <c r="O14" i="1422"/>
  <c r="M14" i="1422"/>
  <c r="K14" i="1422"/>
  <c r="AF13" i="1422"/>
  <c r="AB13" i="1422"/>
  <c r="Q13" i="1422"/>
  <c r="P13" i="1422" s="1"/>
  <c r="AC13" i="1422" s="1"/>
  <c r="O13" i="1422"/>
  <c r="M13" i="1422"/>
  <c r="AF12" i="1422"/>
  <c r="Q12" i="1422"/>
  <c r="AB12" i="1422"/>
  <c r="AF11" i="1422"/>
  <c r="AB11" i="1422"/>
  <c r="Q11" i="1422"/>
  <c r="P11" i="1422"/>
  <c r="AC11" i="1422" s="1"/>
  <c r="O11" i="1422"/>
  <c r="M11" i="1422"/>
  <c r="K11" i="1422"/>
  <c r="AF10" i="1422"/>
  <c r="AB10" i="1422"/>
  <c r="Q10" i="1422"/>
  <c r="P10" i="1422" s="1"/>
  <c r="AC10" i="1422" s="1"/>
  <c r="M10" i="1422"/>
  <c r="O10" i="1422"/>
  <c r="AF9" i="1422"/>
  <c r="Q9" i="1422"/>
  <c r="AF8" i="1422"/>
  <c r="AB8" i="1422"/>
  <c r="Q8" i="1422"/>
  <c r="M8" i="1422"/>
  <c r="AF7" i="1422"/>
  <c r="AC7" i="1422"/>
  <c r="AD7" i="1422" s="1"/>
  <c r="AB7" i="1422"/>
  <c r="Q7" i="1422"/>
  <c r="P7" i="1422"/>
  <c r="O7" i="1422"/>
  <c r="M7" i="1422"/>
  <c r="K7" i="1422"/>
  <c r="AF6" i="1422"/>
  <c r="AC6" i="1422"/>
  <c r="AB6" i="1422"/>
  <c r="Q6" i="1422"/>
  <c r="P6" i="1422"/>
  <c r="O6" i="1422"/>
  <c r="M6" i="1422"/>
  <c r="K6" i="1422"/>
  <c r="AE17" i="1425" l="1"/>
  <c r="AE16" i="1425"/>
  <c r="AE6" i="1425"/>
  <c r="AE18" i="1425"/>
  <c r="AE11" i="1425"/>
  <c r="AE9" i="1425"/>
  <c r="AE14" i="1425"/>
  <c r="AE10" i="1425"/>
  <c r="AE21" i="1425"/>
  <c r="AE19" i="1425"/>
  <c r="AE13" i="1425"/>
  <c r="AE20" i="1425"/>
  <c r="AE22" i="1425"/>
  <c r="AE12" i="1425"/>
  <c r="AE7" i="1425"/>
  <c r="AE15" i="1425"/>
  <c r="AE8" i="1425"/>
  <c r="AD23" i="1424"/>
  <c r="AE18" i="1424" s="1"/>
  <c r="AD20" i="1423"/>
  <c r="AD8" i="1423"/>
  <c r="M22" i="1423"/>
  <c r="AB22" i="1423"/>
  <c r="AD10" i="1423"/>
  <c r="AD21" i="1423"/>
  <c r="P22" i="1423"/>
  <c r="AC22" i="1423"/>
  <c r="AD6" i="1423"/>
  <c r="O20" i="1422"/>
  <c r="P19" i="1422"/>
  <c r="AC19" i="1422" s="1"/>
  <c r="O19" i="1422"/>
  <c r="K16" i="1422"/>
  <c r="P16" i="1422"/>
  <c r="AC16" i="1422" s="1"/>
  <c r="AD16" i="1422" s="1"/>
  <c r="M16" i="1422"/>
  <c r="O15" i="1422"/>
  <c r="AD15" i="1422" s="1"/>
  <c r="Q22" i="1422"/>
  <c r="L22" i="1422"/>
  <c r="O22" i="1422" s="1"/>
  <c r="O8" i="1422"/>
  <c r="K8" i="1422"/>
  <c r="P8" i="1422"/>
  <c r="AC8" i="1422" s="1"/>
  <c r="AD8" i="1422" s="1"/>
  <c r="AD18" i="1422"/>
  <c r="AD20" i="1422"/>
  <c r="AD11" i="1422"/>
  <c r="AD10" i="1422"/>
  <c r="AD13" i="1422"/>
  <c r="AD14" i="1422"/>
  <c r="AD17" i="1422"/>
  <c r="O9" i="1422"/>
  <c r="O12" i="1422"/>
  <c r="AD6" i="1422"/>
  <c r="K22" i="1422"/>
  <c r="P9" i="1422"/>
  <c r="AC9" i="1422" s="1"/>
  <c r="AD9" i="1422" s="1"/>
  <c r="P12" i="1422"/>
  <c r="AC12" i="1422" s="1"/>
  <c r="AD12" i="1422" s="1"/>
  <c r="M19" i="1422"/>
  <c r="AB19" i="1422"/>
  <c r="P21" i="1422"/>
  <c r="AC21" i="1422" s="1"/>
  <c r="M9" i="1422"/>
  <c r="M12" i="1422"/>
  <c r="M21" i="1422"/>
  <c r="AB21" i="1422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AE22" i="1424" l="1"/>
  <c r="AE9" i="1424"/>
  <c r="AE11" i="1424"/>
  <c r="AE14" i="1424"/>
  <c r="AE20" i="1424"/>
  <c r="AE13" i="1424"/>
  <c r="AE10" i="1424"/>
  <c r="AE15" i="1424"/>
  <c r="AE6" i="1424"/>
  <c r="AE16" i="1424"/>
  <c r="AE7" i="1424"/>
  <c r="AE12" i="1424"/>
  <c r="AE17" i="1424"/>
  <c r="AE8" i="1424"/>
  <c r="AE19" i="1424"/>
  <c r="AE21" i="1424"/>
  <c r="AD22" i="1423"/>
  <c r="AE16" i="1423" s="1"/>
  <c r="AD19" i="1422"/>
  <c r="M22" i="1422"/>
  <c r="AB22" i="1422"/>
  <c r="P22" i="1422"/>
  <c r="AD21" i="1422"/>
  <c r="AC22" i="1422"/>
  <c r="L20" i="1421"/>
  <c r="L18" i="1421"/>
  <c r="L16" i="1421"/>
  <c r="L12" i="1421"/>
  <c r="L10" i="1421"/>
  <c r="L9" i="1421"/>
  <c r="K9" i="1421" s="1"/>
  <c r="L8" i="1421"/>
  <c r="K8" i="1421" s="1"/>
  <c r="K20" i="1421"/>
  <c r="K19" i="1421"/>
  <c r="K18" i="1421"/>
  <c r="K16" i="1421"/>
  <c r="K13" i="1421"/>
  <c r="K12" i="1421"/>
  <c r="K10" i="1421"/>
  <c r="A75" i="1421"/>
  <c r="A76" i="1421" s="1"/>
  <c r="A77" i="1421" s="1"/>
  <c r="A78" i="1421" s="1"/>
  <c r="A79" i="1421" s="1"/>
  <c r="A80" i="1421" s="1"/>
  <c r="A81" i="1421" s="1"/>
  <c r="A74" i="1421"/>
  <c r="AF60" i="1421"/>
  <c r="AF59" i="1421"/>
  <c r="AF62" i="1421" s="1"/>
  <c r="AA21" i="1421"/>
  <c r="Z21" i="1421"/>
  <c r="Y21" i="1421"/>
  <c r="X21" i="1421"/>
  <c r="W21" i="1421"/>
  <c r="V21" i="1421"/>
  <c r="U21" i="1421"/>
  <c r="T21" i="1421"/>
  <c r="S21" i="1421"/>
  <c r="R21" i="1421"/>
  <c r="N21" i="1421"/>
  <c r="J21" i="1421"/>
  <c r="AF20" i="1421"/>
  <c r="Q20" i="1421"/>
  <c r="O20" i="1421"/>
  <c r="AF19" i="1421"/>
  <c r="Q19" i="1421"/>
  <c r="P19" i="1421"/>
  <c r="AC19" i="1421" s="1"/>
  <c r="AB19" i="1421"/>
  <c r="I19" i="1421"/>
  <c r="I21" i="1421" s="1"/>
  <c r="AF18" i="1421"/>
  <c r="Q18" i="1421"/>
  <c r="P18" i="1421"/>
  <c r="AC18" i="1421" s="1"/>
  <c r="AB18" i="1421"/>
  <c r="AF17" i="1421"/>
  <c r="AC17" i="1421"/>
  <c r="AD17" i="1421" s="1"/>
  <c r="AB17" i="1421"/>
  <c r="Q17" i="1421"/>
  <c r="P17" i="1421"/>
  <c r="O17" i="1421"/>
  <c r="M17" i="1421"/>
  <c r="K17" i="1421"/>
  <c r="AF16" i="1421"/>
  <c r="Q16" i="1421"/>
  <c r="O16" i="1421"/>
  <c r="AF15" i="1421"/>
  <c r="AB15" i="1421"/>
  <c r="Q15" i="1421"/>
  <c r="P15" i="1421"/>
  <c r="AC15" i="1421" s="1"/>
  <c r="AD15" i="1421" s="1"/>
  <c r="O15" i="1421"/>
  <c r="M15" i="1421"/>
  <c r="K15" i="1421"/>
  <c r="AF14" i="1421"/>
  <c r="AB14" i="1421"/>
  <c r="Q14" i="1421"/>
  <c r="P14" i="1421"/>
  <c r="AC14" i="1421" s="1"/>
  <c r="AD14" i="1421" s="1"/>
  <c r="O14" i="1421"/>
  <c r="M14" i="1421"/>
  <c r="K14" i="1421"/>
  <c r="AF13" i="1421"/>
  <c r="Q13" i="1421"/>
  <c r="P13" i="1421"/>
  <c r="AC13" i="1421" s="1"/>
  <c r="AB13" i="1421"/>
  <c r="AF12" i="1421"/>
  <c r="Q12" i="1421"/>
  <c r="P12" i="1421"/>
  <c r="AC12" i="1421" s="1"/>
  <c r="O12" i="1421"/>
  <c r="AB12" i="1421"/>
  <c r="AF11" i="1421"/>
  <c r="AC11" i="1421"/>
  <c r="AD11" i="1421" s="1"/>
  <c r="AB11" i="1421"/>
  <c r="Q11" i="1421"/>
  <c r="P11" i="1421"/>
  <c r="O11" i="1421"/>
  <c r="M11" i="1421"/>
  <c r="K11" i="1421"/>
  <c r="AF10" i="1421"/>
  <c r="Q10" i="1421"/>
  <c r="P10" i="1421"/>
  <c r="AC10" i="1421" s="1"/>
  <c r="AB10" i="1421"/>
  <c r="AF9" i="1421"/>
  <c r="Q9" i="1421"/>
  <c r="P9" i="1421"/>
  <c r="AC9" i="1421" s="1"/>
  <c r="O9" i="1421"/>
  <c r="AB9" i="1421"/>
  <c r="AF8" i="1421"/>
  <c r="Q8" i="1421"/>
  <c r="AF7" i="1421"/>
  <c r="AB7" i="1421"/>
  <c r="Q7" i="1421"/>
  <c r="P7" i="1421"/>
  <c r="AC7" i="1421" s="1"/>
  <c r="AD7" i="1421" s="1"/>
  <c r="O7" i="1421"/>
  <c r="M7" i="1421"/>
  <c r="K7" i="1421"/>
  <c r="AF6" i="1421"/>
  <c r="AC6" i="1421"/>
  <c r="AB6" i="1421"/>
  <c r="Q6" i="1421"/>
  <c r="P6" i="1421"/>
  <c r="O6" i="1421"/>
  <c r="M6" i="1421"/>
  <c r="K6" i="1421"/>
  <c r="AE8" i="1423" l="1"/>
  <c r="AE10" i="1423"/>
  <c r="AE12" i="1423"/>
  <c r="AE14" i="1423"/>
  <c r="AE7" i="1423"/>
  <c r="AE21" i="1423"/>
  <c r="AE13" i="1423"/>
  <c r="AE9" i="1423"/>
  <c r="AE15" i="1423"/>
  <c r="AE11" i="1423"/>
  <c r="AE6" i="1423"/>
  <c r="AD22" i="1422"/>
  <c r="AE16" i="1422" s="1"/>
  <c r="AE19" i="1422"/>
  <c r="AE15" i="1422"/>
  <c r="AE17" i="1422"/>
  <c r="AE11" i="1422"/>
  <c r="AE8" i="1422"/>
  <c r="AE21" i="1422"/>
  <c r="AE18" i="1422"/>
  <c r="AE10" i="1422"/>
  <c r="AE13" i="1422"/>
  <c r="AE7" i="1422"/>
  <c r="AE14" i="1422"/>
  <c r="AE12" i="1422"/>
  <c r="AE9" i="1422"/>
  <c r="AE6" i="1422"/>
  <c r="Q21" i="1421"/>
  <c r="P8" i="1421"/>
  <c r="AC8" i="1421" s="1"/>
  <c r="AB8" i="1421"/>
  <c r="M8" i="1421"/>
  <c r="O8" i="1421"/>
  <c r="AD9" i="1421"/>
  <c r="AD10" i="1421"/>
  <c r="AD12" i="1421"/>
  <c r="M9" i="1421"/>
  <c r="O10" i="1421"/>
  <c r="M12" i="1421"/>
  <c r="O13" i="1421"/>
  <c r="AD13" i="1421" s="1"/>
  <c r="K21" i="1421"/>
  <c r="P16" i="1421"/>
  <c r="AC16" i="1421" s="1"/>
  <c r="AC21" i="1421" s="1"/>
  <c r="O18" i="1421"/>
  <c r="AD18" i="1421" s="1"/>
  <c r="O19" i="1421"/>
  <c r="AD19" i="1421" s="1"/>
  <c r="P20" i="1421"/>
  <c r="AC20" i="1421" s="1"/>
  <c r="M16" i="1421"/>
  <c r="AB16" i="1421"/>
  <c r="M20" i="1421"/>
  <c r="AB20" i="1421"/>
  <c r="L21" i="1421"/>
  <c r="O21" i="1421" s="1"/>
  <c r="AD6" i="1421"/>
  <c r="M10" i="1421"/>
  <c r="M13" i="1421"/>
  <c r="M18" i="1421"/>
  <c r="M19" i="1421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0" i="1420"/>
  <c r="L19" i="1420"/>
  <c r="L18" i="1420"/>
  <c r="K18" i="1420" s="1"/>
  <c r="L16" i="1420"/>
  <c r="K16" i="1420" s="1"/>
  <c r="L13" i="1420"/>
  <c r="K13" i="1420" s="1"/>
  <c r="L12" i="1420"/>
  <c r="M12" i="1420" s="1"/>
  <c r="L10" i="1420"/>
  <c r="L9" i="1420"/>
  <c r="L8" i="1420"/>
  <c r="K20" i="1420"/>
  <c r="K19" i="1420"/>
  <c r="K12" i="1420"/>
  <c r="K10" i="1420"/>
  <c r="K9" i="1420"/>
  <c r="K8" i="1420"/>
  <c r="A75" i="1420"/>
  <c r="A76" i="1420" s="1"/>
  <c r="A77" i="1420" s="1"/>
  <c r="A78" i="1420" s="1"/>
  <c r="A79" i="1420" s="1"/>
  <c r="A80" i="1420" s="1"/>
  <c r="A81" i="1420" s="1"/>
  <c r="A74" i="1420"/>
  <c r="AF60" i="1420"/>
  <c r="AF59" i="1420"/>
  <c r="AF62" i="1420" s="1"/>
  <c r="AA21" i="1420"/>
  <c r="Z21" i="1420"/>
  <c r="Y21" i="1420"/>
  <c r="X21" i="1420"/>
  <c r="W21" i="1420"/>
  <c r="V21" i="1420"/>
  <c r="U21" i="1420"/>
  <c r="T21" i="1420"/>
  <c r="S21" i="1420"/>
  <c r="R21" i="1420"/>
  <c r="N21" i="1420"/>
  <c r="J21" i="1420"/>
  <c r="AF20" i="1420"/>
  <c r="Q20" i="1420"/>
  <c r="O20" i="1420"/>
  <c r="AF19" i="1420"/>
  <c r="Q19" i="1420"/>
  <c r="AB19" i="1420"/>
  <c r="I19" i="1420"/>
  <c r="I21" i="1420" s="1"/>
  <c r="AF18" i="1420"/>
  <c r="Q18" i="1420"/>
  <c r="P18" i="1420"/>
  <c r="AC18" i="1420" s="1"/>
  <c r="AB18" i="1420"/>
  <c r="AF17" i="1420"/>
  <c r="AC17" i="1420"/>
  <c r="AB17" i="1420"/>
  <c r="Q17" i="1420"/>
  <c r="P17" i="1420"/>
  <c r="O17" i="1420"/>
  <c r="M17" i="1420"/>
  <c r="K17" i="1420"/>
  <c r="AF16" i="1420"/>
  <c r="Q16" i="1420"/>
  <c r="AF15" i="1420"/>
  <c r="AB15" i="1420"/>
  <c r="Q15" i="1420"/>
  <c r="P15" i="1420"/>
  <c r="AC15" i="1420" s="1"/>
  <c r="AD15" i="1420" s="1"/>
  <c r="O15" i="1420"/>
  <c r="M15" i="1420"/>
  <c r="K15" i="1420"/>
  <c r="AF14" i="1420"/>
  <c r="AB14" i="1420"/>
  <c r="Q14" i="1420"/>
  <c r="P14" i="1420"/>
  <c r="AC14" i="1420" s="1"/>
  <c r="O14" i="1420"/>
  <c r="M14" i="1420"/>
  <c r="K14" i="1420"/>
  <c r="AF13" i="1420"/>
  <c r="Q13" i="1420"/>
  <c r="P13" i="1420"/>
  <c r="AC13" i="1420" s="1"/>
  <c r="M13" i="1420"/>
  <c r="AF12" i="1420"/>
  <c r="AB12" i="1420"/>
  <c r="Q12" i="1420"/>
  <c r="P12" i="1420" s="1"/>
  <c r="AC12" i="1420" s="1"/>
  <c r="O12" i="1420"/>
  <c r="AF11" i="1420"/>
  <c r="AB11" i="1420"/>
  <c r="Q11" i="1420"/>
  <c r="P11" i="1420"/>
  <c r="AC11" i="1420" s="1"/>
  <c r="O11" i="1420"/>
  <c r="M11" i="1420"/>
  <c r="K11" i="1420"/>
  <c r="AF10" i="1420"/>
  <c r="AB10" i="1420"/>
  <c r="Q10" i="1420"/>
  <c r="O10" i="1420"/>
  <c r="M10" i="1420"/>
  <c r="AF9" i="1420"/>
  <c r="AB9" i="1420"/>
  <c r="Q9" i="1420"/>
  <c r="P9" i="1420" s="1"/>
  <c r="AC9" i="1420" s="1"/>
  <c r="AD9" i="1420" s="1"/>
  <c r="O9" i="1420"/>
  <c r="M9" i="1420"/>
  <c r="AF8" i="1420"/>
  <c r="Q8" i="1420"/>
  <c r="O8" i="1420"/>
  <c r="AF7" i="1420"/>
  <c r="AB7" i="1420"/>
  <c r="Q7" i="1420"/>
  <c r="P7" i="1420"/>
  <c r="AC7" i="1420" s="1"/>
  <c r="AD7" i="1420" s="1"/>
  <c r="O7" i="1420"/>
  <c r="M7" i="1420"/>
  <c r="K7" i="1420"/>
  <c r="AF6" i="1420"/>
  <c r="AC6" i="1420"/>
  <c r="AB6" i="1420"/>
  <c r="Q6" i="1420"/>
  <c r="P6" i="1420"/>
  <c r="O6" i="1420"/>
  <c r="M6" i="1420"/>
  <c r="K6" i="1420"/>
  <c r="AE20" i="1422" l="1"/>
  <c r="AD8" i="1421"/>
  <c r="AB21" i="1421"/>
  <c r="P21" i="1421"/>
  <c r="M21" i="1421"/>
  <c r="AD20" i="1421"/>
  <c r="AD16" i="1421"/>
  <c r="P19" i="1420"/>
  <c r="AC19" i="1420" s="1"/>
  <c r="P16" i="1420"/>
  <c r="AC16" i="1420" s="1"/>
  <c r="AB16" i="1420"/>
  <c r="M16" i="1420"/>
  <c r="O16" i="1420"/>
  <c r="AB13" i="1420"/>
  <c r="O13" i="1420"/>
  <c r="AD12" i="1420"/>
  <c r="P10" i="1420"/>
  <c r="AC10" i="1420" s="1"/>
  <c r="AD10" i="1420"/>
  <c r="Q21" i="1420"/>
  <c r="AD17" i="1420"/>
  <c r="AD11" i="1420"/>
  <c r="AD14" i="1420"/>
  <c r="AD13" i="1420"/>
  <c r="P8" i="1420"/>
  <c r="AC8" i="1420" s="1"/>
  <c r="O18" i="1420"/>
  <c r="AD18" i="1420" s="1"/>
  <c r="O19" i="1420"/>
  <c r="AD19" i="1420" s="1"/>
  <c r="P20" i="1420"/>
  <c r="AC20" i="1420" s="1"/>
  <c r="M8" i="1420"/>
  <c r="AB8" i="1420"/>
  <c r="M20" i="1420"/>
  <c r="AB20" i="1420"/>
  <c r="L21" i="1420"/>
  <c r="O21" i="1420" s="1"/>
  <c r="AD6" i="1420"/>
  <c r="M18" i="1420"/>
  <c r="M19" i="1420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0" i="1419"/>
  <c r="K20" i="1419"/>
  <c r="L19" i="1419"/>
  <c r="I19" i="1419"/>
  <c r="L18" i="1419"/>
  <c r="AD21" i="1421" l="1"/>
  <c r="AE17" i="1421" s="1"/>
  <c r="AE6" i="1421"/>
  <c r="AE16" i="1421"/>
  <c r="AE13" i="1421"/>
  <c r="AD16" i="1420"/>
  <c r="M21" i="1420"/>
  <c r="AC21" i="1420"/>
  <c r="P21" i="1420"/>
  <c r="AB21" i="1420"/>
  <c r="K21" i="1420"/>
  <c r="AD20" i="1420"/>
  <c r="AD8" i="1420"/>
  <c r="L13" i="1419"/>
  <c r="K13" i="1419" s="1"/>
  <c r="L12" i="1419"/>
  <c r="L10" i="1419"/>
  <c r="L9" i="1419"/>
  <c r="L8" i="1419"/>
  <c r="K19" i="1419"/>
  <c r="K18" i="1419"/>
  <c r="K16" i="1419"/>
  <c r="K14" i="1419"/>
  <c r="K12" i="1419"/>
  <c r="K9" i="1419"/>
  <c r="K8" i="1419"/>
  <c r="A75" i="1419"/>
  <c r="A76" i="1419" s="1"/>
  <c r="A77" i="1419" s="1"/>
  <c r="A78" i="1419" s="1"/>
  <c r="A79" i="1419" s="1"/>
  <c r="A80" i="1419" s="1"/>
  <c r="A81" i="1419" s="1"/>
  <c r="A74" i="1419"/>
  <c r="AF60" i="1419"/>
  <c r="AF59" i="1419"/>
  <c r="AF62" i="1419" s="1"/>
  <c r="AA21" i="1419"/>
  <c r="Z21" i="1419"/>
  <c r="Y21" i="1419"/>
  <c r="X21" i="1419"/>
  <c r="W21" i="1419"/>
  <c r="V21" i="1419"/>
  <c r="U21" i="1419"/>
  <c r="T21" i="1419"/>
  <c r="S21" i="1419"/>
  <c r="R21" i="1419"/>
  <c r="N21" i="1419"/>
  <c r="J21" i="1419"/>
  <c r="I21" i="1419"/>
  <c r="AF20" i="1419"/>
  <c r="AB20" i="1419"/>
  <c r="Q20" i="1419"/>
  <c r="P20" i="1419" s="1"/>
  <c r="AC20" i="1419" s="1"/>
  <c r="O20" i="1419"/>
  <c r="M20" i="1419"/>
  <c r="AF19" i="1419"/>
  <c r="Q19" i="1419"/>
  <c r="P19" i="1419"/>
  <c r="AC19" i="1419" s="1"/>
  <c r="O19" i="1419"/>
  <c r="AB19" i="1419"/>
  <c r="AF18" i="1419"/>
  <c r="AB18" i="1419"/>
  <c r="Q18" i="1419"/>
  <c r="P18" i="1419"/>
  <c r="AC18" i="1419" s="1"/>
  <c r="O18" i="1419"/>
  <c r="M18" i="1419"/>
  <c r="AF17" i="1419"/>
  <c r="AC17" i="1419"/>
  <c r="AB17" i="1419"/>
  <c r="Q17" i="1419"/>
  <c r="P17" i="1419"/>
  <c r="O17" i="1419"/>
  <c r="M17" i="1419"/>
  <c r="K17" i="1419"/>
  <c r="AF16" i="1419"/>
  <c r="Q16" i="1419"/>
  <c r="P16" i="1419" s="1"/>
  <c r="AC16" i="1419" s="1"/>
  <c r="O16" i="1419"/>
  <c r="AB16" i="1419"/>
  <c r="AF15" i="1419"/>
  <c r="AB15" i="1419"/>
  <c r="Q15" i="1419"/>
  <c r="P15" i="1419"/>
  <c r="AC15" i="1419" s="1"/>
  <c r="AD15" i="1419" s="1"/>
  <c r="O15" i="1419"/>
  <c r="M15" i="1419"/>
  <c r="K15" i="1419"/>
  <c r="AF14" i="1419"/>
  <c r="AB14" i="1419"/>
  <c r="Q14" i="1419"/>
  <c r="P14" i="1419"/>
  <c r="AC14" i="1419" s="1"/>
  <c r="O14" i="1419"/>
  <c r="M14" i="1419"/>
  <c r="AF13" i="1419"/>
  <c r="AB13" i="1419"/>
  <c r="Q13" i="1419"/>
  <c r="P13" i="1419"/>
  <c r="AC13" i="1419" s="1"/>
  <c r="M13" i="1419"/>
  <c r="AF12" i="1419"/>
  <c r="Q12" i="1419"/>
  <c r="P12" i="1419" s="1"/>
  <c r="AC12" i="1419" s="1"/>
  <c r="AB12" i="1419"/>
  <c r="AF11" i="1419"/>
  <c r="AC11" i="1419"/>
  <c r="AB11" i="1419"/>
  <c r="Q11" i="1419"/>
  <c r="P11" i="1419"/>
  <c r="O11" i="1419"/>
  <c r="M11" i="1419"/>
  <c r="K11" i="1419"/>
  <c r="AF10" i="1419"/>
  <c r="Q10" i="1419"/>
  <c r="O10" i="1419"/>
  <c r="K10" i="1419"/>
  <c r="AF9" i="1419"/>
  <c r="Q9" i="1419"/>
  <c r="P9" i="1419" s="1"/>
  <c r="AC9" i="1419" s="1"/>
  <c r="O9" i="1419"/>
  <c r="AB9" i="1419"/>
  <c r="AF8" i="1419"/>
  <c r="AB8" i="1419"/>
  <c r="Q8" i="1419"/>
  <c r="P8" i="1419"/>
  <c r="AC8" i="1419" s="1"/>
  <c r="O8" i="1419"/>
  <c r="M8" i="1419"/>
  <c r="AF7" i="1419"/>
  <c r="AC7" i="1419"/>
  <c r="AD7" i="1419" s="1"/>
  <c r="AB7" i="1419"/>
  <c r="Q7" i="1419"/>
  <c r="P7" i="1419"/>
  <c r="O7" i="1419"/>
  <c r="M7" i="1419"/>
  <c r="K7" i="1419"/>
  <c r="AF6" i="1419"/>
  <c r="AC6" i="1419"/>
  <c r="AD6" i="1419" s="1"/>
  <c r="AB6" i="1419"/>
  <c r="Q6" i="1419"/>
  <c r="P6" i="1419"/>
  <c r="O6" i="1419"/>
  <c r="M6" i="1419"/>
  <c r="K6" i="1419"/>
  <c r="AE7" i="1421" l="1"/>
  <c r="AE8" i="1421"/>
  <c r="AE15" i="1421"/>
  <c r="AE9" i="1421"/>
  <c r="AE20" i="1421"/>
  <c r="AE11" i="1421"/>
  <c r="AE18" i="1421"/>
  <c r="AE12" i="1421"/>
  <c r="AE10" i="1421"/>
  <c r="AE14" i="1421"/>
  <c r="AE19" i="1421"/>
  <c r="AD21" i="1420"/>
  <c r="AE17" i="1420" s="1"/>
  <c r="AD20" i="1419"/>
  <c r="AD18" i="1419"/>
  <c r="O13" i="1419"/>
  <c r="AD13" i="1419" s="1"/>
  <c r="P10" i="1419"/>
  <c r="AC10" i="1419" s="1"/>
  <c r="AC21" i="1419" s="1"/>
  <c r="Q21" i="1419"/>
  <c r="M10" i="1419"/>
  <c r="AB10" i="1419"/>
  <c r="AD8" i="1419"/>
  <c r="AD14" i="1419"/>
  <c r="AD17" i="1419"/>
  <c r="P21" i="1419"/>
  <c r="AD11" i="1419"/>
  <c r="AB21" i="1419"/>
  <c r="K21" i="1419"/>
  <c r="AD16" i="1419"/>
  <c r="AD19" i="1419"/>
  <c r="AD9" i="1419"/>
  <c r="L21" i="1419"/>
  <c r="O21" i="1419" s="1"/>
  <c r="M12" i="1419"/>
  <c r="M9" i="1419"/>
  <c r="O12" i="1419"/>
  <c r="AD12" i="1419" s="1"/>
  <c r="M16" i="1419"/>
  <c r="M19" i="1419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1418"/>
  <c r="K19" i="1418" s="1"/>
  <c r="L18" i="1418"/>
  <c r="K18" i="1418"/>
  <c r="L16" i="1418"/>
  <c r="L12" i="1418"/>
  <c r="K12" i="1418"/>
  <c r="L9" i="1418"/>
  <c r="AB9" i="1418" s="1"/>
  <c r="K9" i="1418"/>
  <c r="L8" i="1418"/>
  <c r="O8" i="1418" s="1"/>
  <c r="K8" i="1418"/>
  <c r="K20" i="1418"/>
  <c r="K16" i="1418"/>
  <c r="K13" i="1418"/>
  <c r="A75" i="1418"/>
  <c r="A76" i="1418" s="1"/>
  <c r="A77" i="1418" s="1"/>
  <c r="A78" i="1418" s="1"/>
  <c r="A79" i="1418" s="1"/>
  <c r="A80" i="1418" s="1"/>
  <c r="A81" i="1418" s="1"/>
  <c r="A74" i="1418"/>
  <c r="AF60" i="1418"/>
  <c r="AF59" i="1418"/>
  <c r="AF62" i="1418" s="1"/>
  <c r="AA21" i="1418"/>
  <c r="Z21" i="1418"/>
  <c r="Y21" i="1418"/>
  <c r="X21" i="1418"/>
  <c r="W21" i="1418"/>
  <c r="V21" i="1418"/>
  <c r="U21" i="1418"/>
  <c r="T21" i="1418"/>
  <c r="S21" i="1418"/>
  <c r="R21" i="1418"/>
  <c r="N21" i="1418"/>
  <c r="J21" i="1418"/>
  <c r="I21" i="1418"/>
  <c r="AF20" i="1418"/>
  <c r="Q20" i="1418"/>
  <c r="O20" i="1418"/>
  <c r="AF19" i="1418"/>
  <c r="Q19" i="1418"/>
  <c r="P19" i="1418" s="1"/>
  <c r="AC19" i="1418" s="1"/>
  <c r="AB19" i="1418"/>
  <c r="AF18" i="1418"/>
  <c r="Q18" i="1418"/>
  <c r="O18" i="1418"/>
  <c r="AB18" i="1418"/>
  <c r="AF17" i="1418"/>
  <c r="AC17" i="1418"/>
  <c r="AD17" i="1418" s="1"/>
  <c r="AB17" i="1418"/>
  <c r="Q17" i="1418"/>
  <c r="P17" i="1418"/>
  <c r="O17" i="1418"/>
  <c r="M17" i="1418"/>
  <c r="K17" i="1418"/>
  <c r="AF16" i="1418"/>
  <c r="Q16" i="1418"/>
  <c r="P16" i="1418"/>
  <c r="AC16" i="1418" s="1"/>
  <c r="AB16" i="1418"/>
  <c r="AF15" i="1418"/>
  <c r="AC15" i="1418"/>
  <c r="AD15" i="1418" s="1"/>
  <c r="AB15" i="1418"/>
  <c r="Q15" i="1418"/>
  <c r="P15" i="1418"/>
  <c r="O15" i="1418"/>
  <c r="M15" i="1418"/>
  <c r="K15" i="1418"/>
  <c r="AF14" i="1418"/>
  <c r="AB14" i="1418"/>
  <c r="Q14" i="1418"/>
  <c r="P14" i="1418" s="1"/>
  <c r="AC14" i="1418" s="1"/>
  <c r="O14" i="1418"/>
  <c r="M14" i="1418"/>
  <c r="K14" i="1418"/>
  <c r="AF13" i="1418"/>
  <c r="Q13" i="1418"/>
  <c r="P13" i="1418"/>
  <c r="AC13" i="1418" s="1"/>
  <c r="O13" i="1418"/>
  <c r="AB13" i="1418"/>
  <c r="AF12" i="1418"/>
  <c r="AB12" i="1418"/>
  <c r="Q12" i="1418"/>
  <c r="O12" i="1418"/>
  <c r="M12" i="1418"/>
  <c r="AF11" i="1418"/>
  <c r="AC11" i="1418"/>
  <c r="AB11" i="1418"/>
  <c r="Q11" i="1418"/>
  <c r="P11" i="1418"/>
  <c r="O11" i="1418"/>
  <c r="M11" i="1418"/>
  <c r="K11" i="1418"/>
  <c r="AF10" i="1418"/>
  <c r="AC10" i="1418"/>
  <c r="AB10" i="1418"/>
  <c r="Q10" i="1418"/>
  <c r="P10" i="1418"/>
  <c r="O10" i="1418"/>
  <c r="M10" i="1418"/>
  <c r="K10" i="1418"/>
  <c r="AF9" i="1418"/>
  <c r="Q9" i="1418"/>
  <c r="AF8" i="1418"/>
  <c r="AB8" i="1418"/>
  <c r="Q8" i="1418"/>
  <c r="P8" i="1418"/>
  <c r="AC8" i="1418" s="1"/>
  <c r="M8" i="1418"/>
  <c r="AF7" i="1418"/>
  <c r="AC7" i="1418"/>
  <c r="AD7" i="1418" s="1"/>
  <c r="AB7" i="1418"/>
  <c r="Q7" i="1418"/>
  <c r="P7" i="1418"/>
  <c r="O7" i="1418"/>
  <c r="M7" i="1418"/>
  <c r="K7" i="1418"/>
  <c r="AF6" i="1418"/>
  <c r="AB6" i="1418"/>
  <c r="Q6" i="1418"/>
  <c r="P6" i="1418"/>
  <c r="AC6" i="1418" s="1"/>
  <c r="O6" i="1418"/>
  <c r="M6" i="1418"/>
  <c r="K6" i="1418"/>
  <c r="AE12" i="1420" l="1"/>
  <c r="AE19" i="1420"/>
  <c r="AE10" i="1420"/>
  <c r="AE20" i="1420"/>
  <c r="AE11" i="1420"/>
  <c r="AE8" i="1420"/>
  <c r="AE13" i="1420"/>
  <c r="AE6" i="1420"/>
  <c r="AE7" i="1420"/>
  <c r="AE14" i="1420"/>
  <c r="AE15" i="1420"/>
  <c r="AE9" i="1420"/>
  <c r="AE18" i="1420"/>
  <c r="AE16" i="1420"/>
  <c r="AD10" i="1419"/>
  <c r="AD21" i="1419"/>
  <c r="AE13" i="1419" s="1"/>
  <c r="M21" i="1419"/>
  <c r="P18" i="1418"/>
  <c r="AC18" i="1418" s="1"/>
  <c r="Q21" i="1418"/>
  <c r="P12" i="1418"/>
  <c r="AC12" i="1418" s="1"/>
  <c r="AD12" i="1418" s="1"/>
  <c r="AD8" i="1418"/>
  <c r="AD14" i="1418"/>
  <c r="AD11" i="1418"/>
  <c r="AD10" i="1418"/>
  <c r="AB21" i="1418"/>
  <c r="AD18" i="1418"/>
  <c r="AD6" i="1418"/>
  <c r="AD13" i="1418"/>
  <c r="M20" i="1418"/>
  <c r="AB20" i="1418"/>
  <c r="L21" i="1418"/>
  <c r="O21" i="1418" s="1"/>
  <c r="O9" i="1418"/>
  <c r="P9" i="1418"/>
  <c r="AC9" i="1418" s="1"/>
  <c r="AD9" i="1418" s="1"/>
  <c r="M13" i="1418"/>
  <c r="O16" i="1418"/>
  <c r="AD16" i="1418" s="1"/>
  <c r="M18" i="1418"/>
  <c r="O19" i="1418"/>
  <c r="AD19" i="1418" s="1"/>
  <c r="P20" i="1418"/>
  <c r="AC20" i="1418" s="1"/>
  <c r="AD20" i="1418" s="1"/>
  <c r="M9" i="1418"/>
  <c r="M16" i="1418"/>
  <c r="M19" i="1418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1417"/>
  <c r="K20" i="1417" s="1"/>
  <c r="L19" i="1417"/>
  <c r="L18" i="1417"/>
  <c r="AB18" i="1417" s="1"/>
  <c r="L16" i="1417"/>
  <c r="AB16" i="1417" s="1"/>
  <c r="K14" i="1417"/>
  <c r="L13" i="1417"/>
  <c r="P13" i="1417" s="1"/>
  <c r="AC13" i="1417" s="1"/>
  <c r="L12" i="1417"/>
  <c r="O12" i="1417" s="1"/>
  <c r="L9" i="1417"/>
  <c r="P8" i="1417"/>
  <c r="AC8" i="1417" s="1"/>
  <c r="K19" i="1417"/>
  <c r="K16" i="1417"/>
  <c r="K12" i="1417"/>
  <c r="K9" i="1417"/>
  <c r="A75" i="1417"/>
  <c r="A76" i="1417" s="1"/>
  <c r="A77" i="1417" s="1"/>
  <c r="A78" i="1417" s="1"/>
  <c r="A79" i="1417" s="1"/>
  <c r="A80" i="1417" s="1"/>
  <c r="A81" i="1417" s="1"/>
  <c r="A74" i="1417"/>
  <c r="AF60" i="1417"/>
  <c r="AF59" i="1417"/>
  <c r="AF62" i="1417" s="1"/>
  <c r="AA21" i="1417"/>
  <c r="Z21" i="1417"/>
  <c r="Y21" i="1417"/>
  <c r="X21" i="1417"/>
  <c r="W21" i="1417"/>
  <c r="V21" i="1417"/>
  <c r="U21" i="1417"/>
  <c r="T21" i="1417"/>
  <c r="S21" i="1417"/>
  <c r="R21" i="1417"/>
  <c r="N21" i="1417"/>
  <c r="J21" i="1417"/>
  <c r="I21" i="1417"/>
  <c r="AF20" i="1417"/>
  <c r="Q20" i="1417"/>
  <c r="AF19" i="1417"/>
  <c r="Q19" i="1417"/>
  <c r="P19" i="1417" s="1"/>
  <c r="AC19" i="1417" s="1"/>
  <c r="AB19" i="1417"/>
  <c r="AF18" i="1417"/>
  <c r="Q18" i="1417"/>
  <c r="AF17" i="1417"/>
  <c r="AB17" i="1417"/>
  <c r="Q17" i="1417"/>
  <c r="P17" i="1417"/>
  <c r="AC17" i="1417" s="1"/>
  <c r="O17" i="1417"/>
  <c r="M17" i="1417"/>
  <c r="K17" i="1417"/>
  <c r="AF16" i="1417"/>
  <c r="Q16" i="1417"/>
  <c r="P16" i="1417" s="1"/>
  <c r="AC16" i="1417" s="1"/>
  <c r="O16" i="1417"/>
  <c r="AF15" i="1417"/>
  <c r="AB15" i="1417"/>
  <c r="Q15" i="1417"/>
  <c r="P15" i="1417"/>
  <c r="AC15" i="1417" s="1"/>
  <c r="O15" i="1417"/>
  <c r="M15" i="1417"/>
  <c r="K15" i="1417"/>
  <c r="AF14" i="1417"/>
  <c r="AB14" i="1417"/>
  <c r="Q14" i="1417"/>
  <c r="P14" i="1417" s="1"/>
  <c r="AC14" i="1417" s="1"/>
  <c r="O14" i="1417"/>
  <c r="M14" i="1417"/>
  <c r="AF13" i="1417"/>
  <c r="Q13" i="1417"/>
  <c r="AB13" i="1417"/>
  <c r="AF12" i="1417"/>
  <c r="AB12" i="1417"/>
  <c r="Q12" i="1417"/>
  <c r="P12" i="1417"/>
  <c r="AC12" i="1417" s="1"/>
  <c r="M12" i="1417"/>
  <c r="AF11" i="1417"/>
  <c r="AC11" i="1417"/>
  <c r="AB11" i="1417"/>
  <c r="Q11" i="1417"/>
  <c r="P11" i="1417"/>
  <c r="O11" i="1417"/>
  <c r="M11" i="1417"/>
  <c r="K11" i="1417"/>
  <c r="AF10" i="1417"/>
  <c r="AC10" i="1417"/>
  <c r="AB10" i="1417"/>
  <c r="Q10" i="1417"/>
  <c r="P10" i="1417"/>
  <c r="O10" i="1417"/>
  <c r="M10" i="1417"/>
  <c r="K10" i="1417"/>
  <c r="AF9" i="1417"/>
  <c r="Q9" i="1417"/>
  <c r="AB9" i="1417"/>
  <c r="AF8" i="1417"/>
  <c r="AB8" i="1417"/>
  <c r="Q8" i="1417"/>
  <c r="O8" i="1417"/>
  <c r="M8" i="1417"/>
  <c r="K8" i="1417"/>
  <c r="AF7" i="1417"/>
  <c r="AC7" i="1417"/>
  <c r="AD7" i="1417" s="1"/>
  <c r="AB7" i="1417"/>
  <c r="Q7" i="1417"/>
  <c r="P7" i="1417"/>
  <c r="O7" i="1417"/>
  <c r="M7" i="1417"/>
  <c r="K7" i="1417"/>
  <c r="AF6" i="1417"/>
  <c r="AB6" i="1417"/>
  <c r="Q6" i="1417"/>
  <c r="P6" i="1417"/>
  <c r="O6" i="1417"/>
  <c r="M6" i="1417"/>
  <c r="K6" i="1417"/>
  <c r="AE10" i="1419" l="1"/>
  <c r="AE15" i="1419"/>
  <c r="AE12" i="1419"/>
  <c r="AE16" i="1419"/>
  <c r="AE14" i="1419"/>
  <c r="AE18" i="1419"/>
  <c r="AE7" i="1419"/>
  <c r="AE11" i="1419"/>
  <c r="AE17" i="1419"/>
  <c r="AE6" i="1419"/>
  <c r="AE8" i="1419"/>
  <c r="AE19" i="1419"/>
  <c r="AE20" i="1419"/>
  <c r="AE9" i="1419"/>
  <c r="M21" i="1418"/>
  <c r="AD21" i="1418"/>
  <c r="P21" i="1418"/>
  <c r="K21" i="1418"/>
  <c r="AC21" i="1418"/>
  <c r="O13" i="1417"/>
  <c r="Q21" i="1417"/>
  <c r="P18" i="1417"/>
  <c r="AC18" i="1417" s="1"/>
  <c r="AD18" i="1417" s="1"/>
  <c r="K18" i="1417"/>
  <c r="AD10" i="1417"/>
  <c r="AD17" i="1417"/>
  <c r="O18" i="1417"/>
  <c r="O20" i="1417"/>
  <c r="M18" i="1417"/>
  <c r="AD14" i="1417"/>
  <c r="K13" i="1417"/>
  <c r="AD12" i="1417"/>
  <c r="AD11" i="1417"/>
  <c r="AD15" i="1417"/>
  <c r="AD8" i="1417"/>
  <c r="AD13" i="1417"/>
  <c r="AD16" i="1417"/>
  <c r="M9" i="1417"/>
  <c r="AB20" i="1417"/>
  <c r="AB21" i="1417" s="1"/>
  <c r="O9" i="1417"/>
  <c r="AC6" i="1417"/>
  <c r="K21" i="1417"/>
  <c r="P9" i="1417"/>
  <c r="AC9" i="1417" s="1"/>
  <c r="M13" i="1417"/>
  <c r="M16" i="1417"/>
  <c r="O19" i="1417"/>
  <c r="AD19" i="1417" s="1"/>
  <c r="P20" i="1417"/>
  <c r="AC20" i="1417" s="1"/>
  <c r="M20" i="1417"/>
  <c r="L21" i="1417"/>
  <c r="O21" i="1417" s="1"/>
  <c r="M19" i="1417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416"/>
  <c r="O21" i="1416" s="1"/>
  <c r="L20" i="1416"/>
  <c r="L17" i="1416"/>
  <c r="K17" i="1416" s="1"/>
  <c r="AF17" i="1416"/>
  <c r="Q17" i="1416"/>
  <c r="L13" i="1416"/>
  <c r="O13" i="1416" s="1"/>
  <c r="K13" i="1416"/>
  <c r="L12" i="1416"/>
  <c r="K12" i="1416" s="1"/>
  <c r="K10" i="1416"/>
  <c r="L9" i="1416"/>
  <c r="K21" i="1416"/>
  <c r="K20" i="1416"/>
  <c r="K16" i="1416"/>
  <c r="K9" i="1416"/>
  <c r="A75" i="1416"/>
  <c r="A76" i="1416" s="1"/>
  <c r="A77" i="1416" s="1"/>
  <c r="A78" i="1416" s="1"/>
  <c r="A79" i="1416" s="1"/>
  <c r="A80" i="1416" s="1"/>
  <c r="A81" i="1416" s="1"/>
  <c r="A82" i="1416" s="1"/>
  <c r="AF63" i="1416"/>
  <c r="AF61" i="1416"/>
  <c r="AF60" i="1416"/>
  <c r="AA22" i="1416"/>
  <c r="Z22" i="1416"/>
  <c r="Y22" i="1416"/>
  <c r="X22" i="1416"/>
  <c r="W22" i="1416"/>
  <c r="V22" i="1416"/>
  <c r="U22" i="1416"/>
  <c r="T22" i="1416"/>
  <c r="S22" i="1416"/>
  <c r="R22" i="1416"/>
  <c r="N22" i="1416"/>
  <c r="J22" i="1416"/>
  <c r="I22" i="1416"/>
  <c r="AF21" i="1416"/>
  <c r="AB21" i="1416"/>
  <c r="Q21" i="1416"/>
  <c r="P21" i="1416"/>
  <c r="AC21" i="1416" s="1"/>
  <c r="M21" i="1416"/>
  <c r="AF20" i="1416"/>
  <c r="AB20" i="1416"/>
  <c r="Q20" i="1416"/>
  <c r="O20" i="1416"/>
  <c r="M20" i="1416"/>
  <c r="P20" i="1416"/>
  <c r="AC20" i="1416" s="1"/>
  <c r="AF19" i="1416"/>
  <c r="AB19" i="1416"/>
  <c r="Q19" i="1416"/>
  <c r="P19" i="1416"/>
  <c r="AC19" i="1416" s="1"/>
  <c r="O19" i="1416"/>
  <c r="M19" i="1416"/>
  <c r="K19" i="1416"/>
  <c r="AF18" i="1416"/>
  <c r="AB18" i="1416"/>
  <c r="Q18" i="1416"/>
  <c r="P18" i="1416"/>
  <c r="AC18" i="1416" s="1"/>
  <c r="O18" i="1416"/>
  <c r="M18" i="1416"/>
  <c r="K18" i="1416"/>
  <c r="AF16" i="1416"/>
  <c r="Q16" i="1416"/>
  <c r="P16" i="1416" s="1"/>
  <c r="AC16" i="1416" s="1"/>
  <c r="AF15" i="1416"/>
  <c r="AB15" i="1416"/>
  <c r="Q15" i="1416"/>
  <c r="P15" i="1416"/>
  <c r="AC15" i="1416" s="1"/>
  <c r="O15" i="1416"/>
  <c r="M15" i="1416"/>
  <c r="K15" i="1416"/>
  <c r="AF14" i="1416"/>
  <c r="AB14" i="1416"/>
  <c r="Q14" i="1416"/>
  <c r="P14" i="1416"/>
  <c r="AC14" i="1416" s="1"/>
  <c r="O14" i="1416"/>
  <c r="M14" i="1416"/>
  <c r="AF13" i="1416"/>
  <c r="AB13" i="1416"/>
  <c r="Q13" i="1416"/>
  <c r="P13" i="1416"/>
  <c r="AC13" i="1416" s="1"/>
  <c r="AD13" i="1416" s="1"/>
  <c r="M13" i="1416"/>
  <c r="AF12" i="1416"/>
  <c r="Q12" i="1416"/>
  <c r="AF11" i="1416"/>
  <c r="AB11" i="1416"/>
  <c r="Q11" i="1416"/>
  <c r="P11" i="1416"/>
  <c r="AC11" i="1416" s="1"/>
  <c r="O11" i="1416"/>
  <c r="M11" i="1416"/>
  <c r="K11" i="1416"/>
  <c r="AF10" i="1416"/>
  <c r="AB10" i="1416"/>
  <c r="Q10" i="1416"/>
  <c r="P10" i="1416"/>
  <c r="AC10" i="1416" s="1"/>
  <c r="O10" i="1416"/>
  <c r="M10" i="1416"/>
  <c r="AF9" i="1416"/>
  <c r="AB9" i="1416"/>
  <c r="Q9" i="1416"/>
  <c r="O9" i="1416"/>
  <c r="M9" i="1416"/>
  <c r="AF8" i="1416"/>
  <c r="AB8" i="1416"/>
  <c r="Q8" i="1416"/>
  <c r="P8" i="1416"/>
  <c r="AC8" i="1416" s="1"/>
  <c r="AD8" i="1416" s="1"/>
  <c r="O8" i="1416"/>
  <c r="M8" i="1416"/>
  <c r="K8" i="1416"/>
  <c r="AF7" i="1416"/>
  <c r="AB7" i="1416"/>
  <c r="Q7" i="1416"/>
  <c r="P7" i="1416"/>
  <c r="AC7" i="1416" s="1"/>
  <c r="O7" i="1416"/>
  <c r="M7" i="1416"/>
  <c r="K7" i="1416"/>
  <c r="AF6" i="1416"/>
  <c r="AC6" i="1416"/>
  <c r="AB6" i="1416"/>
  <c r="Q6" i="1416"/>
  <c r="P6" i="1416"/>
  <c r="O6" i="1416"/>
  <c r="M6" i="1416"/>
  <c r="K6" i="1416"/>
  <c r="AE18" i="1418" l="1"/>
  <c r="AE15" i="1418"/>
  <c r="AE13" i="1418"/>
  <c r="AE16" i="1418"/>
  <c r="AE6" i="1418"/>
  <c r="AE20" i="1418"/>
  <c r="AE14" i="1418"/>
  <c r="AE11" i="1418"/>
  <c r="AE17" i="1418"/>
  <c r="AE12" i="1418"/>
  <c r="AE7" i="1418"/>
  <c r="AE10" i="1418"/>
  <c r="AE19" i="1418"/>
  <c r="AE8" i="1418"/>
  <c r="AE9" i="1418"/>
  <c r="AD20" i="1417"/>
  <c r="AD9" i="1417"/>
  <c r="M21" i="1417"/>
  <c r="P21" i="1417"/>
  <c r="AC21" i="1417"/>
  <c r="AD6" i="1417"/>
  <c r="AD21" i="1417" s="1"/>
  <c r="M17" i="1416"/>
  <c r="AB17" i="1416"/>
  <c r="O17" i="1416"/>
  <c r="P17" i="1416"/>
  <c r="AC17" i="1416" s="1"/>
  <c r="AD6" i="1416"/>
  <c r="AD10" i="1416"/>
  <c r="AD14" i="1416"/>
  <c r="AD11" i="1416"/>
  <c r="AD15" i="1416"/>
  <c r="L22" i="1416"/>
  <c r="O22" i="1416" s="1"/>
  <c r="Q22" i="1416"/>
  <c r="P9" i="1416"/>
  <c r="AC9" i="1416" s="1"/>
  <c r="AD9" i="1416" s="1"/>
  <c r="AD18" i="1416"/>
  <c r="AD21" i="1416"/>
  <c r="AD19" i="1416"/>
  <c r="AD20" i="1416"/>
  <c r="AD7" i="1416"/>
  <c r="M12" i="1416"/>
  <c r="M16" i="1416"/>
  <c r="AB16" i="1416"/>
  <c r="O12" i="1416"/>
  <c r="O16" i="1416"/>
  <c r="AB12" i="1416"/>
  <c r="K22" i="1416"/>
  <c r="P12" i="1416"/>
  <c r="AC12" i="1416" s="1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0" i="1415"/>
  <c r="L19" i="1415"/>
  <c r="O19" i="1415" s="1"/>
  <c r="L16" i="1415"/>
  <c r="K13" i="1415"/>
  <c r="L12" i="1415"/>
  <c r="K12" i="1415"/>
  <c r="K20" i="1415"/>
  <c r="K19" i="1415"/>
  <c r="K18" i="1415"/>
  <c r="K17" i="1415"/>
  <c r="K16" i="1415"/>
  <c r="K10" i="1415"/>
  <c r="K9" i="1415"/>
  <c r="A74" i="1415"/>
  <c r="A75" i="1415" s="1"/>
  <c r="A76" i="1415" s="1"/>
  <c r="A77" i="1415" s="1"/>
  <c r="A78" i="1415" s="1"/>
  <c r="A79" i="1415" s="1"/>
  <c r="A80" i="1415" s="1"/>
  <c r="A81" i="1415" s="1"/>
  <c r="AF60" i="1415"/>
  <c r="AF59" i="1415"/>
  <c r="AF62" i="1415" s="1"/>
  <c r="AA21" i="1415"/>
  <c r="Z21" i="1415"/>
  <c r="Y21" i="1415"/>
  <c r="X21" i="1415"/>
  <c r="W21" i="1415"/>
  <c r="V21" i="1415"/>
  <c r="U21" i="1415"/>
  <c r="T21" i="1415"/>
  <c r="S21" i="1415"/>
  <c r="R21" i="1415"/>
  <c r="N21" i="1415"/>
  <c r="J21" i="1415"/>
  <c r="I21" i="1415"/>
  <c r="AF20" i="1415"/>
  <c r="Q20" i="1415"/>
  <c r="M20" i="1415"/>
  <c r="O20" i="1415"/>
  <c r="AF19" i="1415"/>
  <c r="Q19" i="1415"/>
  <c r="AB19" i="1415"/>
  <c r="AF18" i="1415"/>
  <c r="AB18" i="1415"/>
  <c r="Q18" i="1415"/>
  <c r="P18" i="1415"/>
  <c r="AC18" i="1415" s="1"/>
  <c r="O18" i="1415"/>
  <c r="M18" i="1415"/>
  <c r="AF17" i="1415"/>
  <c r="Q17" i="1415"/>
  <c r="P17" i="1415"/>
  <c r="AC17" i="1415" s="1"/>
  <c r="O17" i="1415"/>
  <c r="AF16" i="1415"/>
  <c r="Q16" i="1415"/>
  <c r="P16" i="1415"/>
  <c r="AC16" i="1415" s="1"/>
  <c r="O16" i="1415"/>
  <c r="AB16" i="1415"/>
  <c r="AF15" i="1415"/>
  <c r="AB15" i="1415"/>
  <c r="Q15" i="1415"/>
  <c r="P15" i="1415"/>
  <c r="AC15" i="1415" s="1"/>
  <c r="O15" i="1415"/>
  <c r="M15" i="1415"/>
  <c r="K15" i="1415"/>
  <c r="AF14" i="1415"/>
  <c r="AB14" i="1415"/>
  <c r="Q14" i="1415"/>
  <c r="P14" i="1415"/>
  <c r="AC14" i="1415" s="1"/>
  <c r="O14" i="1415"/>
  <c r="M14" i="1415"/>
  <c r="AF13" i="1415"/>
  <c r="AB13" i="1415"/>
  <c r="Q13" i="1415"/>
  <c r="P13" i="1415" s="1"/>
  <c r="AC13" i="1415" s="1"/>
  <c r="O13" i="1415"/>
  <c r="M13" i="1415"/>
  <c r="AF12" i="1415"/>
  <c r="Q12" i="1415"/>
  <c r="O12" i="1415"/>
  <c r="AB12" i="1415"/>
  <c r="AF11" i="1415"/>
  <c r="AB11" i="1415"/>
  <c r="Q11" i="1415"/>
  <c r="P11" i="1415"/>
  <c r="AC11" i="1415" s="1"/>
  <c r="AD11" i="1415" s="1"/>
  <c r="O11" i="1415"/>
  <c r="M11" i="1415"/>
  <c r="K11" i="1415"/>
  <c r="AF10" i="1415"/>
  <c r="AB10" i="1415"/>
  <c r="Q10" i="1415"/>
  <c r="P10" i="1415"/>
  <c r="AC10" i="1415" s="1"/>
  <c r="M10" i="1415"/>
  <c r="L21" i="1415"/>
  <c r="O21" i="1415" s="1"/>
  <c r="AF9" i="1415"/>
  <c r="AB9" i="1415"/>
  <c r="Q9" i="1415"/>
  <c r="P9" i="1415" s="1"/>
  <c r="AC9" i="1415" s="1"/>
  <c r="O9" i="1415"/>
  <c r="M9" i="1415"/>
  <c r="AF8" i="1415"/>
  <c r="AC8" i="1415"/>
  <c r="AD8" i="1415" s="1"/>
  <c r="AB8" i="1415"/>
  <c r="Q8" i="1415"/>
  <c r="P8" i="1415"/>
  <c r="O8" i="1415"/>
  <c r="M8" i="1415"/>
  <c r="K8" i="1415"/>
  <c r="AF7" i="1415"/>
  <c r="AB7" i="1415"/>
  <c r="Q7" i="1415"/>
  <c r="P7" i="1415"/>
  <c r="AC7" i="1415" s="1"/>
  <c r="O7" i="1415"/>
  <c r="M7" i="1415"/>
  <c r="K7" i="1415"/>
  <c r="AF6" i="1415"/>
  <c r="AB6" i="1415"/>
  <c r="Q6" i="1415"/>
  <c r="P6" i="1415"/>
  <c r="AC6" i="1415" s="1"/>
  <c r="O6" i="1415"/>
  <c r="M6" i="1415"/>
  <c r="K6" i="1415"/>
  <c r="AE18" i="1417" l="1"/>
  <c r="AE16" i="1417"/>
  <c r="AE13" i="1417"/>
  <c r="AE10" i="1417"/>
  <c r="AE19" i="1417"/>
  <c r="AE17" i="1417"/>
  <c r="AE11" i="1417"/>
  <c r="AE15" i="1417"/>
  <c r="AE6" i="1417"/>
  <c r="AE9" i="1417"/>
  <c r="AE14" i="1417"/>
  <c r="AE12" i="1417"/>
  <c r="AE7" i="1417"/>
  <c r="AE8" i="1417"/>
  <c r="AE20" i="1417"/>
  <c r="AD17" i="1416"/>
  <c r="AB22" i="1416"/>
  <c r="M22" i="1416"/>
  <c r="AC22" i="1416"/>
  <c r="AD16" i="1416"/>
  <c r="P22" i="1416"/>
  <c r="AD12" i="1416"/>
  <c r="P20" i="1415"/>
  <c r="AC20" i="1415" s="1"/>
  <c r="AD7" i="1415"/>
  <c r="AD13" i="1415"/>
  <c r="AD15" i="1415"/>
  <c r="AD18" i="1415"/>
  <c r="Q21" i="1415"/>
  <c r="AD9" i="1415"/>
  <c r="AD14" i="1415"/>
  <c r="AD16" i="1415"/>
  <c r="AD6" i="1415"/>
  <c r="O10" i="1415"/>
  <c r="AD10" i="1415" s="1"/>
  <c r="K21" i="1415"/>
  <c r="P12" i="1415"/>
  <c r="AC12" i="1415" s="1"/>
  <c r="AD12" i="1415" s="1"/>
  <c r="P19" i="1415"/>
  <c r="AC19" i="1415" s="1"/>
  <c r="AD19" i="1415" s="1"/>
  <c r="M17" i="1415"/>
  <c r="AB17" i="1415"/>
  <c r="AD17" i="1415" s="1"/>
  <c r="AB20" i="1415"/>
  <c r="AD20" i="1415" s="1"/>
  <c r="M12" i="1415"/>
  <c r="M16" i="1415"/>
  <c r="M19" i="1415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414"/>
  <c r="K21" i="1414" s="1"/>
  <c r="L20" i="1414"/>
  <c r="K19" i="1414"/>
  <c r="L18" i="1414"/>
  <c r="K18" i="1414" s="1"/>
  <c r="L17" i="1414"/>
  <c r="K14" i="1414"/>
  <c r="L13" i="1414"/>
  <c r="K13" i="1414" s="1"/>
  <c r="AF13" i="1414"/>
  <c r="Q13" i="1414"/>
  <c r="L10" i="1414"/>
  <c r="K10" i="1414" s="1"/>
  <c r="K20" i="1414"/>
  <c r="K16" i="1414"/>
  <c r="K12" i="1414"/>
  <c r="K9" i="1414"/>
  <c r="K8" i="1414"/>
  <c r="A75" i="1414"/>
  <c r="A76" i="1414" s="1"/>
  <c r="A77" i="1414" s="1"/>
  <c r="A78" i="1414" s="1"/>
  <c r="A79" i="1414" s="1"/>
  <c r="A80" i="1414" s="1"/>
  <c r="A81" i="1414" s="1"/>
  <c r="A82" i="1414" s="1"/>
  <c r="AF61" i="1414"/>
  <c r="AF60" i="1414"/>
  <c r="AA22" i="1414"/>
  <c r="Z22" i="1414"/>
  <c r="Y22" i="1414"/>
  <c r="X22" i="1414"/>
  <c r="W22" i="1414"/>
  <c r="V22" i="1414"/>
  <c r="U22" i="1414"/>
  <c r="T22" i="1414"/>
  <c r="S22" i="1414"/>
  <c r="R22" i="1414"/>
  <c r="N22" i="1414"/>
  <c r="J22" i="1414"/>
  <c r="I22" i="1414"/>
  <c r="AF21" i="1414"/>
  <c r="Q21" i="1414"/>
  <c r="O21" i="1414"/>
  <c r="AF20" i="1414"/>
  <c r="Q20" i="1414"/>
  <c r="AB20" i="1414"/>
  <c r="AF19" i="1414"/>
  <c r="AB19" i="1414"/>
  <c r="Q19" i="1414"/>
  <c r="P19" i="1414" s="1"/>
  <c r="AC19" i="1414" s="1"/>
  <c r="O19" i="1414"/>
  <c r="M19" i="1414"/>
  <c r="AF18" i="1414"/>
  <c r="Q18" i="1414"/>
  <c r="M18" i="1414"/>
  <c r="AF17" i="1414"/>
  <c r="Q17" i="1414"/>
  <c r="AF16" i="1414"/>
  <c r="AB16" i="1414"/>
  <c r="Q16" i="1414"/>
  <c r="P16" i="1414"/>
  <c r="AC16" i="1414" s="1"/>
  <c r="O16" i="1414"/>
  <c r="M16" i="1414"/>
  <c r="AF15" i="1414"/>
  <c r="AB15" i="1414"/>
  <c r="Q15" i="1414"/>
  <c r="P15" i="1414"/>
  <c r="AC15" i="1414" s="1"/>
  <c r="AD15" i="1414" s="1"/>
  <c r="O15" i="1414"/>
  <c r="M15" i="1414"/>
  <c r="AF14" i="1414"/>
  <c r="AB14" i="1414"/>
  <c r="Q14" i="1414"/>
  <c r="P14" i="1414" s="1"/>
  <c r="AC14" i="1414" s="1"/>
  <c r="O14" i="1414"/>
  <c r="M14" i="1414"/>
  <c r="AF12" i="1414"/>
  <c r="Q12" i="1414"/>
  <c r="P12" i="1414"/>
  <c r="AC12" i="1414" s="1"/>
  <c r="AF11" i="1414"/>
  <c r="AB11" i="1414"/>
  <c r="Q11" i="1414"/>
  <c r="P11" i="1414"/>
  <c r="AC11" i="1414" s="1"/>
  <c r="O11" i="1414"/>
  <c r="M11" i="1414"/>
  <c r="K11" i="1414"/>
  <c r="AF10" i="1414"/>
  <c r="AB10" i="1414"/>
  <c r="Q10" i="1414"/>
  <c r="P10" i="1414" s="1"/>
  <c r="AC10" i="1414" s="1"/>
  <c r="O10" i="1414"/>
  <c r="M10" i="1414"/>
  <c r="AF9" i="1414"/>
  <c r="Q9" i="1414"/>
  <c r="P9" i="1414" s="1"/>
  <c r="AC9" i="1414" s="1"/>
  <c r="AF8" i="1414"/>
  <c r="AB8" i="1414"/>
  <c r="Q8" i="1414"/>
  <c r="P8" i="1414"/>
  <c r="AC8" i="1414" s="1"/>
  <c r="O8" i="1414"/>
  <c r="M8" i="1414"/>
  <c r="AF7" i="1414"/>
  <c r="AB7" i="1414"/>
  <c r="Q7" i="1414"/>
  <c r="P7" i="1414"/>
  <c r="AC7" i="1414" s="1"/>
  <c r="O7" i="1414"/>
  <c r="M7" i="1414"/>
  <c r="K7" i="1414"/>
  <c r="AF6" i="1414"/>
  <c r="AB6" i="1414"/>
  <c r="Q6" i="1414"/>
  <c r="P6" i="1414"/>
  <c r="AC6" i="1414" s="1"/>
  <c r="O6" i="1414"/>
  <c r="M6" i="1414"/>
  <c r="K6" i="1414"/>
  <c r="AD22" i="1416" l="1"/>
  <c r="AE8" i="1416" s="1"/>
  <c r="P21" i="1415"/>
  <c r="M21" i="1415"/>
  <c r="AC21" i="1415"/>
  <c r="AB21" i="1415"/>
  <c r="AD21" i="1415"/>
  <c r="P18" i="1414"/>
  <c r="AC18" i="1414" s="1"/>
  <c r="AD11" i="1414"/>
  <c r="AF63" i="1414"/>
  <c r="AD8" i="1414"/>
  <c r="AB18" i="1414"/>
  <c r="P21" i="1414"/>
  <c r="AC21" i="1414" s="1"/>
  <c r="P20" i="1414"/>
  <c r="AC20" i="1414" s="1"/>
  <c r="O20" i="1414"/>
  <c r="AD20" i="1414" s="1"/>
  <c r="O18" i="1414"/>
  <c r="AD18" i="1414" s="1"/>
  <c r="P17" i="1414"/>
  <c r="AC17" i="1414" s="1"/>
  <c r="K17" i="1414"/>
  <c r="K22" i="1414" s="1"/>
  <c r="AD14" i="1414"/>
  <c r="AB13" i="1414"/>
  <c r="M13" i="1414"/>
  <c r="P13" i="1414"/>
  <c r="AC13" i="1414" s="1"/>
  <c r="O13" i="1414"/>
  <c r="AD7" i="1414"/>
  <c r="AD16" i="1414"/>
  <c r="AD19" i="1414"/>
  <c r="Q22" i="1414"/>
  <c r="AD10" i="1414"/>
  <c r="AD6" i="1414"/>
  <c r="AB17" i="1414"/>
  <c r="M9" i="1414"/>
  <c r="O9" i="1414"/>
  <c r="O12" i="1414"/>
  <c r="M21" i="1414"/>
  <c r="AB21" i="1414"/>
  <c r="L22" i="1414"/>
  <c r="O22" i="1414" s="1"/>
  <c r="AB9" i="1414"/>
  <c r="M12" i="1414"/>
  <c r="AB12" i="1414"/>
  <c r="M17" i="1414"/>
  <c r="O17" i="1414"/>
  <c r="M20" i="1414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413"/>
  <c r="L20" i="1413"/>
  <c r="AB20" i="1413" s="1"/>
  <c r="AF18" i="1413"/>
  <c r="AB18" i="1413"/>
  <c r="Q18" i="1413"/>
  <c r="P18" i="1413" s="1"/>
  <c r="AC18" i="1413" s="1"/>
  <c r="O18" i="1413"/>
  <c r="M18" i="1413"/>
  <c r="K18" i="1413"/>
  <c r="K19" i="1413"/>
  <c r="L17" i="1413"/>
  <c r="O17" i="1413" s="1"/>
  <c r="K17" i="1413"/>
  <c r="L16" i="1413"/>
  <c r="K16" i="1413"/>
  <c r="K15" i="1413"/>
  <c r="L12" i="1413"/>
  <c r="K12" i="1413"/>
  <c r="L10" i="1413"/>
  <c r="K10" i="1413" s="1"/>
  <c r="L9" i="1413"/>
  <c r="K21" i="1413"/>
  <c r="K20" i="1413"/>
  <c r="K13" i="1413"/>
  <c r="K9" i="1413"/>
  <c r="K8" i="1413"/>
  <c r="A75" i="1413"/>
  <c r="A76" i="1413" s="1"/>
  <c r="A77" i="1413" s="1"/>
  <c r="A78" i="1413" s="1"/>
  <c r="A79" i="1413" s="1"/>
  <c r="A80" i="1413" s="1"/>
  <c r="A81" i="1413" s="1"/>
  <c r="A82" i="1413" s="1"/>
  <c r="AF61" i="1413"/>
  <c r="AF60" i="1413"/>
  <c r="AF63" i="1413" s="1"/>
  <c r="AA22" i="1413"/>
  <c r="Z22" i="1413"/>
  <c r="Y22" i="1413"/>
  <c r="X22" i="1413"/>
  <c r="W22" i="1413"/>
  <c r="V22" i="1413"/>
  <c r="U22" i="1413"/>
  <c r="T22" i="1413"/>
  <c r="S22" i="1413"/>
  <c r="R22" i="1413"/>
  <c r="N22" i="1413"/>
  <c r="J22" i="1413"/>
  <c r="I22" i="1413"/>
  <c r="AF21" i="1413"/>
  <c r="Q21" i="1413"/>
  <c r="P21" i="1413"/>
  <c r="AC21" i="1413" s="1"/>
  <c r="O21" i="1413"/>
  <c r="AF20" i="1413"/>
  <c r="Q20" i="1413"/>
  <c r="P20" i="1413" s="1"/>
  <c r="AC20" i="1413" s="1"/>
  <c r="O20" i="1413"/>
  <c r="AF19" i="1413"/>
  <c r="AB19" i="1413"/>
  <c r="Q19" i="1413"/>
  <c r="P19" i="1413" s="1"/>
  <c r="AC19" i="1413" s="1"/>
  <c r="O19" i="1413"/>
  <c r="M19" i="1413"/>
  <c r="AF17" i="1413"/>
  <c r="Q17" i="1413"/>
  <c r="P17" i="1413" s="1"/>
  <c r="AC17" i="1413" s="1"/>
  <c r="AB17" i="1413"/>
  <c r="AF16" i="1413"/>
  <c r="AC16" i="1413"/>
  <c r="AB16" i="1413"/>
  <c r="Q16" i="1413"/>
  <c r="P16" i="1413"/>
  <c r="O16" i="1413"/>
  <c r="M16" i="1413"/>
  <c r="AF15" i="1413"/>
  <c r="Q15" i="1413"/>
  <c r="P15" i="1413" s="1"/>
  <c r="AC15" i="1413" s="1"/>
  <c r="AF14" i="1413"/>
  <c r="AB14" i="1413"/>
  <c r="Q14" i="1413"/>
  <c r="P14" i="1413"/>
  <c r="AC14" i="1413" s="1"/>
  <c r="O14" i="1413"/>
  <c r="M14" i="1413"/>
  <c r="AF13" i="1413"/>
  <c r="Q13" i="1413"/>
  <c r="P13" i="1413"/>
  <c r="AC13" i="1413" s="1"/>
  <c r="AF12" i="1413"/>
  <c r="Q12" i="1413"/>
  <c r="P12" i="1413"/>
  <c r="AC12" i="1413" s="1"/>
  <c r="O12" i="1413"/>
  <c r="AB12" i="1413"/>
  <c r="AF11" i="1413"/>
  <c r="AC11" i="1413"/>
  <c r="AB11" i="1413"/>
  <c r="Q11" i="1413"/>
  <c r="P11" i="1413"/>
  <c r="O11" i="1413"/>
  <c r="M11" i="1413"/>
  <c r="K11" i="1413"/>
  <c r="AF10" i="1413"/>
  <c r="AB10" i="1413"/>
  <c r="Q10" i="1413"/>
  <c r="O10" i="1413"/>
  <c r="AF9" i="1413"/>
  <c r="AB9" i="1413"/>
  <c r="Q9" i="1413"/>
  <c r="P9" i="1413" s="1"/>
  <c r="AC9" i="1413" s="1"/>
  <c r="O9" i="1413"/>
  <c r="M9" i="1413"/>
  <c r="AF8" i="1413"/>
  <c r="AB8" i="1413"/>
  <c r="Q8" i="1413"/>
  <c r="M8" i="1413"/>
  <c r="L22" i="1413"/>
  <c r="O22" i="1413" s="1"/>
  <c r="AF7" i="1413"/>
  <c r="AB7" i="1413"/>
  <c r="Q7" i="1413"/>
  <c r="P7" i="1413"/>
  <c r="AC7" i="1413" s="1"/>
  <c r="O7" i="1413"/>
  <c r="M7" i="1413"/>
  <c r="K7" i="1413"/>
  <c r="AF6" i="1413"/>
  <c r="AB6" i="1413"/>
  <c r="Q6" i="1413"/>
  <c r="P6" i="1413"/>
  <c r="AC6" i="1413" s="1"/>
  <c r="O6" i="1413"/>
  <c r="M6" i="1413"/>
  <c r="K6" i="1413"/>
  <c r="AE10" i="1416" l="1"/>
  <c r="AE16" i="1416"/>
  <c r="AE14" i="1416"/>
  <c r="AE9" i="1416"/>
  <c r="AE18" i="1416"/>
  <c r="AE21" i="1416"/>
  <c r="AE11" i="1416"/>
  <c r="AE19" i="1416"/>
  <c r="AE12" i="1416"/>
  <c r="AE15" i="1416"/>
  <c r="AE20" i="1416"/>
  <c r="AE17" i="1416"/>
  <c r="AE7" i="1416"/>
  <c r="AE13" i="1416"/>
  <c r="AE6" i="1416"/>
  <c r="AE18" i="1415"/>
  <c r="AE15" i="1415"/>
  <c r="AE10" i="1415"/>
  <c r="AE9" i="1415"/>
  <c r="AE19" i="1415"/>
  <c r="AE16" i="1415"/>
  <c r="AE12" i="1415"/>
  <c r="AE8" i="1415"/>
  <c r="AE6" i="1415"/>
  <c r="AE20" i="1415"/>
  <c r="AE17" i="1415"/>
  <c r="AE14" i="1415"/>
  <c r="AE11" i="1415"/>
  <c r="AE13" i="1415"/>
  <c r="AE7" i="1415"/>
  <c r="AD21" i="1414"/>
  <c r="AD13" i="1414"/>
  <c r="AC22" i="1414"/>
  <c r="P22" i="1414"/>
  <c r="AD12" i="1414"/>
  <c r="M22" i="1414"/>
  <c r="AB22" i="1414"/>
  <c r="AD17" i="1414"/>
  <c r="AD9" i="1414"/>
  <c r="M20" i="1413"/>
  <c r="AD18" i="1413"/>
  <c r="AD14" i="1413"/>
  <c r="AD11" i="1413"/>
  <c r="AD19" i="1413"/>
  <c r="AD12" i="1413"/>
  <c r="M10" i="1413"/>
  <c r="P10" i="1413"/>
  <c r="AC10" i="1413" s="1"/>
  <c r="AD10" i="1413" s="1"/>
  <c r="AD9" i="1413"/>
  <c r="Q22" i="1413"/>
  <c r="AD7" i="1413"/>
  <c r="AD20" i="1413"/>
  <c r="AD16" i="1413"/>
  <c r="AD17" i="1413"/>
  <c r="AD6" i="1413"/>
  <c r="O8" i="1413"/>
  <c r="M13" i="1413"/>
  <c r="AB13" i="1413"/>
  <c r="M15" i="1413"/>
  <c r="AB15" i="1413"/>
  <c r="K22" i="1413"/>
  <c r="P8" i="1413"/>
  <c r="AC8" i="1413" s="1"/>
  <c r="M12" i="1413"/>
  <c r="O13" i="1413"/>
  <c r="O15" i="1413"/>
  <c r="M17" i="1413"/>
  <c r="M21" i="1413"/>
  <c r="AB21" i="1413"/>
  <c r="AD21" i="1413" s="1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0" i="1412"/>
  <c r="L19" i="1412"/>
  <c r="L17" i="1412"/>
  <c r="K17" i="1412" s="1"/>
  <c r="L15" i="1412"/>
  <c r="K15" i="1412"/>
  <c r="L13" i="1412"/>
  <c r="L12" i="1412"/>
  <c r="K10" i="1412"/>
  <c r="L9" i="1412"/>
  <c r="L8" i="1412"/>
  <c r="K8" i="1412" s="1"/>
  <c r="AD22" i="1414" l="1"/>
  <c r="AE13" i="1414" s="1"/>
  <c r="AD15" i="1413"/>
  <c r="M22" i="1413"/>
  <c r="AB22" i="1413"/>
  <c r="AD8" i="1413"/>
  <c r="AC22" i="1413"/>
  <c r="AD13" i="1413"/>
  <c r="AD22" i="1413" s="1"/>
  <c r="AE18" i="1413" s="1"/>
  <c r="P22" i="1413"/>
  <c r="K20" i="1412"/>
  <c r="K19" i="1412"/>
  <c r="K18" i="1412"/>
  <c r="K16" i="1412"/>
  <c r="K13" i="1412"/>
  <c r="K12" i="1412"/>
  <c r="K9" i="1412"/>
  <c r="A74" i="1412"/>
  <c r="A75" i="1412" s="1"/>
  <c r="A76" i="1412" s="1"/>
  <c r="A77" i="1412" s="1"/>
  <c r="A78" i="1412" s="1"/>
  <c r="A79" i="1412" s="1"/>
  <c r="A80" i="1412" s="1"/>
  <c r="A81" i="1412" s="1"/>
  <c r="AF62" i="1412"/>
  <c r="AF60" i="1412"/>
  <c r="AF59" i="1412"/>
  <c r="AA21" i="1412"/>
  <c r="Z21" i="1412"/>
  <c r="Y21" i="1412"/>
  <c r="X21" i="1412"/>
  <c r="W21" i="1412"/>
  <c r="V21" i="1412"/>
  <c r="U21" i="1412"/>
  <c r="T21" i="1412"/>
  <c r="S21" i="1412"/>
  <c r="R21" i="1412"/>
  <c r="N21" i="1412"/>
  <c r="J21" i="1412"/>
  <c r="I21" i="1412"/>
  <c r="AF20" i="1412"/>
  <c r="Q20" i="1412"/>
  <c r="P20" i="1412" s="1"/>
  <c r="AC20" i="1412" s="1"/>
  <c r="O20" i="1412"/>
  <c r="AF19" i="1412"/>
  <c r="Q19" i="1412"/>
  <c r="O19" i="1412"/>
  <c r="AB19" i="1412"/>
  <c r="AF18" i="1412"/>
  <c r="AB18" i="1412"/>
  <c r="Q18" i="1412"/>
  <c r="P18" i="1412"/>
  <c r="AC18" i="1412" s="1"/>
  <c r="O18" i="1412"/>
  <c r="M18" i="1412"/>
  <c r="AF17" i="1412"/>
  <c r="AB17" i="1412"/>
  <c r="Q17" i="1412"/>
  <c r="P17" i="1412"/>
  <c r="AC17" i="1412" s="1"/>
  <c r="AD17" i="1412" s="1"/>
  <c r="O17" i="1412"/>
  <c r="M17" i="1412"/>
  <c r="AF16" i="1412"/>
  <c r="Q16" i="1412"/>
  <c r="O16" i="1412"/>
  <c r="AB16" i="1412"/>
  <c r="AF15" i="1412"/>
  <c r="AB15" i="1412"/>
  <c r="Q15" i="1412"/>
  <c r="P15" i="1412"/>
  <c r="AC15" i="1412" s="1"/>
  <c r="O15" i="1412"/>
  <c r="M15" i="1412"/>
  <c r="AF14" i="1412"/>
  <c r="AB14" i="1412"/>
  <c r="Q14" i="1412"/>
  <c r="P14" i="1412"/>
  <c r="AC14" i="1412" s="1"/>
  <c r="O14" i="1412"/>
  <c r="M14" i="1412"/>
  <c r="AF13" i="1412"/>
  <c r="Q13" i="1412"/>
  <c r="P13" i="1412"/>
  <c r="AC13" i="1412" s="1"/>
  <c r="AF12" i="1412"/>
  <c r="Q12" i="1412"/>
  <c r="P12" i="1412"/>
  <c r="AC12" i="1412" s="1"/>
  <c r="M12" i="1412"/>
  <c r="O12" i="1412"/>
  <c r="AF11" i="1412"/>
  <c r="AC11" i="1412"/>
  <c r="AB11" i="1412"/>
  <c r="Q11" i="1412"/>
  <c r="P11" i="1412"/>
  <c r="O11" i="1412"/>
  <c r="M11" i="1412"/>
  <c r="K11" i="1412"/>
  <c r="AF10" i="1412"/>
  <c r="AB10" i="1412"/>
  <c r="Q10" i="1412"/>
  <c r="P10" i="1412" s="1"/>
  <c r="AC10" i="1412" s="1"/>
  <c r="O10" i="1412"/>
  <c r="M10" i="1412"/>
  <c r="AF9" i="1412"/>
  <c r="Q9" i="1412"/>
  <c r="O9" i="1412"/>
  <c r="AB9" i="1412"/>
  <c r="AF8" i="1412"/>
  <c r="AB8" i="1412"/>
  <c r="Q8" i="1412"/>
  <c r="P8" i="1412"/>
  <c r="AC8" i="1412" s="1"/>
  <c r="O8" i="1412"/>
  <c r="M8" i="1412"/>
  <c r="L21" i="1412"/>
  <c r="O21" i="1412" s="1"/>
  <c r="AF7" i="1412"/>
  <c r="AC7" i="1412"/>
  <c r="AD7" i="1412" s="1"/>
  <c r="AB7" i="1412"/>
  <c r="Q7" i="1412"/>
  <c r="P7" i="1412"/>
  <c r="O7" i="1412"/>
  <c r="M7" i="1412"/>
  <c r="K7" i="1412"/>
  <c r="AF6" i="1412"/>
  <c r="AC6" i="1412"/>
  <c r="AB6" i="1412"/>
  <c r="Q6" i="1412"/>
  <c r="P6" i="1412"/>
  <c r="O6" i="1412"/>
  <c r="M6" i="1412"/>
  <c r="K6" i="1412"/>
  <c r="AE12" i="1414" l="1"/>
  <c r="AE10" i="1414"/>
  <c r="AE20" i="1414"/>
  <c r="AE11" i="1414"/>
  <c r="AE14" i="1414"/>
  <c r="AE7" i="1414"/>
  <c r="AE8" i="1414"/>
  <c r="AE17" i="1414"/>
  <c r="AE9" i="1414"/>
  <c r="AE19" i="1414"/>
  <c r="AE15" i="1414"/>
  <c r="AE16" i="1414"/>
  <c r="AE6" i="1414"/>
  <c r="AE21" i="1414"/>
  <c r="AE18" i="1414"/>
  <c r="AE19" i="1413"/>
  <c r="AE8" i="1413"/>
  <c r="AE13" i="1413"/>
  <c r="AE20" i="1413"/>
  <c r="AE16" i="1413"/>
  <c r="AE11" i="1413"/>
  <c r="AE9" i="1413"/>
  <c r="AE6" i="1413"/>
  <c r="AE21" i="1413"/>
  <c r="AE17" i="1413"/>
  <c r="AE14" i="1413"/>
  <c r="AE12" i="1413"/>
  <c r="AE15" i="1413"/>
  <c r="AE10" i="1413"/>
  <c r="AE7" i="1413"/>
  <c r="Q21" i="1412"/>
  <c r="AD10" i="1412"/>
  <c r="AD15" i="1412"/>
  <c r="AD11" i="1412"/>
  <c r="AD14" i="1412"/>
  <c r="AD18" i="1412"/>
  <c r="AD8" i="1412"/>
  <c r="AD6" i="1412"/>
  <c r="P9" i="1412"/>
  <c r="AC9" i="1412" s="1"/>
  <c r="AD9" i="1412" s="1"/>
  <c r="M13" i="1412"/>
  <c r="AB13" i="1412"/>
  <c r="P16" i="1412"/>
  <c r="AC16" i="1412" s="1"/>
  <c r="AD16" i="1412" s="1"/>
  <c r="P19" i="1412"/>
  <c r="AC19" i="1412" s="1"/>
  <c r="AD19" i="1412" s="1"/>
  <c r="AB12" i="1412"/>
  <c r="AD12" i="1412" s="1"/>
  <c r="O13" i="1412"/>
  <c r="M20" i="1412"/>
  <c r="AB20" i="1412"/>
  <c r="AD20" i="1412" s="1"/>
  <c r="M9" i="1412"/>
  <c r="K21" i="1412"/>
  <c r="M16" i="1412"/>
  <c r="M19" i="1412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0" i="1411"/>
  <c r="K20" i="1411" s="1"/>
  <c r="L19" i="1411"/>
  <c r="L18" i="1411"/>
  <c r="L16" i="1411"/>
  <c r="K16" i="1411" s="1"/>
  <c r="L13" i="1411"/>
  <c r="L21" i="1411" s="1"/>
  <c r="O21" i="1411" s="1"/>
  <c r="L12" i="1411"/>
  <c r="K10" i="1411"/>
  <c r="L9" i="1411"/>
  <c r="L8" i="1411"/>
  <c r="K8" i="1411"/>
  <c r="K19" i="1411"/>
  <c r="K18" i="1411"/>
  <c r="K15" i="1411"/>
  <c r="K12" i="1411"/>
  <c r="K9" i="1411"/>
  <c r="A74" i="1411"/>
  <c r="A75" i="1411" s="1"/>
  <c r="A76" i="1411" s="1"/>
  <c r="A77" i="1411" s="1"/>
  <c r="A78" i="1411" s="1"/>
  <c r="A79" i="1411" s="1"/>
  <c r="A80" i="1411" s="1"/>
  <c r="A81" i="1411" s="1"/>
  <c r="AF60" i="1411"/>
  <c r="AF59" i="1411"/>
  <c r="AF62" i="1411" s="1"/>
  <c r="AA21" i="1411"/>
  <c r="Z21" i="1411"/>
  <c r="Y21" i="1411"/>
  <c r="X21" i="1411"/>
  <c r="W21" i="1411"/>
  <c r="V21" i="1411"/>
  <c r="U21" i="1411"/>
  <c r="T21" i="1411"/>
  <c r="S21" i="1411"/>
  <c r="R21" i="1411"/>
  <c r="N21" i="1411"/>
  <c r="J21" i="1411"/>
  <c r="I21" i="1411"/>
  <c r="AF20" i="1411"/>
  <c r="AB20" i="1411"/>
  <c r="Q20" i="1411"/>
  <c r="P20" i="1411" s="1"/>
  <c r="AC20" i="1411" s="1"/>
  <c r="O20" i="1411"/>
  <c r="M20" i="1411"/>
  <c r="AF19" i="1411"/>
  <c r="Q19" i="1411"/>
  <c r="P19" i="1411"/>
  <c r="AC19" i="1411" s="1"/>
  <c r="AF18" i="1411"/>
  <c r="Q18" i="1411"/>
  <c r="P18" i="1411" s="1"/>
  <c r="AC18" i="1411" s="1"/>
  <c r="O18" i="1411"/>
  <c r="AF17" i="1411"/>
  <c r="AC17" i="1411"/>
  <c r="AB17" i="1411"/>
  <c r="Q17" i="1411"/>
  <c r="P17" i="1411"/>
  <c r="O17" i="1411"/>
  <c r="M17" i="1411"/>
  <c r="K17" i="1411"/>
  <c r="AF16" i="1411"/>
  <c r="AB16" i="1411"/>
  <c r="Q16" i="1411"/>
  <c r="P16" i="1411" s="1"/>
  <c r="AC16" i="1411" s="1"/>
  <c r="O16" i="1411"/>
  <c r="M16" i="1411"/>
  <c r="AF15" i="1411"/>
  <c r="AB15" i="1411"/>
  <c r="Q15" i="1411"/>
  <c r="P15" i="1411"/>
  <c r="AC15" i="1411" s="1"/>
  <c r="AD15" i="1411" s="1"/>
  <c r="O15" i="1411"/>
  <c r="M15" i="1411"/>
  <c r="AF14" i="1411"/>
  <c r="AB14" i="1411"/>
  <c r="Q14" i="1411"/>
  <c r="P14" i="1411"/>
  <c r="AC14" i="1411" s="1"/>
  <c r="O14" i="1411"/>
  <c r="M14" i="1411"/>
  <c r="AF13" i="1411"/>
  <c r="Q13" i="1411"/>
  <c r="AF12" i="1411"/>
  <c r="Q12" i="1411"/>
  <c r="P12" i="1411"/>
  <c r="AC12" i="1411" s="1"/>
  <c r="O12" i="1411"/>
  <c r="AF11" i="1411"/>
  <c r="AB11" i="1411"/>
  <c r="Q11" i="1411"/>
  <c r="P11" i="1411"/>
  <c r="AC11" i="1411" s="1"/>
  <c r="AD11" i="1411" s="1"/>
  <c r="O11" i="1411"/>
  <c r="M11" i="1411"/>
  <c r="K11" i="1411"/>
  <c r="AF10" i="1411"/>
  <c r="Q10" i="1411"/>
  <c r="AB10" i="1411"/>
  <c r="AF9" i="1411"/>
  <c r="Q9" i="1411"/>
  <c r="P9" i="1411"/>
  <c r="AC9" i="1411" s="1"/>
  <c r="O9" i="1411"/>
  <c r="AF8" i="1411"/>
  <c r="AB8" i="1411"/>
  <c r="Q8" i="1411"/>
  <c r="P8" i="1411" s="1"/>
  <c r="AC8" i="1411" s="1"/>
  <c r="O8" i="1411"/>
  <c r="M8" i="1411"/>
  <c r="AF7" i="1411"/>
  <c r="AB7" i="1411"/>
  <c r="Q7" i="1411"/>
  <c r="P7" i="1411"/>
  <c r="AC7" i="1411" s="1"/>
  <c r="AD7" i="1411" s="1"/>
  <c r="O7" i="1411"/>
  <c r="M7" i="1411"/>
  <c r="K7" i="1411"/>
  <c r="AF6" i="1411"/>
  <c r="AC6" i="1411"/>
  <c r="AB6" i="1411"/>
  <c r="Q6" i="1411"/>
  <c r="P6" i="1411"/>
  <c r="O6" i="1411"/>
  <c r="M6" i="1411"/>
  <c r="K6" i="1411"/>
  <c r="AD13" i="1412" l="1"/>
  <c r="AD21" i="1412" s="1"/>
  <c r="M21" i="1412"/>
  <c r="AC21" i="1412"/>
  <c r="AB21" i="1412"/>
  <c r="P21" i="1412"/>
  <c r="AD20" i="1411"/>
  <c r="AB13" i="1411"/>
  <c r="K13" i="1411"/>
  <c r="Q21" i="1411"/>
  <c r="AD8" i="1411"/>
  <c r="AD14" i="1411"/>
  <c r="AD17" i="1411"/>
  <c r="AD16" i="1411"/>
  <c r="AD6" i="1411"/>
  <c r="M13" i="1411"/>
  <c r="M9" i="1411"/>
  <c r="AB9" i="1411"/>
  <c r="O10" i="1411"/>
  <c r="M12" i="1411"/>
  <c r="AB12" i="1411"/>
  <c r="AD12" i="1411" s="1"/>
  <c r="O13" i="1411"/>
  <c r="M19" i="1411"/>
  <c r="AB19" i="1411"/>
  <c r="AD19" i="1411" s="1"/>
  <c r="K21" i="1411"/>
  <c r="P10" i="1411"/>
  <c r="AC10" i="1411" s="1"/>
  <c r="P13" i="1411"/>
  <c r="AC13" i="1411" s="1"/>
  <c r="M18" i="1411"/>
  <c r="AB18" i="1411"/>
  <c r="AD18" i="1411" s="1"/>
  <c r="O19" i="1411"/>
  <c r="M10" i="141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9" i="1410"/>
  <c r="K19" i="1410" s="1"/>
  <c r="L18" i="1410"/>
  <c r="M18" i="1410" s="1"/>
  <c r="K15" i="1410"/>
  <c r="L13" i="1410"/>
  <c r="O13" i="1410" s="1"/>
  <c r="L12" i="1410"/>
  <c r="L10" i="1410"/>
  <c r="O10" i="1410" s="1"/>
  <c r="AF10" i="1410"/>
  <c r="Q10" i="1410"/>
  <c r="P10" i="1410" s="1"/>
  <c r="AC10" i="1410" s="1"/>
  <c r="K10" i="1410"/>
  <c r="L9" i="1410"/>
  <c r="K18" i="1410"/>
  <c r="K16" i="1410"/>
  <c r="K13" i="1410"/>
  <c r="K12" i="1410"/>
  <c r="K9" i="1410"/>
  <c r="K8" i="1410"/>
  <c r="A74" i="1410"/>
  <c r="A75" i="1410" s="1"/>
  <c r="A76" i="1410" s="1"/>
  <c r="A77" i="1410" s="1"/>
  <c r="A78" i="1410" s="1"/>
  <c r="A79" i="1410" s="1"/>
  <c r="A80" i="1410" s="1"/>
  <c r="A81" i="1410" s="1"/>
  <c r="AF60" i="1410"/>
  <c r="AF62" i="1410" s="1"/>
  <c r="AF59" i="1410"/>
  <c r="AA21" i="1410"/>
  <c r="Z21" i="1410"/>
  <c r="Y21" i="1410"/>
  <c r="X21" i="1410"/>
  <c r="W21" i="1410"/>
  <c r="V21" i="1410"/>
  <c r="U21" i="1410"/>
  <c r="T21" i="1410"/>
  <c r="S21" i="1410"/>
  <c r="R21" i="1410"/>
  <c r="N21" i="1410"/>
  <c r="J21" i="1410"/>
  <c r="I21" i="1410"/>
  <c r="AF20" i="1410"/>
  <c r="AC20" i="1410"/>
  <c r="AB20" i="1410"/>
  <c r="Q20" i="1410"/>
  <c r="P20" i="1410"/>
  <c r="O20" i="1410"/>
  <c r="M20" i="1410"/>
  <c r="K20" i="1410"/>
  <c r="AF19" i="1410"/>
  <c r="Q19" i="1410"/>
  <c r="P19" i="1410"/>
  <c r="AC19" i="1410" s="1"/>
  <c r="AF18" i="1410"/>
  <c r="AB18" i="1410"/>
  <c r="Q18" i="1410"/>
  <c r="P18" i="1410"/>
  <c r="AC18" i="1410" s="1"/>
  <c r="O18" i="1410"/>
  <c r="AF17" i="1410"/>
  <c r="AB17" i="1410"/>
  <c r="Q17" i="1410"/>
  <c r="P17" i="1410"/>
  <c r="AC17" i="1410" s="1"/>
  <c r="O17" i="1410"/>
  <c r="M17" i="1410"/>
  <c r="K17" i="1410"/>
  <c r="AF16" i="1410"/>
  <c r="Q16" i="1410"/>
  <c r="P16" i="1410"/>
  <c r="AC16" i="1410" s="1"/>
  <c r="AF15" i="1410"/>
  <c r="AB15" i="1410"/>
  <c r="Q15" i="1410"/>
  <c r="P15" i="1410" s="1"/>
  <c r="AC15" i="1410" s="1"/>
  <c r="O15" i="1410"/>
  <c r="M15" i="1410"/>
  <c r="AF14" i="1410"/>
  <c r="AB14" i="1410"/>
  <c r="Q14" i="1410"/>
  <c r="P14" i="1410"/>
  <c r="AC14" i="1410" s="1"/>
  <c r="O14" i="1410"/>
  <c r="M14" i="1410"/>
  <c r="AF13" i="1410"/>
  <c r="AB13" i="1410"/>
  <c r="Q13" i="1410"/>
  <c r="P13" i="1410" s="1"/>
  <c r="AC13" i="1410" s="1"/>
  <c r="M13" i="1410"/>
  <c r="AF12" i="1410"/>
  <c r="Q12" i="1410"/>
  <c r="P12" i="1410"/>
  <c r="AC12" i="1410" s="1"/>
  <c r="AF11" i="1410"/>
  <c r="AB11" i="1410"/>
  <c r="Q11" i="1410"/>
  <c r="P11" i="1410"/>
  <c r="AC11" i="1410" s="1"/>
  <c r="O11" i="1410"/>
  <c r="M11" i="1410"/>
  <c r="K11" i="1410"/>
  <c r="AF9" i="1410"/>
  <c r="AB9" i="1410"/>
  <c r="Q9" i="1410"/>
  <c r="P9" i="1410"/>
  <c r="AC9" i="1410" s="1"/>
  <c r="M9" i="1410"/>
  <c r="O9" i="1410"/>
  <c r="AF8" i="1410"/>
  <c r="Q8" i="1410"/>
  <c r="O8" i="1410"/>
  <c r="AB8" i="1410"/>
  <c r="AF7" i="1410"/>
  <c r="AC7" i="1410"/>
  <c r="AD7" i="1410" s="1"/>
  <c r="AB7" i="1410"/>
  <c r="Q7" i="1410"/>
  <c r="P7" i="1410"/>
  <c r="O7" i="1410"/>
  <c r="M7" i="1410"/>
  <c r="K7" i="1410"/>
  <c r="AF6" i="1410"/>
  <c r="AC6" i="1410"/>
  <c r="AD6" i="1410" s="1"/>
  <c r="AB6" i="1410"/>
  <c r="Q6" i="1410"/>
  <c r="P6" i="1410"/>
  <c r="O6" i="1410"/>
  <c r="M6" i="1410"/>
  <c r="K6" i="1410"/>
  <c r="AE18" i="1412" l="1"/>
  <c r="AE15" i="1412"/>
  <c r="AE8" i="1412"/>
  <c r="AE6" i="1412"/>
  <c r="AE13" i="1412"/>
  <c r="AE19" i="1412"/>
  <c r="AE16" i="1412"/>
  <c r="AE11" i="1412"/>
  <c r="AE9" i="1412"/>
  <c r="AE10" i="1412"/>
  <c r="AE20" i="1412"/>
  <c r="AE14" i="1412"/>
  <c r="AE12" i="1412"/>
  <c r="AE17" i="1412"/>
  <c r="AE7" i="1412"/>
  <c r="AC21" i="1411"/>
  <c r="M21" i="1411"/>
  <c r="AD13" i="1411"/>
  <c r="AB21" i="1411"/>
  <c r="AD9" i="1411"/>
  <c r="AD10" i="1411"/>
  <c r="P21" i="1411"/>
  <c r="AD13" i="1410"/>
  <c r="M10" i="1410"/>
  <c r="AB10" i="1410"/>
  <c r="AD10" i="1410" s="1"/>
  <c r="L21" i="1410"/>
  <c r="O21" i="1410" s="1"/>
  <c r="Q21" i="1410"/>
  <c r="AD14" i="1410"/>
  <c r="AD20" i="1410"/>
  <c r="AD11" i="1410"/>
  <c r="AD15" i="1410"/>
  <c r="AD17" i="1410"/>
  <c r="AD9" i="1410"/>
  <c r="AD18" i="1410"/>
  <c r="P8" i="1410"/>
  <c r="AC8" i="1410" s="1"/>
  <c r="AD8" i="1410" s="1"/>
  <c r="M12" i="1410"/>
  <c r="AB12" i="1410"/>
  <c r="M16" i="1410"/>
  <c r="AB16" i="1410"/>
  <c r="M19" i="1410"/>
  <c r="AB19" i="1410"/>
  <c r="O12" i="1410"/>
  <c r="O16" i="1410"/>
  <c r="O19" i="1410"/>
  <c r="M8" i="1410"/>
  <c r="K21" i="1410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1409"/>
  <c r="O20" i="1409" s="1"/>
  <c r="K20" i="1409"/>
  <c r="L19" i="1409"/>
  <c r="L17" i="1409"/>
  <c r="K17" i="1409" s="1"/>
  <c r="L14" i="1409"/>
  <c r="P14" i="1409" s="1"/>
  <c r="AC14" i="1409" s="1"/>
  <c r="L13" i="1409"/>
  <c r="K13" i="1409" s="1"/>
  <c r="L10" i="1409"/>
  <c r="K10" i="1409" s="1"/>
  <c r="L9" i="1409"/>
  <c r="K9" i="1409" s="1"/>
  <c r="AF9" i="1409"/>
  <c r="Q9" i="1409"/>
  <c r="P9" i="1409" s="1"/>
  <c r="AC9" i="1409" s="1"/>
  <c r="L8" i="1409"/>
  <c r="K8" i="1409" s="1"/>
  <c r="K19" i="1409"/>
  <c r="A75" i="1409"/>
  <c r="A76" i="1409" s="1"/>
  <c r="A77" i="1409" s="1"/>
  <c r="A78" i="1409" s="1"/>
  <c r="A79" i="1409" s="1"/>
  <c r="A80" i="1409" s="1"/>
  <c r="A81" i="1409" s="1"/>
  <c r="A82" i="1409" s="1"/>
  <c r="AF61" i="1409"/>
  <c r="AF60" i="1409"/>
  <c r="AA22" i="1409"/>
  <c r="Z22" i="1409"/>
  <c r="Y22" i="1409"/>
  <c r="X22" i="1409"/>
  <c r="W22" i="1409"/>
  <c r="V22" i="1409"/>
  <c r="U22" i="1409"/>
  <c r="T22" i="1409"/>
  <c r="S22" i="1409"/>
  <c r="R22" i="1409"/>
  <c r="N22" i="1409"/>
  <c r="J22" i="1409"/>
  <c r="I22" i="1409"/>
  <c r="AF21" i="1409"/>
  <c r="AB21" i="1409"/>
  <c r="Q21" i="1409"/>
  <c r="P21" i="1409"/>
  <c r="AC21" i="1409" s="1"/>
  <c r="O21" i="1409"/>
  <c r="M21" i="1409"/>
  <c r="K21" i="1409"/>
  <c r="AF20" i="1409"/>
  <c r="AB20" i="1409"/>
  <c r="Q20" i="1409"/>
  <c r="P20" i="1409"/>
  <c r="AC20" i="1409" s="1"/>
  <c r="M20" i="1409"/>
  <c r="AF19" i="1409"/>
  <c r="Q19" i="1409"/>
  <c r="O19" i="1409"/>
  <c r="AF18" i="1409"/>
  <c r="AB18" i="1409"/>
  <c r="Q18" i="1409"/>
  <c r="P18" i="1409"/>
  <c r="AC18" i="1409" s="1"/>
  <c r="O18" i="1409"/>
  <c r="M18" i="1409"/>
  <c r="K18" i="1409"/>
  <c r="AF17" i="1409"/>
  <c r="AB17" i="1409"/>
  <c r="Q17" i="1409"/>
  <c r="O17" i="1409"/>
  <c r="M17" i="1409"/>
  <c r="AF16" i="1409"/>
  <c r="AB16" i="1409"/>
  <c r="Q16" i="1409"/>
  <c r="P16" i="1409"/>
  <c r="AC16" i="1409" s="1"/>
  <c r="O16" i="1409"/>
  <c r="M16" i="1409"/>
  <c r="AF15" i="1409"/>
  <c r="AB15" i="1409"/>
  <c r="Q15" i="1409"/>
  <c r="P15" i="1409"/>
  <c r="AC15" i="1409" s="1"/>
  <c r="O15" i="1409"/>
  <c r="M15" i="1409"/>
  <c r="AF14" i="1409"/>
  <c r="Q14" i="1409"/>
  <c r="O14" i="1409"/>
  <c r="AF13" i="1409"/>
  <c r="Q13" i="1409"/>
  <c r="P13" i="1409"/>
  <c r="AC13" i="1409" s="1"/>
  <c r="O13" i="1409"/>
  <c r="AF12" i="1409"/>
  <c r="AB12" i="1409"/>
  <c r="Q12" i="1409"/>
  <c r="P12" i="1409"/>
  <c r="AC12" i="1409" s="1"/>
  <c r="O12" i="1409"/>
  <c r="M12" i="1409"/>
  <c r="K12" i="1409"/>
  <c r="AF11" i="1409"/>
  <c r="AB11" i="1409"/>
  <c r="Q11" i="1409"/>
  <c r="P11" i="1409"/>
  <c r="AC11" i="1409" s="1"/>
  <c r="O11" i="1409"/>
  <c r="M11" i="1409"/>
  <c r="K11" i="1409"/>
  <c r="AF10" i="1409"/>
  <c r="Q10" i="1409"/>
  <c r="AF8" i="1409"/>
  <c r="Q8" i="1409"/>
  <c r="AF7" i="1409"/>
  <c r="AB7" i="1409"/>
  <c r="Q7" i="1409"/>
  <c r="P7" i="1409"/>
  <c r="AC7" i="1409" s="1"/>
  <c r="AD7" i="1409" s="1"/>
  <c r="O7" i="1409"/>
  <c r="M7" i="1409"/>
  <c r="K7" i="1409"/>
  <c r="AF6" i="1409"/>
  <c r="AB6" i="1409"/>
  <c r="Q6" i="1409"/>
  <c r="P6" i="1409"/>
  <c r="AC6" i="1409" s="1"/>
  <c r="O6" i="1409"/>
  <c r="M6" i="1409"/>
  <c r="K6" i="1409"/>
  <c r="AD21" i="1411" l="1"/>
  <c r="AE19" i="1411" s="1"/>
  <c r="M21" i="1410"/>
  <c r="AD19" i="1410"/>
  <c r="AD12" i="1410"/>
  <c r="AC21" i="1410"/>
  <c r="AD16" i="1410"/>
  <c r="P21" i="1410"/>
  <c r="AB21" i="1410"/>
  <c r="O10" i="1409"/>
  <c r="P10" i="1409"/>
  <c r="AC10" i="1409" s="1"/>
  <c r="AD12" i="1409"/>
  <c r="M14" i="1409"/>
  <c r="AB14" i="1409"/>
  <c r="K14" i="1409"/>
  <c r="K22" i="1409" s="1"/>
  <c r="AB10" i="1409"/>
  <c r="AD10" i="1409" s="1"/>
  <c r="P17" i="1409"/>
  <c r="AC17" i="1409" s="1"/>
  <c r="AB8" i="1409"/>
  <c r="AF63" i="1409"/>
  <c r="AB9" i="1409"/>
  <c r="P8" i="1409"/>
  <c r="AC8" i="1409" s="1"/>
  <c r="AD14" i="1409"/>
  <c r="AD20" i="1409"/>
  <c r="O9" i="1409"/>
  <c r="AD9" i="1409" s="1"/>
  <c r="AD15" i="1409"/>
  <c r="Q22" i="1409"/>
  <c r="AD21" i="1409"/>
  <c r="M9" i="1409"/>
  <c r="AD17" i="1409"/>
  <c r="AD18" i="1409"/>
  <c r="AD11" i="1409"/>
  <c r="AD16" i="1409"/>
  <c r="M19" i="1409"/>
  <c r="M8" i="1409"/>
  <c r="M13" i="1409"/>
  <c r="AB13" i="1409"/>
  <c r="AD13" i="1409" s="1"/>
  <c r="AD6" i="1409"/>
  <c r="O8" i="1409"/>
  <c r="M10" i="1409"/>
  <c r="P19" i="1409"/>
  <c r="AC19" i="1409" s="1"/>
  <c r="AB19" i="1409"/>
  <c r="L22" i="1409"/>
  <c r="O22" i="1409" s="1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1408"/>
  <c r="K21" i="1408" s="1"/>
  <c r="AF19" i="1408"/>
  <c r="AB19" i="1408"/>
  <c r="Q19" i="1408"/>
  <c r="P19" i="1408" s="1"/>
  <c r="AC19" i="1408" s="1"/>
  <c r="O19" i="1408"/>
  <c r="M19" i="1408"/>
  <c r="K19" i="1408"/>
  <c r="AF17" i="1408"/>
  <c r="AC17" i="1408"/>
  <c r="AD17" i="1408" s="1"/>
  <c r="AB17" i="1408"/>
  <c r="Q17" i="1408"/>
  <c r="P17" i="1408"/>
  <c r="O17" i="1408"/>
  <c r="M17" i="1408"/>
  <c r="K17" i="1408"/>
  <c r="K18" i="1408"/>
  <c r="L13" i="1408"/>
  <c r="K9" i="1408"/>
  <c r="AF9" i="1408"/>
  <c r="AB9" i="1408"/>
  <c r="Q9" i="1408"/>
  <c r="P9" i="1408" s="1"/>
  <c r="AC9" i="1408" s="1"/>
  <c r="M9" i="1408"/>
  <c r="O9" i="1408"/>
  <c r="L10" i="1408"/>
  <c r="K10" i="1408"/>
  <c r="AE7" i="1411" l="1"/>
  <c r="AE18" i="1411"/>
  <c r="AE12" i="1411"/>
  <c r="AE6" i="1411"/>
  <c r="AE15" i="1411"/>
  <c r="AE10" i="1411"/>
  <c r="AE14" i="1411"/>
  <c r="AE8" i="1411"/>
  <c r="AE17" i="1411"/>
  <c r="AE13" i="1411"/>
  <c r="AE16" i="1411"/>
  <c r="AE11" i="1411"/>
  <c r="AE20" i="1411"/>
  <c r="AE9" i="1411"/>
  <c r="AD21" i="1410"/>
  <c r="AE10" i="1410" s="1"/>
  <c r="AD8" i="1409"/>
  <c r="AB22" i="1409"/>
  <c r="AD19" i="1409"/>
  <c r="AD22" i="1409" s="1"/>
  <c r="AE9" i="1409" s="1"/>
  <c r="M22" i="1409"/>
  <c r="P22" i="1409"/>
  <c r="AC22" i="1409"/>
  <c r="AD19" i="1408"/>
  <c r="AD9" i="1408"/>
  <c r="AE18" i="1410" l="1"/>
  <c r="AE17" i="1410"/>
  <c r="AE12" i="1410"/>
  <c r="AE14" i="1410"/>
  <c r="AE11" i="1410"/>
  <c r="AE16" i="1410"/>
  <c r="AE19" i="1410"/>
  <c r="AE20" i="1410"/>
  <c r="AE6" i="1410"/>
  <c r="AE15" i="1410"/>
  <c r="AE13" i="1410"/>
  <c r="AE9" i="1410"/>
  <c r="AE8" i="1410"/>
  <c r="AE7" i="1410"/>
  <c r="AE20" i="1409"/>
  <c r="AE10" i="1409"/>
  <c r="AE16" i="1409"/>
  <c r="AE21" i="1409"/>
  <c r="AE19" i="1409"/>
  <c r="AE11" i="1409"/>
  <c r="AE6" i="1409"/>
  <c r="AE18" i="1409"/>
  <c r="AE13" i="1409"/>
  <c r="AE17" i="1409"/>
  <c r="AE14" i="1409"/>
  <c r="AE12" i="1409"/>
  <c r="AE7" i="1409"/>
  <c r="AE8" i="1409"/>
  <c r="AE15" i="1409"/>
  <c r="L8" i="1408"/>
  <c r="K23" i="1408"/>
  <c r="K22" i="1408"/>
  <c r="K14" i="1408"/>
  <c r="K13" i="1408"/>
  <c r="K12" i="1408"/>
  <c r="K8" i="1408"/>
  <c r="A78" i="1408"/>
  <c r="A79" i="1408" s="1"/>
  <c r="A80" i="1408" s="1"/>
  <c r="A81" i="1408" s="1"/>
  <c r="A82" i="1408" s="1"/>
  <c r="A83" i="1408" s="1"/>
  <c r="A84" i="1408" s="1"/>
  <c r="A77" i="1408"/>
  <c r="AF63" i="1408"/>
  <c r="AF62" i="1408"/>
  <c r="AF65" i="1408" s="1"/>
  <c r="AA24" i="1408"/>
  <c r="Z24" i="1408"/>
  <c r="Y24" i="1408"/>
  <c r="X24" i="1408"/>
  <c r="W24" i="1408"/>
  <c r="V24" i="1408"/>
  <c r="U24" i="1408"/>
  <c r="T24" i="1408"/>
  <c r="S24" i="1408"/>
  <c r="R24" i="1408"/>
  <c r="N24" i="1408"/>
  <c r="J24" i="1408"/>
  <c r="I24" i="1408"/>
  <c r="AF23" i="1408"/>
  <c r="Q23" i="1408"/>
  <c r="AB23" i="1408"/>
  <c r="AF22" i="1408"/>
  <c r="Q22" i="1408"/>
  <c r="P22" i="1408" s="1"/>
  <c r="AC22" i="1408" s="1"/>
  <c r="O22" i="1408"/>
  <c r="AF21" i="1408"/>
  <c r="Q21" i="1408"/>
  <c r="P21" i="1408" s="1"/>
  <c r="AC21" i="1408" s="1"/>
  <c r="O21" i="1408"/>
  <c r="AB21" i="1408"/>
  <c r="AF20" i="1408"/>
  <c r="AB20" i="1408"/>
  <c r="Q20" i="1408"/>
  <c r="P20" i="1408"/>
  <c r="AC20" i="1408" s="1"/>
  <c r="O20" i="1408"/>
  <c r="M20" i="1408"/>
  <c r="K20" i="1408"/>
  <c r="AF18" i="1408"/>
  <c r="AB18" i="1408"/>
  <c r="Q18" i="1408"/>
  <c r="P18" i="1408" s="1"/>
  <c r="AC18" i="1408" s="1"/>
  <c r="O18" i="1408"/>
  <c r="M18" i="1408"/>
  <c r="AF16" i="1408"/>
  <c r="AB16" i="1408"/>
  <c r="Q16" i="1408"/>
  <c r="P16" i="1408"/>
  <c r="AC16" i="1408" s="1"/>
  <c r="O16" i="1408"/>
  <c r="M16" i="1408"/>
  <c r="AF15" i="1408"/>
  <c r="AC15" i="1408"/>
  <c r="AB15" i="1408"/>
  <c r="Q15" i="1408"/>
  <c r="P15" i="1408"/>
  <c r="O15" i="1408"/>
  <c r="M15" i="1408"/>
  <c r="AF14" i="1408"/>
  <c r="Q14" i="1408"/>
  <c r="P14" i="1408"/>
  <c r="AC14" i="1408" s="1"/>
  <c r="O14" i="1408"/>
  <c r="AB14" i="1408"/>
  <c r="AF13" i="1408"/>
  <c r="AB13" i="1408"/>
  <c r="Q13" i="1408"/>
  <c r="P13" i="1408" s="1"/>
  <c r="AC13" i="1408" s="1"/>
  <c r="O13" i="1408"/>
  <c r="M13" i="1408"/>
  <c r="AF12" i="1408"/>
  <c r="AB12" i="1408"/>
  <c r="Q12" i="1408"/>
  <c r="P12" i="1408" s="1"/>
  <c r="AC12" i="1408" s="1"/>
  <c r="O12" i="1408"/>
  <c r="M12" i="1408"/>
  <c r="AF11" i="1408"/>
  <c r="AB11" i="1408"/>
  <c r="Q11" i="1408"/>
  <c r="P11" i="1408"/>
  <c r="AC11" i="1408" s="1"/>
  <c r="O11" i="1408"/>
  <c r="M11" i="1408"/>
  <c r="K11" i="1408"/>
  <c r="AF10" i="1408"/>
  <c r="AB10" i="1408"/>
  <c r="Q10" i="1408"/>
  <c r="P10" i="1408" s="1"/>
  <c r="AC10" i="1408" s="1"/>
  <c r="M10" i="1408"/>
  <c r="AF8" i="1408"/>
  <c r="Q8" i="1408"/>
  <c r="L24" i="1408"/>
  <c r="AF7" i="1408"/>
  <c r="AB7" i="1408"/>
  <c r="Q7" i="1408"/>
  <c r="P7" i="1408"/>
  <c r="O7" i="1408"/>
  <c r="M7" i="1408"/>
  <c r="K7" i="1408"/>
  <c r="AF6" i="1408"/>
  <c r="AB6" i="1408"/>
  <c r="Q6" i="1408"/>
  <c r="P6" i="1408"/>
  <c r="AC6" i="1408" s="1"/>
  <c r="O6" i="1408"/>
  <c r="M6" i="1408"/>
  <c r="K6" i="1408"/>
  <c r="O24" i="1408" l="1"/>
  <c r="AD6" i="1408"/>
  <c r="Q24" i="1408"/>
  <c r="AD18" i="1408"/>
  <c r="AD16" i="1408"/>
  <c r="AD12" i="1408"/>
  <c r="AD13" i="1408"/>
  <c r="AD14" i="1408"/>
  <c r="AD15" i="1408"/>
  <c r="AD20" i="1408"/>
  <c r="AD11" i="1408"/>
  <c r="AD21" i="1408"/>
  <c r="M8" i="1408"/>
  <c r="AB8" i="1408"/>
  <c r="O10" i="1408"/>
  <c r="AD10" i="1408" s="1"/>
  <c r="M22" i="1408"/>
  <c r="AB22" i="1408"/>
  <c r="AD22" i="1408" s="1"/>
  <c r="O23" i="1408"/>
  <c r="O8" i="1408"/>
  <c r="M14" i="1408"/>
  <c r="M21" i="1408"/>
  <c r="P23" i="1408"/>
  <c r="AC23" i="1408" s="1"/>
  <c r="AC7" i="1408"/>
  <c r="AD7" i="1408" s="1"/>
  <c r="K24" i="1408"/>
  <c r="P8" i="1408"/>
  <c r="AC8" i="1408" s="1"/>
  <c r="M23" i="1408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B24" i="1408" l="1"/>
  <c r="AD8" i="1408"/>
  <c r="M24" i="1408"/>
  <c r="AC24" i="1408"/>
  <c r="P24" i="1408"/>
  <c r="AD23" i="1408"/>
  <c r="L20" i="1407"/>
  <c r="L19" i="1407"/>
  <c r="O19" i="1407" s="1"/>
  <c r="L18" i="1407"/>
  <c r="AB18" i="1407" s="1"/>
  <c r="L13" i="1407"/>
  <c r="K13" i="1407" s="1"/>
  <c r="L12" i="1407"/>
  <c r="L9" i="1407"/>
  <c r="K9" i="1407" s="1"/>
  <c r="L8" i="1407"/>
  <c r="AB8" i="1407" s="1"/>
  <c r="K20" i="1407"/>
  <c r="K19" i="1407"/>
  <c r="K18" i="1407"/>
  <c r="K17" i="1407"/>
  <c r="K11" i="1407"/>
  <c r="A74" i="1407"/>
  <c r="A75" i="1407" s="1"/>
  <c r="A76" i="1407" s="1"/>
  <c r="A77" i="1407" s="1"/>
  <c r="A78" i="1407" s="1"/>
  <c r="A79" i="1407" s="1"/>
  <c r="A80" i="1407" s="1"/>
  <c r="A81" i="1407" s="1"/>
  <c r="AF60" i="1407"/>
  <c r="AF59" i="1407"/>
  <c r="AF62" i="1407" s="1"/>
  <c r="AA21" i="1407"/>
  <c r="Z21" i="1407"/>
  <c r="Y21" i="1407"/>
  <c r="X21" i="1407"/>
  <c r="W21" i="1407"/>
  <c r="V21" i="1407"/>
  <c r="U21" i="1407"/>
  <c r="T21" i="1407"/>
  <c r="S21" i="1407"/>
  <c r="R21" i="1407"/>
  <c r="N21" i="1407"/>
  <c r="J21" i="1407"/>
  <c r="I21" i="1407"/>
  <c r="AF20" i="1407"/>
  <c r="Q20" i="1407"/>
  <c r="AF19" i="1407"/>
  <c r="Q19" i="1407"/>
  <c r="P19" i="1407"/>
  <c r="AC19" i="1407" s="1"/>
  <c r="AF18" i="1407"/>
  <c r="Q18" i="1407"/>
  <c r="O18" i="1407"/>
  <c r="AF17" i="1407"/>
  <c r="AB17" i="1407"/>
  <c r="Q17" i="1407"/>
  <c r="P17" i="1407"/>
  <c r="AC17" i="1407" s="1"/>
  <c r="O17" i="1407"/>
  <c r="M17" i="1407"/>
  <c r="AF16" i="1407"/>
  <c r="AB16" i="1407"/>
  <c r="Q16" i="1407"/>
  <c r="P16" i="1407"/>
  <c r="AC16" i="1407" s="1"/>
  <c r="O16" i="1407"/>
  <c r="M16" i="1407"/>
  <c r="AF15" i="1407"/>
  <c r="AC15" i="1407"/>
  <c r="AB15" i="1407"/>
  <c r="Q15" i="1407"/>
  <c r="P15" i="1407"/>
  <c r="O15" i="1407"/>
  <c r="M15" i="1407"/>
  <c r="AF14" i="1407"/>
  <c r="AB14" i="1407"/>
  <c r="Q14" i="1407"/>
  <c r="P14" i="1407"/>
  <c r="AC14" i="1407" s="1"/>
  <c r="O14" i="1407"/>
  <c r="M14" i="1407"/>
  <c r="AF13" i="1407"/>
  <c r="Q13" i="1407"/>
  <c r="O13" i="1407"/>
  <c r="AF12" i="1407"/>
  <c r="Q12" i="1407"/>
  <c r="O12" i="1407"/>
  <c r="AB12" i="1407"/>
  <c r="AF11" i="1407"/>
  <c r="AB11" i="1407"/>
  <c r="Q11" i="1407"/>
  <c r="P11" i="1407" s="1"/>
  <c r="AC11" i="1407" s="1"/>
  <c r="O11" i="1407"/>
  <c r="M11" i="1407"/>
  <c r="AF10" i="1407"/>
  <c r="AB10" i="1407"/>
  <c r="Q10" i="1407"/>
  <c r="P10" i="1407"/>
  <c r="AC10" i="1407" s="1"/>
  <c r="O10" i="1407"/>
  <c r="M10" i="1407"/>
  <c r="K10" i="1407"/>
  <c r="AF9" i="1407"/>
  <c r="Q9" i="1407"/>
  <c r="AB9" i="1407"/>
  <c r="AF8" i="1407"/>
  <c r="Q8" i="1407"/>
  <c r="M8" i="1407"/>
  <c r="AF7" i="1407"/>
  <c r="AC7" i="1407"/>
  <c r="AB7" i="1407"/>
  <c r="Q7" i="1407"/>
  <c r="P7" i="1407"/>
  <c r="O7" i="1407"/>
  <c r="M7" i="1407"/>
  <c r="K7" i="1407"/>
  <c r="AF6" i="1407"/>
  <c r="AC6" i="1407"/>
  <c r="AB6" i="1407"/>
  <c r="Q6" i="1407"/>
  <c r="P6" i="1407"/>
  <c r="O6" i="1407"/>
  <c r="M6" i="1407"/>
  <c r="K6" i="1407"/>
  <c r="AD24" i="1408" l="1"/>
  <c r="O8" i="1407"/>
  <c r="AD8" i="1407" s="1"/>
  <c r="AD14" i="1407"/>
  <c r="K8" i="1407"/>
  <c r="P8" i="1407"/>
  <c r="AC8" i="1407" s="1"/>
  <c r="P12" i="1407"/>
  <c r="AC12" i="1407" s="1"/>
  <c r="AD7" i="1407"/>
  <c r="AD10" i="1407"/>
  <c r="K12" i="1407"/>
  <c r="P20" i="1407"/>
  <c r="AC20" i="1407" s="1"/>
  <c r="O20" i="1407"/>
  <c r="AB19" i="1407"/>
  <c r="AD19" i="1407" s="1"/>
  <c r="P18" i="1407"/>
  <c r="AC18" i="1407" s="1"/>
  <c r="AD18" i="1407" s="1"/>
  <c r="M18" i="1407"/>
  <c r="P13" i="1407"/>
  <c r="AC13" i="1407" s="1"/>
  <c r="L21" i="1407"/>
  <c r="O21" i="1407" s="1"/>
  <c r="O9" i="1407"/>
  <c r="P9" i="1407"/>
  <c r="AC9" i="1407" s="1"/>
  <c r="AD9" i="1407" s="1"/>
  <c r="Q21" i="1407"/>
  <c r="AD17" i="1407"/>
  <c r="AD16" i="1407"/>
  <c r="AD11" i="1407"/>
  <c r="AD15" i="1407"/>
  <c r="K21" i="1407"/>
  <c r="AD12" i="1407"/>
  <c r="M20" i="1407"/>
  <c r="AB20" i="1407"/>
  <c r="AD6" i="1407"/>
  <c r="M13" i="1407"/>
  <c r="AB13" i="1407"/>
  <c r="M9" i="1407"/>
  <c r="M12" i="1407"/>
  <c r="M19" i="1407"/>
  <c r="B18" i="16"/>
  <c r="B17" i="16"/>
  <c r="B16" i="16"/>
  <c r="AG16" i="16" s="1"/>
  <c r="B15" i="16"/>
  <c r="B14" i="16"/>
  <c r="B13" i="16"/>
  <c r="AG13" i="16" s="1"/>
  <c r="B12" i="16"/>
  <c r="B11" i="16"/>
  <c r="B10" i="16"/>
  <c r="B9" i="16"/>
  <c r="AG9" i="16" s="1"/>
  <c r="B8" i="16"/>
  <c r="B7" i="16"/>
  <c r="B6" i="16"/>
  <c r="B5" i="16"/>
  <c r="AG5" i="16" s="1"/>
  <c r="B4" i="16"/>
  <c r="B3" i="16"/>
  <c r="AG18" i="16"/>
  <c r="AG17" i="16"/>
  <c r="AG15" i="16"/>
  <c r="AG14" i="16"/>
  <c r="AG12" i="16"/>
  <c r="AG11" i="16"/>
  <c r="AG10" i="16"/>
  <c r="AG8" i="16"/>
  <c r="AG7" i="16"/>
  <c r="AG6" i="16"/>
  <c r="AG4" i="16"/>
  <c r="AG3" i="16"/>
  <c r="L21" i="1406"/>
  <c r="K21" i="1406"/>
  <c r="L20" i="1406"/>
  <c r="L19" i="1406"/>
  <c r="AF18" i="1406"/>
  <c r="AB18" i="1406"/>
  <c r="Q18" i="1406"/>
  <c r="P18" i="1406"/>
  <c r="AC18" i="1406" s="1"/>
  <c r="AD18" i="1406" s="1"/>
  <c r="O18" i="1406"/>
  <c r="M18" i="1406"/>
  <c r="K18" i="1406"/>
  <c r="K19" i="1406"/>
  <c r="K17" i="1406"/>
  <c r="L13" i="1406"/>
  <c r="K13" i="1406"/>
  <c r="L12" i="1406"/>
  <c r="K12" i="1406"/>
  <c r="L11" i="1406"/>
  <c r="K11" i="1406" s="1"/>
  <c r="L9" i="1406"/>
  <c r="K9" i="1406"/>
  <c r="L8" i="1406"/>
  <c r="K8" i="1406" s="1"/>
  <c r="K10" i="1406"/>
  <c r="AE17" i="1408" l="1"/>
  <c r="AE19" i="1408"/>
  <c r="AE22" i="1408"/>
  <c r="AE9" i="1408"/>
  <c r="AE11" i="1408"/>
  <c r="AE15" i="1408"/>
  <c r="AE12" i="1408"/>
  <c r="AE18" i="1408"/>
  <c r="AE21" i="1408"/>
  <c r="AE6" i="1408"/>
  <c r="AE23" i="1408"/>
  <c r="AE8" i="1408"/>
  <c r="AE14" i="1408"/>
  <c r="AE20" i="1408"/>
  <c r="AE16" i="1408"/>
  <c r="AE7" i="1408"/>
  <c r="AE13" i="1408"/>
  <c r="AE10" i="1408"/>
  <c r="AD20" i="1407"/>
  <c r="AB21" i="1407"/>
  <c r="P21" i="1407"/>
  <c r="AC21" i="1407"/>
  <c r="M21" i="1407"/>
  <c r="AD13" i="1407"/>
  <c r="AD21" i="1407" s="1"/>
  <c r="O21" i="1406"/>
  <c r="K20" i="1406"/>
  <c r="A76" i="1406"/>
  <c r="A77" i="1406" s="1"/>
  <c r="A78" i="1406" s="1"/>
  <c r="A79" i="1406" s="1"/>
  <c r="A80" i="1406" s="1"/>
  <c r="A81" i="1406" s="1"/>
  <c r="A82" i="1406" s="1"/>
  <c r="A75" i="1406"/>
  <c r="AF61" i="1406"/>
  <c r="AF60" i="1406"/>
  <c r="AF63" i="1406" s="1"/>
  <c r="AA22" i="1406"/>
  <c r="Z22" i="1406"/>
  <c r="Y22" i="1406"/>
  <c r="X22" i="1406"/>
  <c r="W22" i="1406"/>
  <c r="V22" i="1406"/>
  <c r="U22" i="1406"/>
  <c r="T22" i="1406"/>
  <c r="S22" i="1406"/>
  <c r="R22" i="1406"/>
  <c r="N22" i="1406"/>
  <c r="J22" i="1406"/>
  <c r="I22" i="1406"/>
  <c r="AF21" i="1406"/>
  <c r="Q21" i="1406"/>
  <c r="AF20" i="1406"/>
  <c r="Q20" i="1406"/>
  <c r="P20" i="1406"/>
  <c r="AC20" i="1406" s="1"/>
  <c r="AB20" i="1406"/>
  <c r="AF19" i="1406"/>
  <c r="AB19" i="1406"/>
  <c r="Q19" i="1406"/>
  <c r="P19" i="1406" s="1"/>
  <c r="AC19" i="1406" s="1"/>
  <c r="O19" i="1406"/>
  <c r="M19" i="1406"/>
  <c r="AF17" i="1406"/>
  <c r="AB17" i="1406"/>
  <c r="Q17" i="1406"/>
  <c r="P17" i="1406" s="1"/>
  <c r="AC17" i="1406" s="1"/>
  <c r="O17" i="1406"/>
  <c r="M17" i="1406"/>
  <c r="AF16" i="1406"/>
  <c r="AB16" i="1406"/>
  <c r="Q16" i="1406"/>
  <c r="P16" i="1406"/>
  <c r="AC16" i="1406" s="1"/>
  <c r="O16" i="1406"/>
  <c r="M16" i="1406"/>
  <c r="AF15" i="1406"/>
  <c r="AC15" i="1406"/>
  <c r="AB15" i="1406"/>
  <c r="Q15" i="1406"/>
  <c r="P15" i="1406"/>
  <c r="O15" i="1406"/>
  <c r="M15" i="1406"/>
  <c r="AF14" i="1406"/>
  <c r="AB14" i="1406"/>
  <c r="Q14" i="1406"/>
  <c r="P14" i="1406"/>
  <c r="AC14" i="1406" s="1"/>
  <c r="O14" i="1406"/>
  <c r="M14" i="1406"/>
  <c r="AF13" i="1406"/>
  <c r="Q13" i="1406"/>
  <c r="O13" i="1406"/>
  <c r="AF12" i="1406"/>
  <c r="Q12" i="1406"/>
  <c r="P12" i="1406"/>
  <c r="AC12" i="1406" s="1"/>
  <c r="AB12" i="1406"/>
  <c r="AF11" i="1406"/>
  <c r="AB11" i="1406"/>
  <c r="Q11" i="1406"/>
  <c r="P11" i="1406" s="1"/>
  <c r="AC11" i="1406" s="1"/>
  <c r="O11" i="1406"/>
  <c r="M11" i="1406"/>
  <c r="AF10" i="1406"/>
  <c r="AB10" i="1406"/>
  <c r="Q10" i="1406"/>
  <c r="P10" i="1406" s="1"/>
  <c r="AC10" i="1406" s="1"/>
  <c r="O10" i="1406"/>
  <c r="M10" i="1406"/>
  <c r="AF9" i="1406"/>
  <c r="Q9" i="1406"/>
  <c r="O9" i="1406"/>
  <c r="AF8" i="1406"/>
  <c r="Q8" i="1406"/>
  <c r="P8" i="1406" s="1"/>
  <c r="AC8" i="1406" s="1"/>
  <c r="AB8" i="1406"/>
  <c r="AF7" i="1406"/>
  <c r="AC7" i="1406"/>
  <c r="AB7" i="1406"/>
  <c r="Q7" i="1406"/>
  <c r="P7" i="1406"/>
  <c r="O7" i="1406"/>
  <c r="M7" i="1406"/>
  <c r="K7" i="1406"/>
  <c r="AF6" i="1406"/>
  <c r="AB6" i="1406"/>
  <c r="Q6" i="1406"/>
  <c r="P6" i="1406"/>
  <c r="AC6" i="1406" s="1"/>
  <c r="O6" i="1406"/>
  <c r="M6" i="1406"/>
  <c r="K6" i="1406"/>
  <c r="AE18" i="1407" l="1"/>
  <c r="AE15" i="1407"/>
  <c r="AE11" i="1407"/>
  <c r="AE8" i="1407"/>
  <c r="AE14" i="1407"/>
  <c r="AE12" i="1407"/>
  <c r="AE9" i="1407"/>
  <c r="AE6" i="1407"/>
  <c r="AE16" i="1407"/>
  <c r="AE10" i="1407"/>
  <c r="AE7" i="1407"/>
  <c r="AE19" i="1407"/>
  <c r="AE17" i="1407"/>
  <c r="AE20" i="1407"/>
  <c r="AE13" i="1407"/>
  <c r="AD7" i="1406"/>
  <c r="AD14" i="1406"/>
  <c r="AD15" i="1406"/>
  <c r="AD16" i="1406"/>
  <c r="Q22" i="1406"/>
  <c r="AD11" i="1406"/>
  <c r="AD17" i="1406"/>
  <c r="AD10" i="1406"/>
  <c r="AD19" i="1406"/>
  <c r="AD6" i="1406"/>
  <c r="M9" i="1406"/>
  <c r="AB9" i="1406"/>
  <c r="M13" i="1406"/>
  <c r="AB13" i="1406"/>
  <c r="AB21" i="1406"/>
  <c r="L22" i="1406"/>
  <c r="O22" i="1406" s="1"/>
  <c r="O8" i="1406"/>
  <c r="AD8" i="1406" s="1"/>
  <c r="K22" i="1406"/>
  <c r="P9" i="1406"/>
  <c r="AC9" i="1406" s="1"/>
  <c r="O12" i="1406"/>
  <c r="AD12" i="1406" s="1"/>
  <c r="P13" i="1406"/>
  <c r="AC13" i="1406" s="1"/>
  <c r="O20" i="1406"/>
  <c r="AD20" i="1406" s="1"/>
  <c r="P21" i="1406"/>
  <c r="AC21" i="1406" s="1"/>
  <c r="M21" i="1406"/>
  <c r="M8" i="1406"/>
  <c r="M12" i="1406"/>
  <c r="M20" i="1406"/>
  <c r="M22" i="1406" l="1"/>
  <c r="AD13" i="1406"/>
  <c r="AB22" i="1406"/>
  <c r="AD9" i="1406"/>
  <c r="P22" i="1406"/>
  <c r="AD21" i="1406"/>
  <c r="AC22" i="1406"/>
  <c r="AD22" i="1406" l="1"/>
  <c r="AE18" i="1406" s="1"/>
  <c r="AE11" i="1406" l="1"/>
  <c r="AE12" i="1406"/>
  <c r="AE13" i="1406"/>
  <c r="AE14" i="1406"/>
  <c r="AE21" i="1406"/>
  <c r="AE15" i="1406"/>
  <c r="AE19" i="1406"/>
  <c r="AE16" i="1406"/>
  <c r="AE20" i="1406"/>
  <c r="AE8" i="1406"/>
  <c r="AE6" i="1406"/>
  <c r="AE7" i="1406"/>
  <c r="AE9" i="1406"/>
  <c r="AE10" i="1406"/>
  <c r="AE17" i="1406"/>
</calcChain>
</file>

<file path=xl/sharedStrings.xml><?xml version="1.0" encoding="utf-8"?>
<sst xmlns="http://schemas.openxmlformats.org/spreadsheetml/2006/main" count="4856" uniqueCount="519">
  <si>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</si>
  <si>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</si>
  <si>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</si>
  <si>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</si>
  <si>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</si>
  <si>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</si>
  <si>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</si>
  <si>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</si>
  <si>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</si>
  <si>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</si>
  <si>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</si>
  <si>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</si>
  <si>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</si>
  <si>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</si>
  <si>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</si>
  <si>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</si>
  <si>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</si>
  <si>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</si>
  <si>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</si>
  <si>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</si>
  <si>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</si>
  <si>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</si>
  <si>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</si>
  <si>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</si>
  <si>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</si>
  <si>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</si>
  <si>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</si>
  <si>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</si>
  <si>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</si>
  <si>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</si>
  <si>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</si>
  <si>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</si>
  <si>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</si>
  <si>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</si>
  <si>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</si>
  <si>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</si>
  <si>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</si>
  <si>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</si>
  <si>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</si>
  <si>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</si>
  <si>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</si>
  <si>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</si>
  <si>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</si>
  <si>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</si>
  <si>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</si>
  <si>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</si>
  <si>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</si>
  <si>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</si>
  <si>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</si>
  <si>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</si>
  <si>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</si>
  <si>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</si>
  <si>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</si>
  <si>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</si>
  <si>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</si>
  <si>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</si>
  <si>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</si>
  <si>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</si>
  <si>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</si>
  <si>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</si>
  <si>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</si>
  <si>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</si>
  <si>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</si>
  <si>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</si>
  <si>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</si>
  <si>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</si>
  <si>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</si>
  <si>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</si>
  <si>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</si>
  <si>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</si>
  <si>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</si>
  <si>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</si>
  <si>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</si>
  <si>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</si>
  <si>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</si>
  <si>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</si>
  <si>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</si>
  <si>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</si>
  <si>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</si>
  <si>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</si>
  <si>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</si>
  <si>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</si>
  <si>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</si>
  <si>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</si>
  <si>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</si>
  <si>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</si>
  <si>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</si>
  <si>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</si>
  <si>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</si>
  <si>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</si>
  <si>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</si>
  <si>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</si>
  <si>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</si>
  <si>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</si>
  <si>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</si>
  <si>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</si>
  <si>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</si>
  <si>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</si>
  <si>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</si>
  <si>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</si>
  <si>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</si>
  <si>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</si>
  <si>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</si>
  <si>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</si>
  <si>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</si>
  <si>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</si>
  <si>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</si>
  <si>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</si>
  <si>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</si>
  <si>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</si>
  <si>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</si>
  <si>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</si>
  <si>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</si>
  <si>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</si>
  <si>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</si>
  <si>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</si>
  <si>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</si>
  <si>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</si>
  <si>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HICON</t>
    <phoneticPr fontId="2" type="noConversion"/>
  </si>
  <si>
    <t>AMB0114H-JAA-R1</t>
    <phoneticPr fontId="2" type="noConversion"/>
  </si>
  <si>
    <t>BODY</t>
    <phoneticPr fontId="2" type="noConversion"/>
  </si>
  <si>
    <t>미성형</t>
    <phoneticPr fontId="2" type="noConversion"/>
  </si>
  <si>
    <t>SGF2041</t>
    <phoneticPr fontId="2" type="noConversion"/>
  </si>
  <si>
    <t>발주분양산</t>
    <phoneticPr fontId="2" type="noConversion"/>
  </si>
  <si>
    <t>SGF2033</t>
    <phoneticPr fontId="2" type="noConversion"/>
  </si>
  <si>
    <t>STOPPER</t>
    <phoneticPr fontId="2" type="noConversion"/>
  </si>
  <si>
    <t>SF2255</t>
    <phoneticPr fontId="2" type="noConversion"/>
  </si>
  <si>
    <t>ADAPTER</t>
    <phoneticPr fontId="2" type="noConversion"/>
  </si>
  <si>
    <t>SST</t>
    <phoneticPr fontId="2" type="noConversion"/>
  </si>
  <si>
    <t>8</t>
    <phoneticPr fontId="2" type="noConversion"/>
  </si>
  <si>
    <t>KR6197-D475PA</t>
    <phoneticPr fontId="2" type="noConversion"/>
  </si>
  <si>
    <t>7301</t>
    <phoneticPr fontId="2" type="noConversion"/>
  </si>
  <si>
    <t>발주분양산-&gt;코아파손수리</t>
    <phoneticPr fontId="2" type="noConversion"/>
  </si>
  <si>
    <t>ACTUATOR</t>
    <phoneticPr fontId="2" type="noConversion"/>
  </si>
  <si>
    <t>22P</t>
    <phoneticPr fontId="2" type="noConversion"/>
  </si>
  <si>
    <t>BP22-127A1</t>
    <phoneticPr fontId="2" type="noConversion"/>
  </si>
  <si>
    <t xml:space="preserve">SGF2030 </t>
    <phoneticPr fontId="2" type="noConversion"/>
  </si>
  <si>
    <t>KR6197AB841CB</t>
    <phoneticPr fontId="2" type="noConversion"/>
  </si>
  <si>
    <t>LEAD GUIDE</t>
    <phoneticPr fontId="2" type="noConversion"/>
  </si>
  <si>
    <t>3</t>
    <phoneticPr fontId="2" type="noConversion"/>
  </si>
  <si>
    <t>HSB05-M001B1</t>
    <phoneticPr fontId="2" type="noConversion"/>
  </si>
  <si>
    <t>AMB1904D-KAA-R2</t>
    <phoneticPr fontId="2" type="noConversion"/>
  </si>
  <si>
    <t>SGF2050 N/P</t>
    <phoneticPr fontId="2" type="noConversion"/>
  </si>
  <si>
    <t>ODT</t>
    <phoneticPr fontId="2" type="noConversion"/>
  </si>
  <si>
    <t>201T</t>
    <phoneticPr fontId="2" type="noConversion"/>
  </si>
  <si>
    <t>KR6170AF1440UA</t>
    <phoneticPr fontId="2" type="noConversion"/>
  </si>
  <si>
    <t>AMB0150A-KAA-R1</t>
    <phoneticPr fontId="2" type="noConversion"/>
  </si>
  <si>
    <t>AMB07M4A-KAA-R1</t>
    <phoneticPr fontId="2" type="noConversion"/>
  </si>
  <si>
    <t>AMB0443A-KAA-R1</t>
    <phoneticPr fontId="2" type="noConversion"/>
  </si>
  <si>
    <t>28P</t>
    <phoneticPr fontId="2" type="noConversion"/>
  </si>
  <si>
    <r>
      <t>2019년 04월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</si>
  <si>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SW-003066</t>
    <phoneticPr fontId="2" type="noConversion"/>
  </si>
  <si>
    <t>PC B/K</t>
    <phoneticPr fontId="2" type="noConversion"/>
  </si>
  <si>
    <t xml:space="preserve">SGF2050 </t>
    <phoneticPr fontId="2" type="noConversion"/>
  </si>
  <si>
    <t>KR6170BD740UA</t>
    <phoneticPr fontId="2" type="noConversion"/>
  </si>
  <si>
    <t>04월 호기별 가동현황</t>
    <phoneticPr fontId="2" type="noConversion"/>
  </si>
  <si>
    <t>전일 ISSUE 사항(01일)</t>
    <phoneticPr fontId="2" type="noConversion"/>
  </si>
  <si>
    <t>SST</t>
    <phoneticPr fontId="2" type="noConversion"/>
  </si>
  <si>
    <t>4</t>
    <phoneticPr fontId="2" type="noConversion"/>
  </si>
  <si>
    <t>LEAD GUIDE</t>
    <phoneticPr fontId="2" type="noConversion"/>
  </si>
  <si>
    <t>KR6170AF1440UA</t>
    <phoneticPr fontId="2" type="noConversion"/>
  </si>
  <si>
    <t>7</t>
    <phoneticPr fontId="2" type="noConversion"/>
  </si>
  <si>
    <t>STOPPER</t>
    <phoneticPr fontId="2" type="noConversion"/>
  </si>
  <si>
    <t>KR6197-D475PA</t>
    <phoneticPr fontId="2" type="noConversion"/>
  </si>
  <si>
    <t>MCS</t>
    <phoneticPr fontId="2" type="noConversion"/>
  </si>
  <si>
    <t>8</t>
    <phoneticPr fontId="2" type="noConversion"/>
  </si>
  <si>
    <t>BASE</t>
    <phoneticPr fontId="2" type="noConversion"/>
  </si>
  <si>
    <t>AMB0150A-KAA-R1</t>
    <phoneticPr fontId="2" type="noConversion"/>
  </si>
  <si>
    <t>12</t>
    <phoneticPr fontId="2" type="noConversion"/>
  </si>
  <si>
    <t>ADAPTER</t>
    <phoneticPr fontId="2" type="noConversion"/>
  </si>
  <si>
    <t>AMB07M4A-KAA-R1</t>
    <phoneticPr fontId="2" type="noConversion"/>
  </si>
  <si>
    <t>13</t>
    <phoneticPr fontId="2" type="noConversion"/>
  </si>
  <si>
    <t>AMB0443A-KAA-R1</t>
    <phoneticPr fontId="2" type="noConversion"/>
  </si>
  <si>
    <t>KR6170BD740UB</t>
    <phoneticPr fontId="2" type="noConversion"/>
  </si>
  <si>
    <t>수리후양산</t>
    <phoneticPr fontId="2" type="noConversion"/>
  </si>
  <si>
    <t>HICON</t>
    <phoneticPr fontId="2" type="noConversion"/>
  </si>
  <si>
    <t>14</t>
    <phoneticPr fontId="2" type="noConversion"/>
  </si>
  <si>
    <t>HSB05-M001B1</t>
    <phoneticPr fontId="2" type="noConversion"/>
  </si>
  <si>
    <t>DI</t>
    <phoneticPr fontId="2" type="noConversion"/>
  </si>
  <si>
    <t>15</t>
    <phoneticPr fontId="2" type="noConversion"/>
  </si>
  <si>
    <t>28P</t>
    <phoneticPr fontId="2" type="noConversion"/>
  </si>
  <si>
    <t>당일 진행 사항(02일)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</si>
  <si>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</si>
  <si>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</si>
  <si>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</si>
  <si>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2019년 04월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</si>
  <si>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전일 ISSUE 사항(02일)</t>
    <phoneticPr fontId="2" type="noConversion"/>
  </si>
  <si>
    <t>발주분양산-&gt;코아파손수리-&gt;코아파손정지</t>
    <phoneticPr fontId="2" type="noConversion"/>
  </si>
  <si>
    <t>AMB1905B-KAA-R1</t>
    <phoneticPr fontId="2" type="noConversion"/>
  </si>
  <si>
    <t>11</t>
    <phoneticPr fontId="2" type="noConversion"/>
  </si>
  <si>
    <t>COVER</t>
    <phoneticPr fontId="2" type="noConversion"/>
  </si>
  <si>
    <t>AMB0352A-KAA-R1</t>
    <phoneticPr fontId="2" type="noConversion"/>
  </si>
  <si>
    <t>AMB0351A-KAA-R3</t>
    <phoneticPr fontId="2" type="noConversion"/>
  </si>
  <si>
    <t>AMB1918A-KAA-R1</t>
    <phoneticPr fontId="2" type="noConversion"/>
  </si>
  <si>
    <t>AMB0154A-KAA-R1</t>
    <phoneticPr fontId="2" type="noConversion"/>
  </si>
  <si>
    <t>당일 진행 사항(03일)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</si>
  <si>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</si>
  <si>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</si>
  <si>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r>
      <t>2019년 04월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</si>
  <si>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AMB1930A-KAA-R2</t>
    <phoneticPr fontId="2" type="noConversion"/>
  </si>
  <si>
    <t>JD4901</t>
    <phoneticPr fontId="2" type="noConversion"/>
  </si>
  <si>
    <t>AMB0341A-KAA-R3</t>
    <phoneticPr fontId="2" type="noConversion"/>
  </si>
  <si>
    <t>PUSHER1.2</t>
    <phoneticPr fontId="2" type="noConversion"/>
  </si>
  <si>
    <t>HRGS-DS-05A/06A</t>
    <phoneticPr fontId="2" type="noConversion"/>
  </si>
  <si>
    <t>2*1</t>
    <phoneticPr fontId="2" type="noConversion"/>
  </si>
  <si>
    <t>전일 ISSUE 사항(03일)</t>
    <phoneticPr fontId="2" type="noConversion"/>
  </si>
  <si>
    <t>당일 진행 사항(04일)</t>
    <phoneticPr fontId="2" type="noConversion"/>
  </si>
  <si>
    <t>LOCKER</t>
    <phoneticPr fontId="2" type="noConversion"/>
  </si>
  <si>
    <t>G3-M-02A/3</t>
    <phoneticPr fontId="2" type="noConversion"/>
  </si>
  <si>
    <t>LATCH</t>
    <phoneticPr fontId="2" type="noConversion"/>
  </si>
  <si>
    <t>G3-M-04A</t>
    <phoneticPr fontId="2" type="noConversion"/>
  </si>
  <si>
    <t>3종</t>
    <phoneticPr fontId="2" type="noConversion"/>
  </si>
  <si>
    <t>PUSHER1 2</t>
    <phoneticPr fontId="2" type="noConversion"/>
  </si>
  <si>
    <t>SAMPLE 진행 사항(03일)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</si>
  <si>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</si>
  <si>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</si>
  <si>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t>설비 점검 내역(02일)</t>
    <phoneticPr fontId="2" type="noConversion"/>
  </si>
  <si>
    <r>
      <t>2019년 04월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</si>
  <si>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HINGE</t>
    <phoneticPr fontId="2" type="noConversion"/>
  </si>
  <si>
    <t>G3-M-02A/03A</t>
    <phoneticPr fontId="2" type="noConversion"/>
  </si>
  <si>
    <t>HB2588/4518</t>
    <phoneticPr fontId="2" type="noConversion"/>
  </si>
  <si>
    <t>JCL3030</t>
    <phoneticPr fontId="2" type="noConversion"/>
  </si>
  <si>
    <t>전일 ISSUE 사항(04일)</t>
    <phoneticPr fontId="2" type="noConversion"/>
  </si>
  <si>
    <t>발주분양산-&gt;설비이상정지</t>
    <phoneticPr fontId="2" type="noConversion"/>
  </si>
  <si>
    <t>발주분양산-&gt;에젝타이상정지</t>
    <phoneticPr fontId="2" type="noConversion"/>
  </si>
  <si>
    <t>발주분양산-&gt;치수수정</t>
    <phoneticPr fontId="2" type="noConversion"/>
  </si>
  <si>
    <t>당일 진행 사항(05일)</t>
    <phoneticPr fontId="2" type="noConversion"/>
  </si>
  <si>
    <t>5</t>
    <phoneticPr fontId="2" type="noConversion"/>
  </si>
  <si>
    <t>AMB0172A-KAA-R1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</si>
  <si>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</si>
  <si>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</si>
  <si>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</si>
  <si>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04월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</si>
  <si>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프라임텍</t>
    <phoneticPr fontId="2" type="noConversion"/>
  </si>
  <si>
    <t>BODY/BOTTOM</t>
    <phoneticPr fontId="2" type="noConversion"/>
  </si>
  <si>
    <t>A04/A05</t>
    <phoneticPr fontId="2" type="noConversion"/>
  </si>
  <si>
    <t>전일 ISSUE 사항(05일)</t>
    <phoneticPr fontId="2" type="noConversion"/>
  </si>
  <si>
    <t>10</t>
    <phoneticPr fontId="2" type="noConversion"/>
  </si>
  <si>
    <t>치수수정후양산</t>
    <phoneticPr fontId="2" type="noConversion"/>
  </si>
  <si>
    <t>SAMPLE 진행 사항(05일)</t>
    <phoneticPr fontId="2" type="noConversion"/>
  </si>
  <si>
    <t>신작</t>
    <phoneticPr fontId="2" type="noConversion"/>
  </si>
  <si>
    <t>치수확인용</t>
    <phoneticPr fontId="2" type="noConversion"/>
  </si>
  <si>
    <t>당일 진행 사항(08일)</t>
    <phoneticPr fontId="2" type="noConversion"/>
  </si>
  <si>
    <t>세척후양산</t>
    <phoneticPr fontId="2" type="noConversion"/>
  </si>
  <si>
    <t>N2588-HB-02A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</si>
  <si>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</si>
  <si>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</si>
  <si>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2019년 04월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</si>
  <si>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OKINS</t>
    <phoneticPr fontId="2" type="noConversion"/>
  </si>
  <si>
    <t>BB2-LC042X</t>
    <phoneticPr fontId="2" type="noConversion"/>
  </si>
  <si>
    <t>TOP/BOTTOM</t>
    <phoneticPr fontId="2" type="noConversion"/>
  </si>
  <si>
    <t>HRCS-00C11/12/14C</t>
    <phoneticPr fontId="2" type="noConversion"/>
  </si>
  <si>
    <t>3*1</t>
    <phoneticPr fontId="2" type="noConversion"/>
  </si>
  <si>
    <t>전일 ISSUE 사항(08일)</t>
    <phoneticPr fontId="2" type="noConversion"/>
  </si>
  <si>
    <t>원재료 변경양산</t>
    <phoneticPr fontId="2" type="noConversion"/>
  </si>
  <si>
    <t>AMB1930A-KAA-R1</t>
    <phoneticPr fontId="2" type="noConversion"/>
  </si>
  <si>
    <t>28P(4POST)</t>
    <phoneticPr fontId="2" type="noConversion"/>
  </si>
  <si>
    <t>당일 진행 사항(09일)</t>
    <phoneticPr fontId="2" type="noConversion"/>
  </si>
  <si>
    <t>RV1.0-1.2HD-1.15A1</t>
    <phoneticPr fontId="2" type="noConversion"/>
  </si>
  <si>
    <t>REVIT</t>
    <phoneticPr fontId="2" type="noConversion"/>
  </si>
  <si>
    <t>KR6156AC841TA</t>
    <phoneticPr fontId="2" type="noConversion"/>
  </si>
  <si>
    <t>SAMPLE 진행 사항(08일)</t>
    <phoneticPr fontId="2" type="noConversion"/>
  </si>
  <si>
    <t>BODYCAP/PLATE</t>
    <phoneticPr fontId="2" type="noConversion"/>
  </si>
  <si>
    <t>A02/IM03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</si>
  <si>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</si>
  <si>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</si>
  <si>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04월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</si>
  <si>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BOTTOM</t>
    <phoneticPr fontId="2" type="noConversion"/>
  </si>
  <si>
    <t>PPS</t>
    <phoneticPr fontId="2" type="noConversion"/>
  </si>
  <si>
    <t>RIVET</t>
    <phoneticPr fontId="2" type="noConversion"/>
  </si>
  <si>
    <t>RTP</t>
    <phoneticPr fontId="2" type="noConversion"/>
  </si>
  <si>
    <t>전일 ISSUE 사항(09일)</t>
    <phoneticPr fontId="2" type="noConversion"/>
  </si>
  <si>
    <t>3152001</t>
    <phoneticPr fontId="2" type="noConversion"/>
  </si>
  <si>
    <t>당일 진행 사항(10일)</t>
    <phoneticPr fontId="2" type="noConversion"/>
  </si>
  <si>
    <t>3151001</t>
    <phoneticPr fontId="2" type="noConversion"/>
  </si>
  <si>
    <t>AMS08155A-KAA-R1</t>
    <phoneticPr fontId="2" type="noConversion"/>
  </si>
  <si>
    <t>M2 CONN</t>
    <phoneticPr fontId="2" type="noConversion"/>
  </si>
  <si>
    <t>AM0148B-K-R2</t>
    <phoneticPr fontId="2" type="noConversion"/>
  </si>
  <si>
    <t>게이트막힘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</si>
  <si>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</si>
  <si>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</si>
  <si>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</si>
  <si>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04월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</si>
  <si>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메카텍</t>
    <phoneticPr fontId="2" type="noConversion"/>
  </si>
  <si>
    <t>BASE/UNDER</t>
    <phoneticPr fontId="2" type="noConversion"/>
  </si>
  <si>
    <t>2P</t>
    <phoneticPr fontId="2" type="noConversion"/>
  </si>
  <si>
    <t>LATCH PLATE</t>
    <phoneticPr fontId="2" type="noConversion"/>
  </si>
  <si>
    <t>AMB09E8A-KAA-R1</t>
    <phoneticPr fontId="2" type="noConversion"/>
  </si>
  <si>
    <t>JD4901
N/P</t>
    <phoneticPr fontId="2" type="noConversion"/>
  </si>
  <si>
    <t>AMB0173A-KAA-R1</t>
    <phoneticPr fontId="2" type="noConversion"/>
  </si>
  <si>
    <t>TOP</t>
    <phoneticPr fontId="2" type="noConversion"/>
  </si>
  <si>
    <t>HRCS-00C11C</t>
    <phoneticPr fontId="2" type="noConversion"/>
  </si>
  <si>
    <t>전일 ISSUE 사항(10일)</t>
    <phoneticPr fontId="2" type="noConversion"/>
  </si>
  <si>
    <t>게이트파손정지</t>
    <phoneticPr fontId="2" type="noConversion"/>
  </si>
  <si>
    <t>발주분양산-&gt;코아파손수리후양산</t>
    <phoneticPr fontId="2" type="noConversion"/>
  </si>
  <si>
    <t>HRCS-00C11</t>
    <phoneticPr fontId="2" type="noConversion"/>
  </si>
  <si>
    <t>불량대치분양산</t>
    <phoneticPr fontId="2" type="noConversion"/>
  </si>
  <si>
    <t>당일 진행 사항(11일)</t>
    <phoneticPr fontId="2" type="noConversion"/>
  </si>
  <si>
    <t>AMB09E7A-KAA-R1</t>
    <phoneticPr fontId="2" type="noConversion"/>
  </si>
  <si>
    <t>AMB0467A-KAA-R1</t>
    <phoneticPr fontId="2" type="noConversion"/>
  </si>
  <si>
    <t>AMB20D7A-KAA-R1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</si>
  <si>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</si>
  <si>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</si>
  <si>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</si>
  <si>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t>NP635-196-001#IN-B</t>
    <phoneticPr fontId="2" type="noConversion"/>
  </si>
  <si>
    <t>LG35</t>
    <phoneticPr fontId="2" type="noConversion"/>
  </si>
  <si>
    <t>신작</t>
    <phoneticPr fontId="2" type="noConversion"/>
  </si>
  <si>
    <t>8</t>
    <phoneticPr fontId="2" type="noConversion"/>
  </si>
  <si>
    <t>NP635-196-001#IN-A</t>
    <phoneticPr fontId="2" type="noConversion"/>
  </si>
  <si>
    <t>SGF2033</t>
    <phoneticPr fontId="2" type="noConversion"/>
  </si>
  <si>
    <t>AYE</t>
    <phoneticPr fontId="2" type="noConversion"/>
  </si>
  <si>
    <r>
      <t>2019년 04월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</si>
  <si>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HR1089-1.0M2</t>
    <phoneticPr fontId="2" type="noConversion"/>
  </si>
  <si>
    <t>SF2255 I/V</t>
    <phoneticPr fontId="2" type="noConversion"/>
  </si>
  <si>
    <t>전일 ISSUE 사항(11일)</t>
    <phoneticPr fontId="2" type="noConversion"/>
  </si>
  <si>
    <t>L/G</t>
    <phoneticPr fontId="2" type="noConversion"/>
  </si>
  <si>
    <t>수리후양산-&gt;게이트파손정지</t>
    <phoneticPr fontId="2" type="noConversion"/>
  </si>
  <si>
    <t>당일 진행 사항(12일)</t>
    <phoneticPr fontId="2" type="noConversion"/>
  </si>
  <si>
    <t>BR88-127A1-1</t>
    <phoneticPr fontId="2" type="noConversion"/>
  </si>
  <si>
    <t>88P</t>
    <phoneticPr fontId="2" type="noConversion"/>
  </si>
  <si>
    <t>SAMPLE 진행 사항(11일)</t>
    <phoneticPr fontId="2" type="noConversion"/>
  </si>
  <si>
    <t>AMB0153A-KAA-R2</t>
    <phoneticPr fontId="2" type="noConversion"/>
  </si>
  <si>
    <t>SGF2030</t>
    <phoneticPr fontId="2" type="noConversion"/>
  </si>
  <si>
    <t>수정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</si>
  <si>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</si>
  <si>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</si>
  <si>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2019년 04월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</si>
  <si>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SLIDER</t>
    <phoneticPr fontId="2" type="noConversion"/>
  </si>
  <si>
    <t>전일 ISSUE 사항(12일)</t>
    <phoneticPr fontId="2" type="noConversion"/>
  </si>
  <si>
    <t>치수확인후양산</t>
    <phoneticPr fontId="2" type="noConversion"/>
  </si>
  <si>
    <t>당일 진행 사항(15일)</t>
    <phoneticPr fontId="2" type="noConversion"/>
  </si>
  <si>
    <t>SEPARATOR</t>
    <phoneticPr fontId="2" type="noConversion"/>
  </si>
  <si>
    <t>NP595-362-011#SP</t>
    <phoneticPr fontId="2" type="noConversion"/>
  </si>
  <si>
    <t>NP595-362-011#IN</t>
    <phoneticPr fontId="2" type="noConversion"/>
  </si>
  <si>
    <t>SAMPLE 진행 사항(12일)</t>
    <phoneticPr fontId="2" type="noConversion"/>
  </si>
  <si>
    <t>AMB0341B-KAA-R1</t>
    <phoneticPr fontId="2" type="noConversion"/>
  </si>
  <si>
    <t>옵션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</si>
  <si>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</si>
  <si>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</si>
  <si>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2019년 04월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</si>
  <si>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SGP2030R</t>
    <phoneticPr fontId="2" type="noConversion"/>
  </si>
  <si>
    <t>전일 ISSUE 사항(15일)</t>
    <phoneticPr fontId="2" type="noConversion"/>
  </si>
  <si>
    <t>발주분양산-&gt;BURR정지</t>
    <phoneticPr fontId="2" type="noConversion"/>
  </si>
  <si>
    <t>HRCS-00C12A</t>
    <phoneticPr fontId="2" type="noConversion"/>
  </si>
  <si>
    <t>SAMPLE 진행 사항(15일)</t>
    <phoneticPr fontId="2" type="noConversion"/>
  </si>
  <si>
    <t>당일 진행 사항(16일)</t>
    <phoneticPr fontId="2" type="noConversion"/>
  </si>
  <si>
    <t>AMM0822A-KAB-R1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</si>
  <si>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</si>
  <si>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</si>
  <si>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04월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</si>
  <si>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AMM0840A-KAB-R2</t>
    <phoneticPr fontId="2" type="noConversion"/>
  </si>
  <si>
    <t>GN2330</t>
    <phoneticPr fontId="2" type="noConversion"/>
  </si>
  <si>
    <t>전일 ISSUE 사항(16일)</t>
    <phoneticPr fontId="2" type="noConversion"/>
  </si>
  <si>
    <t>치수NG재작업</t>
    <phoneticPr fontId="2" type="noConversion"/>
  </si>
  <si>
    <t>9</t>
    <phoneticPr fontId="2" type="noConversion"/>
  </si>
  <si>
    <t>당일 진행 사항(17일)</t>
    <phoneticPr fontId="2" type="noConversion"/>
  </si>
  <si>
    <t>SPACER</t>
    <phoneticPr fontId="2" type="noConversion"/>
  </si>
  <si>
    <t>NP595-362-011#SP-A/B</t>
    <phoneticPr fontId="2" type="noConversion"/>
  </si>
  <si>
    <t>KR6182-D624PA</t>
    <phoneticPr fontId="2" type="noConversion"/>
  </si>
  <si>
    <t>KR6182-A308YA</t>
    <phoneticPr fontId="2" type="noConversion"/>
  </si>
  <si>
    <t>SAMPLE 진행 사항(16일)</t>
    <phoneticPr fontId="2" type="noConversion"/>
  </si>
  <si>
    <t>AMB07U2A-KAA-R2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</si>
  <si>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</si>
  <si>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</si>
  <si>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2019년 04월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</si>
  <si>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SGF2050</t>
    <phoneticPr fontId="2" type="noConversion"/>
  </si>
  <si>
    <t>SPACER A/B</t>
    <phoneticPr fontId="2" type="noConversion"/>
  </si>
  <si>
    <t>전일 ISSUE 사항(17일)</t>
    <phoneticPr fontId="2" type="noConversion"/>
  </si>
  <si>
    <t>단차정지</t>
    <phoneticPr fontId="2" type="noConversion"/>
  </si>
  <si>
    <t>당일 진행 사항(18일)</t>
    <phoneticPr fontId="2" type="noConversion"/>
  </si>
  <si>
    <t>SAMPLE 진행 사항(17일)</t>
    <phoneticPr fontId="2" type="noConversion"/>
  </si>
  <si>
    <t>PT-INJECTION MOLD-DI-BP01/BT01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</si>
  <si>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</si>
  <si>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</si>
  <si>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04월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</si>
  <si>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</si>
  <si>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BURR정지</t>
    <phoneticPr fontId="2" type="noConversion"/>
  </si>
  <si>
    <t>미성형정지</t>
    <phoneticPr fontId="2" type="noConversion"/>
  </si>
  <si>
    <t>22P(4POST)</t>
    <phoneticPr fontId="2" type="noConversion"/>
  </si>
  <si>
    <t>당일 진행 사항(19일)</t>
    <phoneticPr fontId="2" type="noConversion"/>
  </si>
  <si>
    <t>KR6182-C624TB</t>
    <phoneticPr fontId="2" type="noConversion"/>
  </si>
  <si>
    <t>SAMPLE 진행 사항(18일)</t>
    <phoneticPr fontId="2" type="noConversion"/>
  </si>
  <si>
    <t>2종</t>
    <phoneticPr fontId="2" type="noConversion"/>
  </si>
  <si>
    <t>F/ADAPTER</t>
    <phoneticPr fontId="2" type="noConversion"/>
  </si>
  <si>
    <t>AMB20D8A-KAA-R1</t>
    <phoneticPr fontId="2" type="noConversion"/>
  </si>
  <si>
    <t>SGF2030 N/P</t>
    <phoneticPr fontId="2" type="noConversion"/>
  </si>
  <si>
    <t>상측박힘 2회진행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</si>
  <si>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</si>
  <si>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</si>
  <si>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2019년 04월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</si>
  <si>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전일 ISSUE 사항(19일)</t>
    <phoneticPr fontId="2" type="noConversion"/>
  </si>
  <si>
    <t>수리후양산-&gt;코아파손정지</t>
    <phoneticPr fontId="2" type="noConversion"/>
  </si>
  <si>
    <t>코아파손수리후양산-&gt;슬라이드코아파손정지</t>
    <phoneticPr fontId="2" type="noConversion"/>
  </si>
  <si>
    <t>당일 진행 사항(22일)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</si>
  <si>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</si>
  <si>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</si>
  <si>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</si>
  <si>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2019년 04월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</si>
  <si>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</si>
  <si>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수리후양산-&gt;코아파손수리-&gt;1C만양산</t>
    <phoneticPr fontId="2" type="noConversion"/>
  </si>
  <si>
    <t>AMB0153A-KAA-R1</t>
    <phoneticPr fontId="2" type="noConversion"/>
  </si>
  <si>
    <t>당일 진행 사항(23일)</t>
    <phoneticPr fontId="2" type="noConversion"/>
  </si>
  <si>
    <t>SAMPLE 진행 사항(22일)</t>
    <phoneticPr fontId="2" type="noConversion"/>
  </si>
  <si>
    <t>NP595-352-012#IN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</si>
  <si>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</si>
  <si>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</si>
  <si>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2019년 04월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</si>
  <si>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전일 ISSUE 사항(23일)</t>
    <phoneticPr fontId="2" type="noConversion"/>
  </si>
  <si>
    <t>코아파손정지</t>
    <phoneticPr fontId="2" type="noConversion"/>
  </si>
  <si>
    <t>발주분양산-&gt;코아파손정지</t>
    <phoneticPr fontId="2" type="noConversion"/>
  </si>
  <si>
    <t>수리후양산-&gt;BURR정지</t>
    <phoneticPr fontId="2" type="noConversion"/>
  </si>
  <si>
    <t>발주분양산-&gt;오조립수리</t>
    <phoneticPr fontId="2" type="noConversion"/>
  </si>
  <si>
    <t>당일 진행 사항(24일)</t>
    <phoneticPr fontId="2" type="noConversion"/>
  </si>
  <si>
    <t>AMM0853A-KAA-R1</t>
    <phoneticPr fontId="2" type="noConversion"/>
  </si>
  <si>
    <t>260BASE</t>
    <phoneticPr fontId="2" type="noConversion"/>
  </si>
  <si>
    <t>SAMPLE 진행 사항(23일)</t>
    <phoneticPr fontId="2" type="noConversion"/>
  </si>
  <si>
    <t>NP595-352-012#LB</t>
    <phoneticPr fontId="2" type="noConversion"/>
  </si>
  <si>
    <t>SGP2030R N/P</t>
    <phoneticPr fontId="2" type="noConversion"/>
  </si>
  <si>
    <t>AMB0175A-KAA-R1</t>
    <phoneticPr fontId="2" type="noConversion"/>
  </si>
  <si>
    <t>칼퀴이상2회진행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</si>
  <si>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</si>
  <si>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</si>
  <si>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2019년 04월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</si>
  <si>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K-JR01928-B01AZB</t>
    <phoneticPr fontId="2" type="noConversion"/>
  </si>
  <si>
    <t>SGP2020R</t>
    <phoneticPr fontId="2" type="noConversion"/>
  </si>
  <si>
    <t>전일 ISSUE 사항(24일)</t>
    <phoneticPr fontId="2" type="noConversion"/>
  </si>
  <si>
    <t>K-JR01928-B01ZAB</t>
    <phoneticPr fontId="2" type="noConversion"/>
  </si>
  <si>
    <t>발주분양산-&gt;수정정지</t>
    <phoneticPr fontId="2" type="noConversion"/>
  </si>
  <si>
    <t>당일 진행 사항(25일)</t>
    <phoneticPr fontId="2" type="noConversion"/>
  </si>
  <si>
    <t>AMM0827A-KAA-R2</t>
    <phoneticPr fontId="2" type="noConversion"/>
  </si>
  <si>
    <t>6</t>
    <phoneticPr fontId="2" type="noConversion"/>
  </si>
  <si>
    <t>K-JR01928-G01BWA</t>
    <phoneticPr fontId="2" type="noConversion"/>
  </si>
  <si>
    <t>SAMPLE 진행 사항(24일)</t>
    <phoneticPr fontId="2" type="noConversion"/>
  </si>
  <si>
    <t>288C84A-B125X</t>
    <phoneticPr fontId="2" type="noConversion"/>
  </si>
  <si>
    <t>BULE</t>
    <phoneticPr fontId="2" type="noConversion"/>
  </si>
  <si>
    <t>HB1208-10M3</t>
    <phoneticPr fontId="2" type="noConversion"/>
  </si>
  <si>
    <t>FLOATING</t>
    <phoneticPr fontId="2" type="noConversion"/>
  </si>
  <si>
    <t>원재료</t>
    <phoneticPr fontId="2" type="noConversion"/>
  </si>
  <si>
    <t>BURR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</si>
  <si>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</si>
  <si>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</si>
  <si>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2019년 04월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</si>
  <si>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PLUNGER</t>
    <phoneticPr fontId="2" type="noConversion"/>
  </si>
  <si>
    <t>HRCS-03C16H1</t>
    <phoneticPr fontId="2" type="noConversion"/>
  </si>
  <si>
    <t>AMB0341A-KAA-R4</t>
    <phoneticPr fontId="2" type="noConversion"/>
  </si>
  <si>
    <t>BLUE</t>
    <phoneticPr fontId="2" type="noConversion"/>
  </si>
  <si>
    <t>전일 ISSUE 사항(25일)</t>
    <phoneticPr fontId="2" type="noConversion"/>
  </si>
  <si>
    <t>수정후양산-&gt;2회진행</t>
    <phoneticPr fontId="2" type="noConversion"/>
  </si>
  <si>
    <t>발주분양산-&gt;코아파손2회정지</t>
    <phoneticPr fontId="2" type="noConversion"/>
  </si>
  <si>
    <t>발주분양산-&gt;하측박힘정지</t>
    <phoneticPr fontId="2" type="noConversion"/>
  </si>
  <si>
    <t>수리후양산-&gt;BURR수리-&gt;코아파손정지</t>
    <phoneticPr fontId="2" type="noConversion"/>
  </si>
  <si>
    <t>제품뜯김정지</t>
    <phoneticPr fontId="2" type="noConversion"/>
  </si>
  <si>
    <t>당일 진행 사항(26일)</t>
    <phoneticPr fontId="2" type="noConversion"/>
  </si>
  <si>
    <t>SP A-B</t>
    <phoneticPr fontId="2" type="noConversion"/>
  </si>
  <si>
    <t>가스정지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</si>
  <si>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</si>
  <si>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</si>
  <si>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</si>
  <si>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2019년 04월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</si>
  <si>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K-JR01928-C01AWA</t>
    <phoneticPr fontId="2" type="noConversion"/>
  </si>
  <si>
    <t>K-JR01928-E02AWA</t>
    <phoneticPr fontId="2" type="noConversion"/>
  </si>
  <si>
    <t>288E84M-B102C-2</t>
    <phoneticPr fontId="2" type="noConversion"/>
  </si>
  <si>
    <t>발주분양산-&gt;코아파손</t>
    <phoneticPr fontId="2" type="noConversion"/>
  </si>
  <si>
    <t>수리후양산-&gt;치수NG</t>
    <phoneticPr fontId="2" type="noConversion"/>
  </si>
  <si>
    <t>전일 ISSUE 사항(26일)</t>
    <phoneticPr fontId="2" type="noConversion"/>
  </si>
  <si>
    <t>당일 진행 사항(27일)</t>
    <phoneticPr fontId="2" type="noConversion"/>
  </si>
  <si>
    <t>AMM0892A-KAA-R1</t>
    <phoneticPr fontId="2" type="noConversion"/>
  </si>
  <si>
    <t>KR6156DB841CA</t>
    <phoneticPr fontId="2" type="noConversion"/>
  </si>
  <si>
    <t>SAMPLE 진행 사항(26일)</t>
    <phoneticPr fontId="2" type="noConversion"/>
  </si>
  <si>
    <t>넥스트</t>
    <phoneticPr fontId="2" type="noConversion"/>
  </si>
  <si>
    <t>A1</t>
    <phoneticPr fontId="2" type="noConversion"/>
  </si>
  <si>
    <t>A2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</si>
  <si>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</si>
  <si>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</si>
  <si>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2019년 04월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</si>
  <si>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</si>
  <si>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</si>
  <si>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</si>
  <si>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전일 ISSUE 사항(27일)</t>
    <phoneticPr fontId="2" type="noConversion"/>
  </si>
  <si>
    <t>당일 진행 사항(28일)</t>
    <phoneticPr fontId="2" type="noConversion"/>
  </si>
  <si>
    <t>코아파손수리후양산</t>
    <phoneticPr fontId="2" type="noConversion"/>
  </si>
  <si>
    <t>하측뜯김정지</t>
    <phoneticPr fontId="2" type="noConversion"/>
  </si>
  <si>
    <t>수리후양산-&gt;치수NG 4회진행-&gt;2번만양산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</si>
  <si>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</si>
  <si>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</si>
  <si>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</si>
  <si>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2019년 04월 28일(주간)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</si>
  <si>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</si>
  <si>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SP-A/B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</si>
  <si>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</si>
  <si>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</si>
  <si>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</si>
  <si>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2019년 04월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</si>
  <si>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AM0607N-J-R2</t>
    <phoneticPr fontId="2" type="noConversion"/>
  </si>
  <si>
    <t>NP595-362-02#LB</t>
    <phoneticPr fontId="2" type="noConversion"/>
  </si>
  <si>
    <t>전일 ISSUE 사항(29일)</t>
    <phoneticPr fontId="2" type="noConversion"/>
  </si>
  <si>
    <t>수리후양산-&gt;오조립2회진행</t>
    <phoneticPr fontId="2" type="noConversion"/>
  </si>
  <si>
    <t>수정후양산</t>
    <phoneticPr fontId="2" type="noConversion"/>
  </si>
  <si>
    <t>1종</t>
    <phoneticPr fontId="2" type="noConversion"/>
  </si>
  <si>
    <t>수정후양산-&gt;오조립정지</t>
    <phoneticPr fontId="2" type="noConversion"/>
  </si>
  <si>
    <t>SP</t>
    <phoneticPr fontId="2" type="noConversion"/>
  </si>
  <si>
    <t>1C파손정지</t>
    <phoneticPr fontId="2" type="noConversion"/>
  </si>
  <si>
    <t>당일 진행 사항(30일)</t>
    <phoneticPr fontId="2" type="noConversion"/>
  </si>
  <si>
    <t>코아파손어지</t>
    <phoneticPr fontId="2" type="noConversion"/>
  </si>
  <si>
    <t>SAMPLE 진행 사항(29일)</t>
    <phoneticPr fontId="2" type="noConversion"/>
  </si>
  <si>
    <t>오조립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</si>
  <si>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</si>
  <si>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</si>
  <si>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2019년 04월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</si>
  <si>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NP628-1056-001#IN-B</t>
    <phoneticPr fontId="2" type="noConversion"/>
  </si>
  <si>
    <t>전일 ISSUE 사항(30일)</t>
    <phoneticPr fontId="2" type="noConversion"/>
  </si>
  <si>
    <t>1C파손수리2회-&gt;밀핀수리4회-&gt;코아파손정지</t>
    <phoneticPr fontId="2" type="noConversion"/>
  </si>
  <si>
    <t>AMB20D7A-KAA-R2</t>
    <phoneticPr fontId="2" type="noConversion"/>
  </si>
  <si>
    <t>세척후양산-&gt;BURR</t>
    <phoneticPr fontId="2" type="noConversion"/>
  </si>
  <si>
    <t>당일 진행 사항(01일)</t>
    <phoneticPr fontId="2" type="noConversion"/>
  </si>
  <si>
    <t>NP628-1056-001#IN-A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</si>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</sst>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5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left" vertical="center" shrinkToFit="1"/>
    </xf>
    <xf numFmtId="49" fontId="13" fillId="0" borderId="30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04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04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0.493959679103671</c:v>
                </c:pt>
                <c:pt idx="3">
                  <c:v>0.57638888888888895</c:v>
                </c:pt>
                <c:pt idx="4">
                  <c:v>0.24627662739497802</c:v>
                </c:pt>
                <c:pt idx="5">
                  <c:v>0.11249999999999999</c:v>
                </c:pt>
                <c:pt idx="6">
                  <c:v>0.6313997434379317</c:v>
                </c:pt>
                <c:pt idx="7">
                  <c:v>0.36944444444444446</c:v>
                </c:pt>
                <c:pt idx="8">
                  <c:v>6.2500000000000014E-2</c:v>
                </c:pt>
                <c:pt idx="9">
                  <c:v>0.10833333333333334</c:v>
                </c:pt>
                <c:pt idx="10">
                  <c:v>0.57499999999999996</c:v>
                </c:pt>
                <c:pt idx="11">
                  <c:v>0.10833333333333334</c:v>
                </c:pt>
                <c:pt idx="12">
                  <c:v>0.60832533972821756</c:v>
                </c:pt>
                <c:pt idx="13">
                  <c:v>0.57499999999999996</c:v>
                </c:pt>
                <c:pt idx="14">
                  <c:v>0.27083333333333331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2">
                  <c:v>14004</c:v>
                </c:pt>
                <c:pt idx="3">
                  <c:v>2663</c:v>
                </c:pt>
                <c:pt idx="5">
                  <c:v>5416</c:v>
                </c:pt>
                <c:pt idx="6">
                  <c:v>5402</c:v>
                </c:pt>
                <c:pt idx="7">
                  <c:v>622</c:v>
                </c:pt>
                <c:pt idx="11">
                  <c:v>696</c:v>
                </c:pt>
                <c:pt idx="12">
                  <c:v>672</c:v>
                </c:pt>
                <c:pt idx="13">
                  <c:v>4785</c:v>
                </c:pt>
                <c:pt idx="14">
                  <c:v>5057</c:v>
                </c:pt>
                <c:pt idx="1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2-4271-B5EC-60BAF789C29F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14004</c:v>
                </c:pt>
                <c:pt idx="3">
                  <c:v>2663</c:v>
                </c:pt>
                <c:pt idx="4">
                  <c:v>8972</c:v>
                </c:pt>
                <c:pt idx="5">
                  <c:v>5416</c:v>
                </c:pt>
                <c:pt idx="6">
                  <c:v>5402</c:v>
                </c:pt>
                <c:pt idx="7">
                  <c:v>622</c:v>
                </c:pt>
                <c:pt idx="11">
                  <c:v>696</c:v>
                </c:pt>
                <c:pt idx="12">
                  <c:v>672</c:v>
                </c:pt>
                <c:pt idx="13">
                  <c:v>4785</c:v>
                </c:pt>
                <c:pt idx="14">
                  <c:v>5057</c:v>
                </c:pt>
                <c:pt idx="1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2-4271-B5EC-60BAF789C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67%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54%</c:v>
                </c:pt>
                <c:pt idx="14">
                  <c:v>100%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7-4E83-A51C-C5AF9CE2BB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D7-4E83-A51C-C5AF9CE2BB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0.45000000000000007</c:v>
                </c:pt>
                <c:pt idx="1">
                  <c:v>0.45000000000000007</c:v>
                </c:pt>
                <c:pt idx="2">
                  <c:v>0.45000000000000007</c:v>
                </c:pt>
                <c:pt idx="3">
                  <c:v>0.45000000000000007</c:v>
                </c:pt>
                <c:pt idx="4">
                  <c:v>0.45000000000000007</c:v>
                </c:pt>
                <c:pt idx="5">
                  <c:v>0.45000000000000007</c:v>
                </c:pt>
                <c:pt idx="6">
                  <c:v>0.45000000000000007</c:v>
                </c:pt>
                <c:pt idx="7">
                  <c:v>0.45000000000000007</c:v>
                </c:pt>
                <c:pt idx="8">
                  <c:v>0.45000000000000007</c:v>
                </c:pt>
                <c:pt idx="9">
                  <c:v>0.45000000000000007</c:v>
                </c:pt>
                <c:pt idx="10">
                  <c:v>0.45000000000000007</c:v>
                </c:pt>
                <c:pt idx="11">
                  <c:v>0.45000000000000007</c:v>
                </c:pt>
                <c:pt idx="12">
                  <c:v>0.45000000000000007</c:v>
                </c:pt>
                <c:pt idx="13">
                  <c:v>0.45000000000000007</c:v>
                </c:pt>
                <c:pt idx="14">
                  <c:v>0.45000000000000007</c:v>
                </c:pt>
                <c:pt idx="15">
                  <c:v>0.45000000000000007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7-4E83-A51C-C5AF9CE2B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2">
                  <c:v>14004</c:v>
                </c:pt>
                <c:pt idx="3">
                  <c:v>2663</c:v>
                </c:pt>
                <c:pt idx="5">
                  <c:v>5416</c:v>
                </c:pt>
                <c:pt idx="6">
                  <c:v>5402</c:v>
                </c:pt>
                <c:pt idx="7">
                  <c:v>622</c:v>
                </c:pt>
                <c:pt idx="11">
                  <c:v>696</c:v>
                </c:pt>
                <c:pt idx="12">
                  <c:v>672</c:v>
                </c:pt>
                <c:pt idx="13">
                  <c:v>4785</c:v>
                </c:pt>
                <c:pt idx="14">
                  <c:v>5057</c:v>
                </c:pt>
                <c:pt idx="1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F-4957-BB4C-5FA75EE78B45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14004</c:v>
                </c:pt>
                <c:pt idx="3">
                  <c:v>2663</c:v>
                </c:pt>
                <c:pt idx="4">
                  <c:v>8972</c:v>
                </c:pt>
                <c:pt idx="5">
                  <c:v>5416</c:v>
                </c:pt>
                <c:pt idx="6">
                  <c:v>5402</c:v>
                </c:pt>
                <c:pt idx="7">
                  <c:v>622</c:v>
                </c:pt>
                <c:pt idx="11">
                  <c:v>696</c:v>
                </c:pt>
                <c:pt idx="12">
                  <c:v>672</c:v>
                </c:pt>
                <c:pt idx="13">
                  <c:v>4785</c:v>
                </c:pt>
                <c:pt idx="14">
                  <c:v>5057</c:v>
                </c:pt>
                <c:pt idx="1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F-4957-BB4C-5FA75EE78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67%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54%</c:v>
                </c:pt>
                <c:pt idx="14">
                  <c:v>100%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4-4666-A866-0FA376DDB9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94-4666-A866-0FA376DDB9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0.45000000000000007</c:v>
                </c:pt>
                <c:pt idx="1">
                  <c:v>0.45000000000000007</c:v>
                </c:pt>
                <c:pt idx="2">
                  <c:v>0.45000000000000007</c:v>
                </c:pt>
                <c:pt idx="3">
                  <c:v>0.45000000000000007</c:v>
                </c:pt>
                <c:pt idx="4">
                  <c:v>0.45000000000000007</c:v>
                </c:pt>
                <c:pt idx="5">
                  <c:v>0.45000000000000007</c:v>
                </c:pt>
                <c:pt idx="6">
                  <c:v>0.45000000000000007</c:v>
                </c:pt>
                <c:pt idx="7">
                  <c:v>0.45000000000000007</c:v>
                </c:pt>
                <c:pt idx="8">
                  <c:v>0.45000000000000007</c:v>
                </c:pt>
                <c:pt idx="9">
                  <c:v>0.45000000000000007</c:v>
                </c:pt>
                <c:pt idx="10">
                  <c:v>0.45000000000000007</c:v>
                </c:pt>
                <c:pt idx="11">
                  <c:v>0.45000000000000007</c:v>
                </c:pt>
                <c:pt idx="12">
                  <c:v>0.45000000000000007</c:v>
                </c:pt>
                <c:pt idx="13">
                  <c:v>0.45000000000000007</c:v>
                </c:pt>
                <c:pt idx="14">
                  <c:v>0.45000000000000007</c:v>
                </c:pt>
                <c:pt idx="15">
                  <c:v>0.45000000000000007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4-4666-A866-0FA376DDB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4E9-4615-BF98-4E384143C8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9-4615-BF98-4E384143C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E9-4615-BF98-4E384143C8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E9-4615-BF98-4E384143C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15522</c:v>
                </c:pt>
                <c:pt idx="3">
                  <c:v>5679</c:v>
                </c:pt>
                <c:pt idx="5">
                  <c:v>1250</c:v>
                </c:pt>
                <c:pt idx="6">
                  <c:v>5384</c:v>
                </c:pt>
                <c:pt idx="7">
                  <c:v>3124</c:v>
                </c:pt>
                <c:pt idx="12">
                  <c:v>2668</c:v>
                </c:pt>
                <c:pt idx="13">
                  <c:v>5464</c:v>
                </c:pt>
                <c:pt idx="14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2-4278-BB36-2CA1083DD044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15522</c:v>
                </c:pt>
                <c:pt idx="3">
                  <c:v>5679</c:v>
                </c:pt>
                <c:pt idx="4">
                  <c:v>8972</c:v>
                </c:pt>
                <c:pt idx="5">
                  <c:v>1250</c:v>
                </c:pt>
                <c:pt idx="6">
                  <c:v>5384</c:v>
                </c:pt>
                <c:pt idx="7">
                  <c:v>3124</c:v>
                </c:pt>
                <c:pt idx="11">
                  <c:v>696</c:v>
                </c:pt>
                <c:pt idx="12">
                  <c:v>2668</c:v>
                </c:pt>
                <c:pt idx="13">
                  <c:v>5464</c:v>
                </c:pt>
                <c:pt idx="14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2-4278-BB36-2CA1083DD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33%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100%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0.33333333333333331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1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E-4D31-95B8-B342922C93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0E-4D31-95B8-B342922C93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0.40555555555555561</c:v>
                </c:pt>
                <c:pt idx="1">
                  <c:v>0.40555555555555561</c:v>
                </c:pt>
                <c:pt idx="2">
                  <c:v>0.40555555555555561</c:v>
                </c:pt>
                <c:pt idx="3">
                  <c:v>0.40555555555555561</c:v>
                </c:pt>
                <c:pt idx="4">
                  <c:v>0.40555555555555561</c:v>
                </c:pt>
                <c:pt idx="5">
                  <c:v>0.40555555555555561</c:v>
                </c:pt>
                <c:pt idx="6">
                  <c:v>0.40555555555555561</c:v>
                </c:pt>
                <c:pt idx="7">
                  <c:v>0.40555555555555561</c:v>
                </c:pt>
                <c:pt idx="8">
                  <c:v>0.40555555555555561</c:v>
                </c:pt>
                <c:pt idx="9">
                  <c:v>0.40555555555555561</c:v>
                </c:pt>
                <c:pt idx="10">
                  <c:v>0.40555555555555561</c:v>
                </c:pt>
                <c:pt idx="11">
                  <c:v>0.40555555555555561</c:v>
                </c:pt>
                <c:pt idx="12">
                  <c:v>0.40555555555555561</c:v>
                </c:pt>
                <c:pt idx="13">
                  <c:v>0.40555555555555561</c:v>
                </c:pt>
                <c:pt idx="14">
                  <c:v>0.40555555555555561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0E-4D31-95B8-B342922C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15522</c:v>
                </c:pt>
                <c:pt idx="3">
                  <c:v>5679</c:v>
                </c:pt>
                <c:pt idx="5">
                  <c:v>1250</c:v>
                </c:pt>
                <c:pt idx="6">
                  <c:v>5384</c:v>
                </c:pt>
                <c:pt idx="7">
                  <c:v>3124</c:v>
                </c:pt>
                <c:pt idx="12">
                  <c:v>2668</c:v>
                </c:pt>
                <c:pt idx="13">
                  <c:v>5464</c:v>
                </c:pt>
                <c:pt idx="14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2-4D52-8E8F-FB31EB40A7C8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15522</c:v>
                </c:pt>
                <c:pt idx="3">
                  <c:v>5679</c:v>
                </c:pt>
                <c:pt idx="4">
                  <c:v>8972</c:v>
                </c:pt>
                <c:pt idx="5">
                  <c:v>1250</c:v>
                </c:pt>
                <c:pt idx="6">
                  <c:v>5384</c:v>
                </c:pt>
                <c:pt idx="7">
                  <c:v>3124</c:v>
                </c:pt>
                <c:pt idx="11">
                  <c:v>696</c:v>
                </c:pt>
                <c:pt idx="12">
                  <c:v>2668</c:v>
                </c:pt>
                <c:pt idx="13">
                  <c:v>5464</c:v>
                </c:pt>
                <c:pt idx="14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2-4D52-8E8F-FB31EB40A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33%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100%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0.33333333333333331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1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4-4C74-B571-1F424408A1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04-4C74-B571-1F424408A1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201T</c:v>
                </c:pt>
                <c:pt idx="3">
                  <c:v>LEAD GUIDE</c:v>
                </c:pt>
                <c:pt idx="4">
                  <c:v>22P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0.40555555555555561</c:v>
                </c:pt>
                <c:pt idx="1">
                  <c:v>0.40555555555555561</c:v>
                </c:pt>
                <c:pt idx="2">
                  <c:v>0.40555555555555561</c:v>
                </c:pt>
                <c:pt idx="3">
                  <c:v>0.40555555555555561</c:v>
                </c:pt>
                <c:pt idx="4">
                  <c:v>0.40555555555555561</c:v>
                </c:pt>
                <c:pt idx="5">
                  <c:v>0.40555555555555561</c:v>
                </c:pt>
                <c:pt idx="6">
                  <c:v>0.40555555555555561</c:v>
                </c:pt>
                <c:pt idx="7">
                  <c:v>0.40555555555555561</c:v>
                </c:pt>
                <c:pt idx="8">
                  <c:v>0.40555555555555561</c:v>
                </c:pt>
                <c:pt idx="9">
                  <c:v>0.40555555555555561</c:v>
                </c:pt>
                <c:pt idx="10">
                  <c:v>0.40555555555555561</c:v>
                </c:pt>
                <c:pt idx="11">
                  <c:v>0.40555555555555561</c:v>
                </c:pt>
                <c:pt idx="12">
                  <c:v>0.40555555555555561</c:v>
                </c:pt>
                <c:pt idx="13">
                  <c:v>0.40555555555555561</c:v>
                </c:pt>
                <c:pt idx="14">
                  <c:v>0.40555555555555561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04-4C74-B571-1F424408A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757-4D57-A675-F4B451946B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7-4D57-A675-F4B451946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757-4D57-A675-F4B451946B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57-4D57-A675-F4B451946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2">
                  <c:v>15309</c:v>
                </c:pt>
                <c:pt idx="3">
                  <c:v>1349</c:v>
                </c:pt>
                <c:pt idx="4">
                  <c:v>3704</c:v>
                </c:pt>
                <c:pt idx="7">
                  <c:v>4875</c:v>
                </c:pt>
                <c:pt idx="11">
                  <c:v>543</c:v>
                </c:pt>
                <c:pt idx="12">
                  <c:v>554</c:v>
                </c:pt>
                <c:pt idx="13">
                  <c:v>2199</c:v>
                </c:pt>
                <c:pt idx="15">
                  <c:v>4964</c:v>
                </c:pt>
                <c:pt idx="16">
                  <c:v>1636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E-4AE2-A132-F9E0EB285FB4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15309</c:v>
                </c:pt>
                <c:pt idx="3">
                  <c:v>1349</c:v>
                </c:pt>
                <c:pt idx="4">
                  <c:v>3704</c:v>
                </c:pt>
                <c:pt idx="5">
                  <c:v>8972</c:v>
                </c:pt>
                <c:pt idx="6">
                  <c:v>1250</c:v>
                </c:pt>
                <c:pt idx="7">
                  <c:v>4875</c:v>
                </c:pt>
                <c:pt idx="8">
                  <c:v>3124</c:v>
                </c:pt>
                <c:pt idx="11">
                  <c:v>543</c:v>
                </c:pt>
                <c:pt idx="12">
                  <c:v>554</c:v>
                </c:pt>
                <c:pt idx="13">
                  <c:v>2199</c:v>
                </c:pt>
                <c:pt idx="14">
                  <c:v>696</c:v>
                </c:pt>
                <c:pt idx="15">
                  <c:v>4964</c:v>
                </c:pt>
                <c:pt idx="16">
                  <c:v>1636</c:v>
                </c:pt>
                <c:pt idx="17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E-4AE2-A132-F9E0EB285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21%</c:v>
                </c:pt>
                <c:pt idx="4">
                  <c:v>75%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63%</c:v>
                </c:pt>
                <c:pt idx="14">
                  <c:v>0%</c:v>
                </c:pt>
                <c:pt idx="15">
                  <c:v>100%</c:v>
                </c:pt>
                <c:pt idx="16">
                  <c:v>33%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0.75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0.625</c:v>
                </c:pt>
                <c:pt idx="14">
                  <c:v>0</c:v>
                </c:pt>
                <c:pt idx="15">
                  <c:v>1</c:v>
                </c:pt>
                <c:pt idx="16">
                  <c:v>0.33333333333333331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E-4BAE-BA9E-FE8A7B3BB1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5E-4BAE-BA9E-FE8A7B3BB1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0.34999999999999992</c:v>
                </c:pt>
                <c:pt idx="1">
                  <c:v>0.34999999999999992</c:v>
                </c:pt>
                <c:pt idx="2">
                  <c:v>0.34999999999999992</c:v>
                </c:pt>
                <c:pt idx="3">
                  <c:v>0.34999999999999992</c:v>
                </c:pt>
                <c:pt idx="4">
                  <c:v>0.34999999999999992</c:v>
                </c:pt>
                <c:pt idx="5">
                  <c:v>0.34999999999999992</c:v>
                </c:pt>
                <c:pt idx="6">
                  <c:v>0.34999999999999992</c:v>
                </c:pt>
                <c:pt idx="7">
                  <c:v>0.34999999999999992</c:v>
                </c:pt>
                <c:pt idx="8">
                  <c:v>0.34999999999999992</c:v>
                </c:pt>
                <c:pt idx="9">
                  <c:v>0.34999999999999992</c:v>
                </c:pt>
                <c:pt idx="10">
                  <c:v>0.34999999999999992</c:v>
                </c:pt>
                <c:pt idx="11">
                  <c:v>0.34999999999999992</c:v>
                </c:pt>
                <c:pt idx="12">
                  <c:v>0.34999999999999992</c:v>
                </c:pt>
                <c:pt idx="13">
                  <c:v>0.34999999999999992</c:v>
                </c:pt>
                <c:pt idx="14">
                  <c:v>0.34999999999999992</c:v>
                </c:pt>
                <c:pt idx="15">
                  <c:v>0.34999999999999992</c:v>
                </c:pt>
                <c:pt idx="16">
                  <c:v>0.34999999999999992</c:v>
                </c:pt>
                <c:pt idx="17">
                  <c:v>0.34999999999999992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5E-4BAE-BA9E-FE8A7B3BB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2">
                  <c:v>15309</c:v>
                </c:pt>
                <c:pt idx="3">
                  <c:v>1349</c:v>
                </c:pt>
                <c:pt idx="4">
                  <c:v>3704</c:v>
                </c:pt>
                <c:pt idx="7">
                  <c:v>4875</c:v>
                </c:pt>
                <c:pt idx="11">
                  <c:v>543</c:v>
                </c:pt>
                <c:pt idx="12">
                  <c:v>554</c:v>
                </c:pt>
                <c:pt idx="13">
                  <c:v>2199</c:v>
                </c:pt>
                <c:pt idx="15">
                  <c:v>4964</c:v>
                </c:pt>
                <c:pt idx="16">
                  <c:v>1636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C-4F55-895A-62C3B819A030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15309</c:v>
                </c:pt>
                <c:pt idx="3">
                  <c:v>1349</c:v>
                </c:pt>
                <c:pt idx="4">
                  <c:v>3704</c:v>
                </c:pt>
                <c:pt idx="5">
                  <c:v>8972</c:v>
                </c:pt>
                <c:pt idx="6">
                  <c:v>1250</c:v>
                </c:pt>
                <c:pt idx="7">
                  <c:v>4875</c:v>
                </c:pt>
                <c:pt idx="8">
                  <c:v>3124</c:v>
                </c:pt>
                <c:pt idx="11">
                  <c:v>543</c:v>
                </c:pt>
                <c:pt idx="12">
                  <c:v>554</c:v>
                </c:pt>
                <c:pt idx="13">
                  <c:v>2199</c:v>
                </c:pt>
                <c:pt idx="14">
                  <c:v>696</c:v>
                </c:pt>
                <c:pt idx="15">
                  <c:v>4964</c:v>
                </c:pt>
                <c:pt idx="16">
                  <c:v>1636</c:v>
                </c:pt>
                <c:pt idx="17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3C-4F55-895A-62C3B819A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21%</c:v>
                </c:pt>
                <c:pt idx="4">
                  <c:v>75%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63%</c:v>
                </c:pt>
                <c:pt idx="14">
                  <c:v>0%</c:v>
                </c:pt>
                <c:pt idx="15">
                  <c:v>100%</c:v>
                </c:pt>
                <c:pt idx="16">
                  <c:v>33%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0.75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0.625</c:v>
                </c:pt>
                <c:pt idx="14">
                  <c:v>0</c:v>
                </c:pt>
                <c:pt idx="15">
                  <c:v>1</c:v>
                </c:pt>
                <c:pt idx="16">
                  <c:v>0.33333333333333331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1-43A2-9FAC-63F76E33BF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21-43A2-9FAC-63F76E33B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2">
                  <c:v>201T</c:v>
                </c:pt>
                <c:pt idx="3">
                  <c:v>LEAD GUIDE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PUSHER1.2</c:v>
                </c:pt>
                <c:pt idx="14">
                  <c:v>ADAPTER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0.34999999999999992</c:v>
                </c:pt>
                <c:pt idx="1">
                  <c:v>0.34999999999999992</c:v>
                </c:pt>
                <c:pt idx="2">
                  <c:v>0.34999999999999992</c:v>
                </c:pt>
                <c:pt idx="3">
                  <c:v>0.34999999999999992</c:v>
                </c:pt>
                <c:pt idx="4">
                  <c:v>0.34999999999999992</c:v>
                </c:pt>
                <c:pt idx="5">
                  <c:v>0.34999999999999992</c:v>
                </c:pt>
                <c:pt idx="6">
                  <c:v>0.34999999999999992</c:v>
                </c:pt>
                <c:pt idx="7">
                  <c:v>0.34999999999999992</c:v>
                </c:pt>
                <c:pt idx="8">
                  <c:v>0.34999999999999992</c:v>
                </c:pt>
                <c:pt idx="9">
                  <c:v>0.34999999999999992</c:v>
                </c:pt>
                <c:pt idx="10">
                  <c:v>0.34999999999999992</c:v>
                </c:pt>
                <c:pt idx="11">
                  <c:v>0.34999999999999992</c:v>
                </c:pt>
                <c:pt idx="12">
                  <c:v>0.34999999999999992</c:v>
                </c:pt>
                <c:pt idx="13">
                  <c:v>0.34999999999999992</c:v>
                </c:pt>
                <c:pt idx="14">
                  <c:v>0.34999999999999992</c:v>
                </c:pt>
                <c:pt idx="15">
                  <c:v>0.34999999999999992</c:v>
                </c:pt>
                <c:pt idx="16">
                  <c:v>0.34999999999999992</c:v>
                </c:pt>
                <c:pt idx="17">
                  <c:v>0.34999999999999992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1-43A2-9FAC-63F76E33B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7BF-4D82-8E73-E26DF94764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F-4D82-8E73-E26DF9476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BF-4D82-8E73-E26DF94764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BF-4D82-8E73-E26DF9476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2475</c:v>
                </c:pt>
                <c:pt idx="3">
                  <c:v>3126</c:v>
                </c:pt>
                <c:pt idx="4">
                  <c:v>6207</c:v>
                </c:pt>
                <c:pt idx="7">
                  <c:v>3414</c:v>
                </c:pt>
                <c:pt idx="8">
                  <c:v>4393</c:v>
                </c:pt>
                <c:pt idx="11">
                  <c:v>2137</c:v>
                </c:pt>
                <c:pt idx="13">
                  <c:v>5623</c:v>
                </c:pt>
                <c:pt idx="14">
                  <c:v>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9-40F9-AC30-707B958FC097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15309</c:v>
                </c:pt>
                <c:pt idx="3">
                  <c:v>3126</c:v>
                </c:pt>
                <c:pt idx="4">
                  <c:v>6207</c:v>
                </c:pt>
                <c:pt idx="5">
                  <c:v>8972</c:v>
                </c:pt>
                <c:pt idx="6">
                  <c:v>1250</c:v>
                </c:pt>
                <c:pt idx="7">
                  <c:v>3414</c:v>
                </c:pt>
                <c:pt idx="8">
                  <c:v>4393</c:v>
                </c:pt>
                <c:pt idx="11">
                  <c:v>2137</c:v>
                </c:pt>
                <c:pt idx="12">
                  <c:v>696</c:v>
                </c:pt>
                <c:pt idx="13">
                  <c:v>5623</c:v>
                </c:pt>
                <c:pt idx="14">
                  <c:v>1759</c:v>
                </c:pt>
                <c:pt idx="15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9-40F9-AC30-707B958F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3%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75%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63%</c:v>
                </c:pt>
                <c:pt idx="12">
                  <c:v>0%</c:v>
                </c:pt>
                <c:pt idx="13">
                  <c:v>100%</c:v>
                </c:pt>
                <c:pt idx="14">
                  <c:v>63%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2.694493435234176E-2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0.75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0.625</c:v>
                </c:pt>
                <c:pt idx="12">
                  <c:v>0</c:v>
                </c:pt>
                <c:pt idx="13">
                  <c:v>1</c:v>
                </c:pt>
                <c:pt idx="14">
                  <c:v>0.625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5-45F1-9030-5613BEFA91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15-45F1-9030-5613BEFA91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0.35179632895682278</c:v>
                </c:pt>
                <c:pt idx="1">
                  <c:v>0.35179632895682278</c:v>
                </c:pt>
                <c:pt idx="2">
                  <c:v>0.35179632895682278</c:v>
                </c:pt>
                <c:pt idx="3">
                  <c:v>0.35179632895682278</c:v>
                </c:pt>
                <c:pt idx="4">
                  <c:v>0.35179632895682278</c:v>
                </c:pt>
                <c:pt idx="5">
                  <c:v>0.35179632895682278</c:v>
                </c:pt>
                <c:pt idx="6">
                  <c:v>0.35179632895682278</c:v>
                </c:pt>
                <c:pt idx="7">
                  <c:v>0.35179632895682278</c:v>
                </c:pt>
                <c:pt idx="8">
                  <c:v>0.35179632895682278</c:v>
                </c:pt>
                <c:pt idx="9">
                  <c:v>0.35179632895682278</c:v>
                </c:pt>
                <c:pt idx="10">
                  <c:v>0.35179632895682278</c:v>
                </c:pt>
                <c:pt idx="11">
                  <c:v>0.35179632895682278</c:v>
                </c:pt>
                <c:pt idx="12">
                  <c:v>0.35179632895682278</c:v>
                </c:pt>
                <c:pt idx="13">
                  <c:v>0.35179632895682278</c:v>
                </c:pt>
                <c:pt idx="14">
                  <c:v>0.35179632895682278</c:v>
                </c:pt>
                <c:pt idx="15">
                  <c:v>0.35179632895682278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5-45F1-9030-5613BEFA9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2475</c:v>
                </c:pt>
                <c:pt idx="3">
                  <c:v>3126</c:v>
                </c:pt>
                <c:pt idx="4">
                  <c:v>6207</c:v>
                </c:pt>
                <c:pt idx="7">
                  <c:v>3414</c:v>
                </c:pt>
                <c:pt idx="8">
                  <c:v>4393</c:v>
                </c:pt>
                <c:pt idx="11">
                  <c:v>2137</c:v>
                </c:pt>
                <c:pt idx="13">
                  <c:v>5623</c:v>
                </c:pt>
                <c:pt idx="14">
                  <c:v>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D-4E97-9A5E-2CA2909E491C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15309</c:v>
                </c:pt>
                <c:pt idx="3">
                  <c:v>3126</c:v>
                </c:pt>
                <c:pt idx="4">
                  <c:v>6207</c:v>
                </c:pt>
                <c:pt idx="5">
                  <c:v>8972</c:v>
                </c:pt>
                <c:pt idx="6">
                  <c:v>1250</c:v>
                </c:pt>
                <c:pt idx="7">
                  <c:v>3414</c:v>
                </c:pt>
                <c:pt idx="8">
                  <c:v>4393</c:v>
                </c:pt>
                <c:pt idx="11">
                  <c:v>2137</c:v>
                </c:pt>
                <c:pt idx="12">
                  <c:v>696</c:v>
                </c:pt>
                <c:pt idx="13">
                  <c:v>5623</c:v>
                </c:pt>
                <c:pt idx="14">
                  <c:v>1759</c:v>
                </c:pt>
                <c:pt idx="15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D-4E97-9A5E-2CA2909E4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3%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75%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63%</c:v>
                </c:pt>
                <c:pt idx="12">
                  <c:v>0%</c:v>
                </c:pt>
                <c:pt idx="13">
                  <c:v>100%</c:v>
                </c:pt>
                <c:pt idx="14">
                  <c:v>63%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2.694493435234176E-2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0.75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0.625</c:v>
                </c:pt>
                <c:pt idx="12">
                  <c:v>0</c:v>
                </c:pt>
                <c:pt idx="13">
                  <c:v>1</c:v>
                </c:pt>
                <c:pt idx="14">
                  <c:v>0.625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3-4F2D-A3A2-35F6BA286FA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3-4F2D-A3A2-35F6BA286F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ACTUATOR</c:v>
                </c:pt>
                <c:pt idx="5">
                  <c:v>22P</c:v>
                </c:pt>
                <c:pt idx="6">
                  <c:v>ACTUATOR</c:v>
                </c:pt>
                <c:pt idx="7">
                  <c:v>BASE</c:v>
                </c:pt>
                <c:pt idx="8">
                  <c:v>ACTUATOR</c:v>
                </c:pt>
                <c:pt idx="11">
                  <c:v>HINGE</c:v>
                </c:pt>
                <c:pt idx="12">
                  <c:v>ADAPTER</c:v>
                </c:pt>
                <c:pt idx="13">
                  <c:v>ACTUATOR</c:v>
                </c:pt>
                <c:pt idx="14">
                  <c:v>LATCH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0.35179632895682278</c:v>
                </c:pt>
                <c:pt idx="1">
                  <c:v>0.35179632895682278</c:v>
                </c:pt>
                <c:pt idx="2">
                  <c:v>0.35179632895682278</c:v>
                </c:pt>
                <c:pt idx="3">
                  <c:v>0.35179632895682278</c:v>
                </c:pt>
                <c:pt idx="4">
                  <c:v>0.35179632895682278</c:v>
                </c:pt>
                <c:pt idx="5">
                  <c:v>0.35179632895682278</c:v>
                </c:pt>
                <c:pt idx="6">
                  <c:v>0.35179632895682278</c:v>
                </c:pt>
                <c:pt idx="7">
                  <c:v>0.35179632895682278</c:v>
                </c:pt>
                <c:pt idx="8">
                  <c:v>0.35179632895682278</c:v>
                </c:pt>
                <c:pt idx="9">
                  <c:v>0.35179632895682278</c:v>
                </c:pt>
                <c:pt idx="10">
                  <c:v>0.35179632895682278</c:v>
                </c:pt>
                <c:pt idx="11">
                  <c:v>0.35179632895682278</c:v>
                </c:pt>
                <c:pt idx="12">
                  <c:v>0.35179632895682278</c:v>
                </c:pt>
                <c:pt idx="13">
                  <c:v>0.35179632895682278</c:v>
                </c:pt>
                <c:pt idx="14">
                  <c:v>0.35179632895682278</c:v>
                </c:pt>
                <c:pt idx="15">
                  <c:v>0.35179632895682278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3-4F2D-A3A2-35F6BA28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7E-4C55-B5F9-948826FE7D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E-4C55-B5F9-948826FE7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7E-4C55-B5F9-948826FE7D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7E-4C55-B5F9-948826FE7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3">
                  <c:v>5519</c:v>
                </c:pt>
                <c:pt idx="4">
                  <c:v>1779</c:v>
                </c:pt>
                <c:pt idx="6">
                  <c:v>5630</c:v>
                </c:pt>
                <c:pt idx="7">
                  <c:v>5801</c:v>
                </c:pt>
                <c:pt idx="9">
                  <c:v>1221</c:v>
                </c:pt>
                <c:pt idx="10">
                  <c:v>1008</c:v>
                </c:pt>
                <c:pt idx="12">
                  <c:v>5143</c:v>
                </c:pt>
                <c:pt idx="13">
                  <c:v>4490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E-4662-AD74-35B9FAC0A9D1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3126</c:v>
                </c:pt>
                <c:pt idx="3">
                  <c:v>5519</c:v>
                </c:pt>
                <c:pt idx="4">
                  <c:v>1779</c:v>
                </c:pt>
                <c:pt idx="5">
                  <c:v>1250</c:v>
                </c:pt>
                <c:pt idx="6">
                  <c:v>5630</c:v>
                </c:pt>
                <c:pt idx="7">
                  <c:v>5801</c:v>
                </c:pt>
                <c:pt idx="9">
                  <c:v>1221</c:v>
                </c:pt>
                <c:pt idx="10">
                  <c:v>1008</c:v>
                </c:pt>
                <c:pt idx="11">
                  <c:v>696</c:v>
                </c:pt>
                <c:pt idx="12">
                  <c:v>5143</c:v>
                </c:pt>
                <c:pt idx="13">
                  <c:v>4490</c:v>
                </c:pt>
                <c:pt idx="14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E-4662-AD74-35B9FAC0A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67%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29%</c:v>
                </c:pt>
                <c:pt idx="10">
                  <c:v>33%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0.66666666666666663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0.29166666666666669</c:v>
                </c:pt>
                <c:pt idx="10">
                  <c:v>0.33333333333333331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2-43F1-B48F-2167576718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2-43F1-B48F-2167576718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0.41388888888888886</c:v>
                </c:pt>
                <c:pt idx="1">
                  <c:v>0.41388888888888886</c:v>
                </c:pt>
                <c:pt idx="2">
                  <c:v>0.41388888888888886</c:v>
                </c:pt>
                <c:pt idx="3">
                  <c:v>0.41388888888888886</c:v>
                </c:pt>
                <c:pt idx="4">
                  <c:v>0.41388888888888886</c:v>
                </c:pt>
                <c:pt idx="5">
                  <c:v>0.41388888888888886</c:v>
                </c:pt>
                <c:pt idx="6">
                  <c:v>0.41388888888888886</c:v>
                </c:pt>
                <c:pt idx="7">
                  <c:v>0.41388888888888886</c:v>
                </c:pt>
                <c:pt idx="8">
                  <c:v>0.41388888888888886</c:v>
                </c:pt>
                <c:pt idx="9">
                  <c:v>0.41388888888888886</c:v>
                </c:pt>
                <c:pt idx="10">
                  <c:v>0.41388888888888886</c:v>
                </c:pt>
                <c:pt idx="11">
                  <c:v>0.41388888888888886</c:v>
                </c:pt>
                <c:pt idx="12">
                  <c:v>0.41388888888888886</c:v>
                </c:pt>
                <c:pt idx="13">
                  <c:v>0.41388888888888886</c:v>
                </c:pt>
                <c:pt idx="14">
                  <c:v>0.41388888888888886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2-43F1-B48F-216757671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3">
                  <c:v>5519</c:v>
                </c:pt>
                <c:pt idx="4">
                  <c:v>1779</c:v>
                </c:pt>
                <c:pt idx="6">
                  <c:v>5630</c:v>
                </c:pt>
                <c:pt idx="7">
                  <c:v>5801</c:v>
                </c:pt>
                <c:pt idx="9">
                  <c:v>1221</c:v>
                </c:pt>
                <c:pt idx="10">
                  <c:v>1008</c:v>
                </c:pt>
                <c:pt idx="12">
                  <c:v>5143</c:v>
                </c:pt>
                <c:pt idx="13">
                  <c:v>4490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626-83A0-CEE36AC9E644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3126</c:v>
                </c:pt>
                <c:pt idx="3">
                  <c:v>5519</c:v>
                </c:pt>
                <c:pt idx="4">
                  <c:v>1779</c:v>
                </c:pt>
                <c:pt idx="5">
                  <c:v>1250</c:v>
                </c:pt>
                <c:pt idx="6">
                  <c:v>5630</c:v>
                </c:pt>
                <c:pt idx="7">
                  <c:v>5801</c:v>
                </c:pt>
                <c:pt idx="9">
                  <c:v>1221</c:v>
                </c:pt>
                <c:pt idx="10">
                  <c:v>1008</c:v>
                </c:pt>
                <c:pt idx="11">
                  <c:v>696</c:v>
                </c:pt>
                <c:pt idx="12">
                  <c:v>5143</c:v>
                </c:pt>
                <c:pt idx="13">
                  <c:v>4490</c:v>
                </c:pt>
                <c:pt idx="14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626-83A0-CEE36AC9E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67%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29%</c:v>
                </c:pt>
                <c:pt idx="10">
                  <c:v>33%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0.66666666666666663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0.29166666666666669</c:v>
                </c:pt>
                <c:pt idx="10">
                  <c:v>0.33333333333333331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8-4E57-8C5D-BCD723747F5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38-4E57-8C5D-BCD723747F5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HINGE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0.41388888888888886</c:v>
                </c:pt>
                <c:pt idx="1">
                  <c:v>0.41388888888888886</c:v>
                </c:pt>
                <c:pt idx="2">
                  <c:v>0.41388888888888886</c:v>
                </c:pt>
                <c:pt idx="3">
                  <c:v>0.41388888888888886</c:v>
                </c:pt>
                <c:pt idx="4">
                  <c:v>0.41388888888888886</c:v>
                </c:pt>
                <c:pt idx="5">
                  <c:v>0.41388888888888886</c:v>
                </c:pt>
                <c:pt idx="6">
                  <c:v>0.41388888888888886</c:v>
                </c:pt>
                <c:pt idx="7">
                  <c:v>0.41388888888888886</c:v>
                </c:pt>
                <c:pt idx="8">
                  <c:v>0.41388888888888886</c:v>
                </c:pt>
                <c:pt idx="9">
                  <c:v>0.41388888888888886</c:v>
                </c:pt>
                <c:pt idx="10">
                  <c:v>0.41388888888888886</c:v>
                </c:pt>
                <c:pt idx="11">
                  <c:v>0.41388888888888886</c:v>
                </c:pt>
                <c:pt idx="12">
                  <c:v>0.41388888888888886</c:v>
                </c:pt>
                <c:pt idx="13">
                  <c:v>0.41388888888888886</c:v>
                </c:pt>
                <c:pt idx="14">
                  <c:v>0.41388888888888886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38-4E57-8C5D-BCD723747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C0D-410A-8FA1-0CF0A2A0EC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0D-410A-8FA1-0CF0A2A0E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0D-410A-8FA1-0CF0A2A0EC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0D-410A-8FA1-0CF0A2A0E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1812</c:v>
                </c:pt>
                <c:pt idx="3">
                  <c:v>3575</c:v>
                </c:pt>
                <c:pt idx="4">
                  <c:v>2550</c:v>
                </c:pt>
                <c:pt idx="6">
                  <c:v>5538</c:v>
                </c:pt>
                <c:pt idx="7">
                  <c:v>5693</c:v>
                </c:pt>
                <c:pt idx="10">
                  <c:v>1175</c:v>
                </c:pt>
                <c:pt idx="12">
                  <c:v>3474</c:v>
                </c:pt>
                <c:pt idx="13">
                  <c:v>5516</c:v>
                </c:pt>
                <c:pt idx="14">
                  <c:v>18080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8-4910-8FB8-C0160D9E5B9A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1812</c:v>
                </c:pt>
                <c:pt idx="3">
                  <c:v>3575</c:v>
                </c:pt>
                <c:pt idx="4">
                  <c:v>2550</c:v>
                </c:pt>
                <c:pt idx="5">
                  <c:v>1250</c:v>
                </c:pt>
                <c:pt idx="6">
                  <c:v>5630</c:v>
                </c:pt>
                <c:pt idx="7">
                  <c:v>5693</c:v>
                </c:pt>
                <c:pt idx="9">
                  <c:v>1221</c:v>
                </c:pt>
                <c:pt idx="10">
                  <c:v>1175</c:v>
                </c:pt>
                <c:pt idx="11">
                  <c:v>696</c:v>
                </c:pt>
                <c:pt idx="12">
                  <c:v>3475</c:v>
                </c:pt>
                <c:pt idx="13">
                  <c:v>5516</c:v>
                </c:pt>
                <c:pt idx="14">
                  <c:v>18080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8-4910-8FB8-C0160D9E5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75%</c:v>
                </c:pt>
                <c:pt idx="4">
                  <c:v>83%</c:v>
                </c:pt>
                <c:pt idx="5">
                  <c:v>0%</c:v>
                </c:pt>
                <c:pt idx="6">
                  <c:v>98%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0.75</c:v>
                </c:pt>
                <c:pt idx="4">
                  <c:v>0.83333333333333337</c:v>
                </c:pt>
                <c:pt idx="5">
                  <c:v>0</c:v>
                </c:pt>
                <c:pt idx="6">
                  <c:v>0.98365896980461809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0.83309352517985613</c:v>
                </c:pt>
                <c:pt idx="13">
                  <c:v>1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C-448C-9599-9E4A2782B31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AC-448C-9599-9E4A2782B3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0.4350057218878538</c:v>
                </c:pt>
                <c:pt idx="1">
                  <c:v>0.4350057218878538</c:v>
                </c:pt>
                <c:pt idx="2">
                  <c:v>0.4350057218878538</c:v>
                </c:pt>
                <c:pt idx="3">
                  <c:v>0.4350057218878538</c:v>
                </c:pt>
                <c:pt idx="4">
                  <c:v>0.4350057218878538</c:v>
                </c:pt>
                <c:pt idx="5">
                  <c:v>0.4350057218878538</c:v>
                </c:pt>
                <c:pt idx="6">
                  <c:v>0.4350057218878538</c:v>
                </c:pt>
                <c:pt idx="7">
                  <c:v>0.4350057218878538</c:v>
                </c:pt>
                <c:pt idx="8">
                  <c:v>0.4350057218878538</c:v>
                </c:pt>
                <c:pt idx="9">
                  <c:v>0.4350057218878538</c:v>
                </c:pt>
                <c:pt idx="10">
                  <c:v>0.4350057218878538</c:v>
                </c:pt>
                <c:pt idx="11">
                  <c:v>0.4350057218878538</c:v>
                </c:pt>
                <c:pt idx="12">
                  <c:v>0.4350057218878538</c:v>
                </c:pt>
                <c:pt idx="13">
                  <c:v>0.4350057218878538</c:v>
                </c:pt>
                <c:pt idx="14">
                  <c:v>0.4350057218878538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C-448C-9599-9E4A2782B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1812</c:v>
                </c:pt>
                <c:pt idx="3">
                  <c:v>3575</c:v>
                </c:pt>
                <c:pt idx="4">
                  <c:v>2550</c:v>
                </c:pt>
                <c:pt idx="6">
                  <c:v>5538</c:v>
                </c:pt>
                <c:pt idx="7">
                  <c:v>5693</c:v>
                </c:pt>
                <c:pt idx="10">
                  <c:v>1175</c:v>
                </c:pt>
                <c:pt idx="12">
                  <c:v>3474</c:v>
                </c:pt>
                <c:pt idx="13">
                  <c:v>5516</c:v>
                </c:pt>
                <c:pt idx="14">
                  <c:v>18080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6-4CCF-9D64-868207FC747B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1812</c:v>
                </c:pt>
                <c:pt idx="3">
                  <c:v>3575</c:v>
                </c:pt>
                <c:pt idx="4">
                  <c:v>2550</c:v>
                </c:pt>
                <c:pt idx="5">
                  <c:v>1250</c:v>
                </c:pt>
                <c:pt idx="6">
                  <c:v>5630</c:v>
                </c:pt>
                <c:pt idx="7">
                  <c:v>5693</c:v>
                </c:pt>
                <c:pt idx="9">
                  <c:v>1221</c:v>
                </c:pt>
                <c:pt idx="10">
                  <c:v>1175</c:v>
                </c:pt>
                <c:pt idx="11">
                  <c:v>696</c:v>
                </c:pt>
                <c:pt idx="12">
                  <c:v>3475</c:v>
                </c:pt>
                <c:pt idx="13">
                  <c:v>5516</c:v>
                </c:pt>
                <c:pt idx="14">
                  <c:v>18080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6-4CCF-9D64-868207FC7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75%</c:v>
                </c:pt>
                <c:pt idx="4">
                  <c:v>83%</c:v>
                </c:pt>
                <c:pt idx="5">
                  <c:v>0%</c:v>
                </c:pt>
                <c:pt idx="6">
                  <c:v>98%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0.75</c:v>
                </c:pt>
                <c:pt idx="4">
                  <c:v>0.83333333333333337</c:v>
                </c:pt>
                <c:pt idx="5">
                  <c:v>0</c:v>
                </c:pt>
                <c:pt idx="6">
                  <c:v>0.98365896980461809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0.83309352517985613</c:v>
                </c:pt>
                <c:pt idx="13">
                  <c:v>1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3-43FD-8D6D-CE9B1E0527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93-43FD-8D6D-CE9B1E0527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ACTUATOR</c:v>
                </c:pt>
                <c:pt idx="4">
                  <c:v>HINGE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0.4350057218878538</c:v>
                </c:pt>
                <c:pt idx="1">
                  <c:v>0.4350057218878538</c:v>
                </c:pt>
                <c:pt idx="2">
                  <c:v>0.4350057218878538</c:v>
                </c:pt>
                <c:pt idx="3">
                  <c:v>0.4350057218878538</c:v>
                </c:pt>
                <c:pt idx="4">
                  <c:v>0.4350057218878538</c:v>
                </c:pt>
                <c:pt idx="5">
                  <c:v>0.4350057218878538</c:v>
                </c:pt>
                <c:pt idx="6">
                  <c:v>0.4350057218878538</c:v>
                </c:pt>
                <c:pt idx="7">
                  <c:v>0.4350057218878538</c:v>
                </c:pt>
                <c:pt idx="8">
                  <c:v>0.4350057218878538</c:v>
                </c:pt>
                <c:pt idx="9">
                  <c:v>0.4350057218878538</c:v>
                </c:pt>
                <c:pt idx="10">
                  <c:v>0.4350057218878538</c:v>
                </c:pt>
                <c:pt idx="11">
                  <c:v>0.4350057218878538</c:v>
                </c:pt>
                <c:pt idx="12">
                  <c:v>0.4350057218878538</c:v>
                </c:pt>
                <c:pt idx="13">
                  <c:v>0.4350057218878538</c:v>
                </c:pt>
                <c:pt idx="14">
                  <c:v>0.4350057218878538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93-43FD-8D6D-CE9B1E05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372-4D34-B599-3C058637A3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72-4D34-B599-3C058637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72-4D34-B599-3C058637A3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72-4D34-B599-3C058637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3931</c:v>
                </c:pt>
                <c:pt idx="3">
                  <c:v>5715</c:v>
                </c:pt>
                <c:pt idx="4">
                  <c:v>1080</c:v>
                </c:pt>
                <c:pt idx="6">
                  <c:v>5888</c:v>
                </c:pt>
                <c:pt idx="7">
                  <c:v>5614</c:v>
                </c:pt>
                <c:pt idx="9">
                  <c:v>1085</c:v>
                </c:pt>
                <c:pt idx="11">
                  <c:v>12168</c:v>
                </c:pt>
                <c:pt idx="13">
                  <c:v>5079</c:v>
                </c:pt>
                <c:pt idx="14">
                  <c:v>41184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8-4B9A-A559-6058450901CC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3931</c:v>
                </c:pt>
                <c:pt idx="3">
                  <c:v>5715</c:v>
                </c:pt>
                <c:pt idx="4">
                  <c:v>1080</c:v>
                </c:pt>
                <c:pt idx="5">
                  <c:v>1250</c:v>
                </c:pt>
                <c:pt idx="6">
                  <c:v>5888</c:v>
                </c:pt>
                <c:pt idx="7">
                  <c:v>5614</c:v>
                </c:pt>
                <c:pt idx="9">
                  <c:v>1085</c:v>
                </c:pt>
                <c:pt idx="10">
                  <c:v>1175</c:v>
                </c:pt>
                <c:pt idx="11">
                  <c:v>12168</c:v>
                </c:pt>
                <c:pt idx="12">
                  <c:v>3475</c:v>
                </c:pt>
                <c:pt idx="13">
                  <c:v>5079</c:v>
                </c:pt>
                <c:pt idx="14">
                  <c:v>41184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8-4B9A-A559-605845090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25%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29%</c:v>
                </c:pt>
                <c:pt idx="10">
                  <c:v>0%</c:v>
                </c:pt>
                <c:pt idx="11">
                  <c:v>42%</c:v>
                </c:pt>
                <c:pt idx="12">
                  <c:v>0%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0.25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0.29166666666666669</c:v>
                </c:pt>
                <c:pt idx="10">
                  <c:v>0</c:v>
                </c:pt>
                <c:pt idx="11">
                  <c:v>0.41666666666666669</c:v>
                </c:pt>
                <c:pt idx="12">
                  <c:v>0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E-41D1-BEF1-CA1F5CAD099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CE-41D1-BEF1-CA1F5CAD099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0.41944444444444445</c:v>
                </c:pt>
                <c:pt idx="1">
                  <c:v>0.41944444444444445</c:v>
                </c:pt>
                <c:pt idx="2">
                  <c:v>0.41944444444444445</c:v>
                </c:pt>
                <c:pt idx="3">
                  <c:v>0.41944444444444445</c:v>
                </c:pt>
                <c:pt idx="4">
                  <c:v>0.41944444444444445</c:v>
                </c:pt>
                <c:pt idx="5">
                  <c:v>0.41944444444444445</c:v>
                </c:pt>
                <c:pt idx="6">
                  <c:v>0.41944444444444445</c:v>
                </c:pt>
                <c:pt idx="7">
                  <c:v>0.41944444444444445</c:v>
                </c:pt>
                <c:pt idx="8">
                  <c:v>0.41944444444444445</c:v>
                </c:pt>
                <c:pt idx="9">
                  <c:v>0.41944444444444445</c:v>
                </c:pt>
                <c:pt idx="10">
                  <c:v>0.41944444444444445</c:v>
                </c:pt>
                <c:pt idx="11">
                  <c:v>0.41944444444444445</c:v>
                </c:pt>
                <c:pt idx="12">
                  <c:v>0.41944444444444445</c:v>
                </c:pt>
                <c:pt idx="13">
                  <c:v>0.41944444444444445</c:v>
                </c:pt>
                <c:pt idx="14">
                  <c:v>0.41944444444444445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E-41D1-BEF1-CA1F5CAD0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3931</c:v>
                </c:pt>
                <c:pt idx="3">
                  <c:v>5715</c:v>
                </c:pt>
                <c:pt idx="4">
                  <c:v>1080</c:v>
                </c:pt>
                <c:pt idx="6">
                  <c:v>5888</c:v>
                </c:pt>
                <c:pt idx="7">
                  <c:v>5614</c:v>
                </c:pt>
                <c:pt idx="9">
                  <c:v>1085</c:v>
                </c:pt>
                <c:pt idx="11">
                  <c:v>12168</c:v>
                </c:pt>
                <c:pt idx="13">
                  <c:v>5079</c:v>
                </c:pt>
                <c:pt idx="14">
                  <c:v>41184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1-4F19-A4D0-6BC8B74D5E7C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3931</c:v>
                </c:pt>
                <c:pt idx="3">
                  <c:v>5715</c:v>
                </c:pt>
                <c:pt idx="4">
                  <c:v>1080</c:v>
                </c:pt>
                <c:pt idx="5">
                  <c:v>1250</c:v>
                </c:pt>
                <c:pt idx="6">
                  <c:v>5888</c:v>
                </c:pt>
                <c:pt idx="7">
                  <c:v>5614</c:v>
                </c:pt>
                <c:pt idx="9">
                  <c:v>1085</c:v>
                </c:pt>
                <c:pt idx="10">
                  <c:v>1175</c:v>
                </c:pt>
                <c:pt idx="11">
                  <c:v>12168</c:v>
                </c:pt>
                <c:pt idx="12">
                  <c:v>3475</c:v>
                </c:pt>
                <c:pt idx="13">
                  <c:v>5079</c:v>
                </c:pt>
                <c:pt idx="14">
                  <c:v>41184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1-4F19-A4D0-6BC8B74D5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100%</c:v>
                </c:pt>
                <c:pt idx="4">
                  <c:v>25%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29%</c:v>
                </c:pt>
                <c:pt idx="10">
                  <c:v>0%</c:v>
                </c:pt>
                <c:pt idx="11">
                  <c:v>42%</c:v>
                </c:pt>
                <c:pt idx="12">
                  <c:v>0%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1</c:v>
                </c:pt>
                <c:pt idx="4">
                  <c:v>0.25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0.29166666666666669</c:v>
                </c:pt>
                <c:pt idx="10">
                  <c:v>0</c:v>
                </c:pt>
                <c:pt idx="11">
                  <c:v>0.41666666666666669</c:v>
                </c:pt>
                <c:pt idx="12">
                  <c:v>0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C-48E8-A42F-D95F6C348CC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AC-48E8-A42F-D95F6C348C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BOTTOM</c:v>
                </c:pt>
                <c:pt idx="5">
                  <c:v>ACTUATOR</c:v>
                </c:pt>
                <c:pt idx="6">
                  <c:v>BASE</c:v>
                </c:pt>
                <c:pt idx="7">
                  <c:v>ACTUATOR</c:v>
                </c:pt>
                <c:pt idx="9">
                  <c:v>BODY/BOTTOM</c:v>
                </c:pt>
                <c:pt idx="10">
                  <c:v>TOP/BOTTOM</c:v>
                </c:pt>
                <c:pt idx="11">
                  <c:v>RIVET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0.41944444444444445</c:v>
                </c:pt>
                <c:pt idx="1">
                  <c:v>0.41944444444444445</c:v>
                </c:pt>
                <c:pt idx="2">
                  <c:v>0.41944444444444445</c:v>
                </c:pt>
                <c:pt idx="3">
                  <c:v>0.41944444444444445</c:v>
                </c:pt>
                <c:pt idx="4">
                  <c:v>0.41944444444444445</c:v>
                </c:pt>
                <c:pt idx="5">
                  <c:v>0.41944444444444445</c:v>
                </c:pt>
                <c:pt idx="6">
                  <c:v>0.41944444444444445</c:v>
                </c:pt>
                <c:pt idx="7">
                  <c:v>0.41944444444444445</c:v>
                </c:pt>
                <c:pt idx="8">
                  <c:v>0.41944444444444445</c:v>
                </c:pt>
                <c:pt idx="9">
                  <c:v>0.41944444444444445</c:v>
                </c:pt>
                <c:pt idx="10">
                  <c:v>0.41944444444444445</c:v>
                </c:pt>
                <c:pt idx="11">
                  <c:v>0.41944444444444445</c:v>
                </c:pt>
                <c:pt idx="12">
                  <c:v>0.41944444444444445</c:v>
                </c:pt>
                <c:pt idx="13">
                  <c:v>0.41944444444444445</c:v>
                </c:pt>
                <c:pt idx="14">
                  <c:v>0.41944444444444445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C-48E8-A42F-D95F6C348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140-4376-BC35-6C9EAE145D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40-4376-BC35-6C9EAE145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40-4376-BC35-6C9EAE145D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40-4376-BC35-6C9EAE145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2013</c:v>
                </c:pt>
                <c:pt idx="3">
                  <c:v>4182</c:v>
                </c:pt>
                <c:pt idx="4">
                  <c:v>774</c:v>
                </c:pt>
                <c:pt idx="6">
                  <c:v>2901</c:v>
                </c:pt>
                <c:pt idx="9">
                  <c:v>1670</c:v>
                </c:pt>
                <c:pt idx="10">
                  <c:v>4340</c:v>
                </c:pt>
                <c:pt idx="11">
                  <c:v>4482</c:v>
                </c:pt>
                <c:pt idx="12">
                  <c:v>1230</c:v>
                </c:pt>
                <c:pt idx="13">
                  <c:v>2069</c:v>
                </c:pt>
                <c:pt idx="14">
                  <c:v>4632</c:v>
                </c:pt>
                <c:pt idx="15">
                  <c:v>32224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6-418C-8504-1A8452C9FED6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4182</c:v>
                </c:pt>
                <c:pt idx="4">
                  <c:v>774</c:v>
                </c:pt>
                <c:pt idx="5">
                  <c:v>1250</c:v>
                </c:pt>
                <c:pt idx="6">
                  <c:v>2901</c:v>
                </c:pt>
                <c:pt idx="7">
                  <c:v>5614</c:v>
                </c:pt>
                <c:pt idx="9">
                  <c:v>1670</c:v>
                </c:pt>
                <c:pt idx="10">
                  <c:v>4340</c:v>
                </c:pt>
                <c:pt idx="11">
                  <c:v>4482</c:v>
                </c:pt>
                <c:pt idx="12">
                  <c:v>1230</c:v>
                </c:pt>
                <c:pt idx="13">
                  <c:v>2069</c:v>
                </c:pt>
                <c:pt idx="14">
                  <c:v>4632</c:v>
                </c:pt>
                <c:pt idx="15">
                  <c:v>32224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6-418C-8504-1A8452C9F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92%</c:v>
                </c:pt>
                <c:pt idx="4">
                  <c:v>33%</c:v>
                </c:pt>
                <c:pt idx="5">
                  <c:v>0%</c:v>
                </c:pt>
                <c:pt idx="6">
                  <c:v>75%</c:v>
                </c:pt>
                <c:pt idx="7">
                  <c:v>0%</c:v>
                </c:pt>
                <c:pt idx="8">
                  <c:v>0%</c:v>
                </c:pt>
                <c:pt idx="9">
                  <c:v>42%</c:v>
                </c:pt>
                <c:pt idx="10">
                  <c:v>96%</c:v>
                </c:pt>
                <c:pt idx="11">
                  <c:v>75%</c:v>
                </c:pt>
                <c:pt idx="12">
                  <c:v>33%</c:v>
                </c:pt>
                <c:pt idx="13">
                  <c:v>54%</c:v>
                </c:pt>
                <c:pt idx="14">
                  <c:v>92%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0.91666666666666663</c:v>
                </c:pt>
                <c:pt idx="4">
                  <c:v>0.33333333333333331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</c:v>
                </c:pt>
                <c:pt idx="9">
                  <c:v>0.41666666666666669</c:v>
                </c:pt>
                <c:pt idx="10">
                  <c:v>0.95833333333333337</c:v>
                </c:pt>
                <c:pt idx="11">
                  <c:v>0.75</c:v>
                </c:pt>
                <c:pt idx="12">
                  <c:v>0.33333333333333331</c:v>
                </c:pt>
                <c:pt idx="13">
                  <c:v>0.54166666666666663</c:v>
                </c:pt>
                <c:pt idx="14">
                  <c:v>0.91666666666666663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7-461F-BA45-0C277BC8DCA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A7-461F-BA45-0C277BC8DC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0.45555555555555555</c:v>
                </c:pt>
                <c:pt idx="1">
                  <c:v>0.45555555555555555</c:v>
                </c:pt>
                <c:pt idx="2">
                  <c:v>0.45555555555555555</c:v>
                </c:pt>
                <c:pt idx="3">
                  <c:v>0.45555555555555555</c:v>
                </c:pt>
                <c:pt idx="4">
                  <c:v>0.45555555555555555</c:v>
                </c:pt>
                <c:pt idx="5">
                  <c:v>0.45555555555555555</c:v>
                </c:pt>
                <c:pt idx="6">
                  <c:v>0.45555555555555555</c:v>
                </c:pt>
                <c:pt idx="7">
                  <c:v>0.45555555555555555</c:v>
                </c:pt>
                <c:pt idx="8">
                  <c:v>0.45555555555555555</c:v>
                </c:pt>
                <c:pt idx="9">
                  <c:v>0.45555555555555555</c:v>
                </c:pt>
                <c:pt idx="10">
                  <c:v>0.45555555555555555</c:v>
                </c:pt>
                <c:pt idx="11">
                  <c:v>0.45555555555555555</c:v>
                </c:pt>
                <c:pt idx="12">
                  <c:v>0.45555555555555555</c:v>
                </c:pt>
                <c:pt idx="13">
                  <c:v>0.45555555555555555</c:v>
                </c:pt>
                <c:pt idx="14">
                  <c:v>0.45555555555555555</c:v>
                </c:pt>
                <c:pt idx="15">
                  <c:v>0.45555555555555555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7-461F-BA45-0C277BC8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2013</c:v>
                </c:pt>
                <c:pt idx="3">
                  <c:v>4182</c:v>
                </c:pt>
                <c:pt idx="4">
                  <c:v>774</c:v>
                </c:pt>
                <c:pt idx="6">
                  <c:v>2901</c:v>
                </c:pt>
                <c:pt idx="9">
                  <c:v>1670</c:v>
                </c:pt>
                <c:pt idx="10">
                  <c:v>4340</c:v>
                </c:pt>
                <c:pt idx="11">
                  <c:v>4482</c:v>
                </c:pt>
                <c:pt idx="12">
                  <c:v>1230</c:v>
                </c:pt>
                <c:pt idx="13">
                  <c:v>2069</c:v>
                </c:pt>
                <c:pt idx="14">
                  <c:v>4632</c:v>
                </c:pt>
                <c:pt idx="15">
                  <c:v>32224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D-46B9-B2CA-A19A9EF61499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4182</c:v>
                </c:pt>
                <c:pt idx="4">
                  <c:v>774</c:v>
                </c:pt>
                <c:pt idx="5">
                  <c:v>1250</c:v>
                </c:pt>
                <c:pt idx="6">
                  <c:v>2901</c:v>
                </c:pt>
                <c:pt idx="7">
                  <c:v>5614</c:v>
                </c:pt>
                <c:pt idx="9">
                  <c:v>1670</c:v>
                </c:pt>
                <c:pt idx="10">
                  <c:v>4340</c:v>
                </c:pt>
                <c:pt idx="11">
                  <c:v>4482</c:v>
                </c:pt>
                <c:pt idx="12">
                  <c:v>1230</c:v>
                </c:pt>
                <c:pt idx="13">
                  <c:v>2069</c:v>
                </c:pt>
                <c:pt idx="14">
                  <c:v>4632</c:v>
                </c:pt>
                <c:pt idx="15">
                  <c:v>32224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D-46B9-B2CA-A19A9EF61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92%</c:v>
                </c:pt>
                <c:pt idx="4">
                  <c:v>33%</c:v>
                </c:pt>
                <c:pt idx="5">
                  <c:v>0%</c:v>
                </c:pt>
                <c:pt idx="6">
                  <c:v>75%</c:v>
                </c:pt>
                <c:pt idx="7">
                  <c:v>0%</c:v>
                </c:pt>
                <c:pt idx="8">
                  <c:v>0%</c:v>
                </c:pt>
                <c:pt idx="9">
                  <c:v>42%</c:v>
                </c:pt>
                <c:pt idx="10">
                  <c:v>96%</c:v>
                </c:pt>
                <c:pt idx="11">
                  <c:v>75%</c:v>
                </c:pt>
                <c:pt idx="12">
                  <c:v>33%</c:v>
                </c:pt>
                <c:pt idx="13">
                  <c:v>54%</c:v>
                </c:pt>
                <c:pt idx="14">
                  <c:v>92%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0.91666666666666663</c:v>
                </c:pt>
                <c:pt idx="4">
                  <c:v>0.33333333333333331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</c:v>
                </c:pt>
                <c:pt idx="9">
                  <c:v>0.41666666666666669</c:v>
                </c:pt>
                <c:pt idx="10">
                  <c:v>0.95833333333333337</c:v>
                </c:pt>
                <c:pt idx="11">
                  <c:v>0.75</c:v>
                </c:pt>
                <c:pt idx="12">
                  <c:v>0.33333333333333331</c:v>
                </c:pt>
                <c:pt idx="13">
                  <c:v>0.54166666666666663</c:v>
                </c:pt>
                <c:pt idx="14">
                  <c:v>0.91666666666666663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6-4EA9-8FC6-D2AFB8EAAE3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46-4EA9-8FC6-D2AFB8EAAE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ACTUATOR</c:v>
                </c:pt>
                <c:pt idx="6">
                  <c:v>M2 CONN</c:v>
                </c:pt>
                <c:pt idx="7">
                  <c:v>ACTUATOR</c:v>
                </c:pt>
                <c:pt idx="9">
                  <c:v>BASE/UNDER</c:v>
                </c:pt>
                <c:pt idx="10">
                  <c:v>BODY</c:v>
                </c:pt>
                <c:pt idx="11">
                  <c:v>LATCH PLATE</c:v>
                </c:pt>
                <c:pt idx="12">
                  <c:v>TOP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0.45555555555555555</c:v>
                </c:pt>
                <c:pt idx="1">
                  <c:v>0.45555555555555555</c:v>
                </c:pt>
                <c:pt idx="2">
                  <c:v>0.45555555555555555</c:v>
                </c:pt>
                <c:pt idx="3">
                  <c:v>0.45555555555555555</c:v>
                </c:pt>
                <c:pt idx="4">
                  <c:v>0.45555555555555555</c:v>
                </c:pt>
                <c:pt idx="5">
                  <c:v>0.45555555555555555</c:v>
                </c:pt>
                <c:pt idx="6">
                  <c:v>0.45555555555555555</c:v>
                </c:pt>
                <c:pt idx="7">
                  <c:v>0.45555555555555555</c:v>
                </c:pt>
                <c:pt idx="8">
                  <c:v>0.45555555555555555</c:v>
                </c:pt>
                <c:pt idx="9">
                  <c:v>0.45555555555555555</c:v>
                </c:pt>
                <c:pt idx="10">
                  <c:v>0.45555555555555555</c:v>
                </c:pt>
                <c:pt idx="11">
                  <c:v>0.45555555555555555</c:v>
                </c:pt>
                <c:pt idx="12">
                  <c:v>0.45555555555555555</c:v>
                </c:pt>
                <c:pt idx="13">
                  <c:v>0.45555555555555555</c:v>
                </c:pt>
                <c:pt idx="14">
                  <c:v>0.45555555555555555</c:v>
                </c:pt>
                <c:pt idx="15">
                  <c:v>0.45555555555555555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6-4EA9-8FC6-D2AFB8EAA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5F4-4CF3-9CE2-F215D1A88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4-4CF3-9CE2-F215D1A8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F4-4CF3-9CE2-F215D1A88D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F4-4CF3-9CE2-F215D1A8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3">
                  <c:v>2518</c:v>
                </c:pt>
                <c:pt idx="4">
                  <c:v>6924</c:v>
                </c:pt>
                <c:pt idx="6">
                  <c:v>1517</c:v>
                </c:pt>
                <c:pt idx="7">
                  <c:v>1695</c:v>
                </c:pt>
                <c:pt idx="8">
                  <c:v>1674</c:v>
                </c:pt>
                <c:pt idx="11">
                  <c:v>4892</c:v>
                </c:pt>
                <c:pt idx="12">
                  <c:v>2173</c:v>
                </c:pt>
                <c:pt idx="13">
                  <c:v>2149</c:v>
                </c:pt>
                <c:pt idx="14">
                  <c:v>5428</c:v>
                </c:pt>
                <c:pt idx="15">
                  <c:v>41804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4-4425-BE83-9D317A40FFBF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2518</c:v>
                </c:pt>
                <c:pt idx="4">
                  <c:v>6924</c:v>
                </c:pt>
                <c:pt idx="5">
                  <c:v>1250</c:v>
                </c:pt>
                <c:pt idx="6">
                  <c:v>1517</c:v>
                </c:pt>
                <c:pt idx="7">
                  <c:v>1695</c:v>
                </c:pt>
                <c:pt idx="8">
                  <c:v>1674</c:v>
                </c:pt>
                <c:pt idx="10">
                  <c:v>1670</c:v>
                </c:pt>
                <c:pt idx="11">
                  <c:v>4892</c:v>
                </c:pt>
                <c:pt idx="12">
                  <c:v>2173</c:v>
                </c:pt>
                <c:pt idx="13">
                  <c:v>2149</c:v>
                </c:pt>
                <c:pt idx="14">
                  <c:v>5428</c:v>
                </c:pt>
                <c:pt idx="15">
                  <c:v>41804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64-4425-BE83-9D317A40F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83%</c:v>
                </c:pt>
                <c:pt idx="5">
                  <c:v>0%</c:v>
                </c:pt>
                <c:pt idx="6">
                  <c:v>33%</c:v>
                </c:pt>
                <c:pt idx="7">
                  <c:v>58%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54%</c:v>
                </c:pt>
                <c:pt idx="13">
                  <c:v>54%</c:v>
                </c:pt>
                <c:pt idx="14">
                  <c:v>100%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0.83333333333333337</c:v>
                </c:pt>
                <c:pt idx="5">
                  <c:v>0</c:v>
                </c:pt>
                <c:pt idx="6">
                  <c:v>0.33333333333333331</c:v>
                </c:pt>
                <c:pt idx="7">
                  <c:v>0.58333333333333337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4-40B6-84A4-E6FC3EE7B14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E4-40B6-84A4-E6FC3EE7B1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0.42222222222222228</c:v>
                </c:pt>
                <c:pt idx="1">
                  <c:v>0.42222222222222228</c:v>
                </c:pt>
                <c:pt idx="2">
                  <c:v>0.42222222222222228</c:v>
                </c:pt>
                <c:pt idx="3">
                  <c:v>0.42222222222222228</c:v>
                </c:pt>
                <c:pt idx="4">
                  <c:v>0.42222222222222228</c:v>
                </c:pt>
                <c:pt idx="5">
                  <c:v>0.42222222222222228</c:v>
                </c:pt>
                <c:pt idx="6">
                  <c:v>0.42222222222222228</c:v>
                </c:pt>
                <c:pt idx="7">
                  <c:v>0.42222222222222228</c:v>
                </c:pt>
                <c:pt idx="8">
                  <c:v>0.42222222222222228</c:v>
                </c:pt>
                <c:pt idx="9">
                  <c:v>0.42222222222222228</c:v>
                </c:pt>
                <c:pt idx="10">
                  <c:v>0.42222222222222228</c:v>
                </c:pt>
                <c:pt idx="11">
                  <c:v>0.42222222222222228</c:v>
                </c:pt>
                <c:pt idx="12">
                  <c:v>0.42222222222222228</c:v>
                </c:pt>
                <c:pt idx="13">
                  <c:v>0.42222222222222228</c:v>
                </c:pt>
                <c:pt idx="14">
                  <c:v>0.42222222222222228</c:v>
                </c:pt>
                <c:pt idx="15">
                  <c:v>0.42222222222222228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E4-40B6-84A4-E6FC3EE7B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3">
                  <c:v>2518</c:v>
                </c:pt>
                <c:pt idx="4">
                  <c:v>6924</c:v>
                </c:pt>
                <c:pt idx="6">
                  <c:v>1517</c:v>
                </c:pt>
                <c:pt idx="7">
                  <c:v>1695</c:v>
                </c:pt>
                <c:pt idx="8">
                  <c:v>1674</c:v>
                </c:pt>
                <c:pt idx="11">
                  <c:v>4892</c:v>
                </c:pt>
                <c:pt idx="12">
                  <c:v>2173</c:v>
                </c:pt>
                <c:pt idx="13">
                  <c:v>2149</c:v>
                </c:pt>
                <c:pt idx="14">
                  <c:v>5428</c:v>
                </c:pt>
                <c:pt idx="15">
                  <c:v>41804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D-4241-A858-5DD984F75F94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2518</c:v>
                </c:pt>
                <c:pt idx="4">
                  <c:v>6924</c:v>
                </c:pt>
                <c:pt idx="5">
                  <c:v>1250</c:v>
                </c:pt>
                <c:pt idx="6">
                  <c:v>1517</c:v>
                </c:pt>
                <c:pt idx="7">
                  <c:v>1695</c:v>
                </c:pt>
                <c:pt idx="8">
                  <c:v>1674</c:v>
                </c:pt>
                <c:pt idx="10">
                  <c:v>1670</c:v>
                </c:pt>
                <c:pt idx="11">
                  <c:v>4892</c:v>
                </c:pt>
                <c:pt idx="12">
                  <c:v>2173</c:v>
                </c:pt>
                <c:pt idx="13">
                  <c:v>2149</c:v>
                </c:pt>
                <c:pt idx="14">
                  <c:v>5428</c:v>
                </c:pt>
                <c:pt idx="15">
                  <c:v>41804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D-4241-A858-5DD984F75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83%</c:v>
                </c:pt>
                <c:pt idx="5">
                  <c:v>0%</c:v>
                </c:pt>
                <c:pt idx="6">
                  <c:v>33%</c:v>
                </c:pt>
                <c:pt idx="7">
                  <c:v>58%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54%</c:v>
                </c:pt>
                <c:pt idx="13">
                  <c:v>54%</c:v>
                </c:pt>
                <c:pt idx="14">
                  <c:v>100%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0.83333333333333337</c:v>
                </c:pt>
                <c:pt idx="5">
                  <c:v>0</c:v>
                </c:pt>
                <c:pt idx="6">
                  <c:v>0.33333333333333331</c:v>
                </c:pt>
                <c:pt idx="7">
                  <c:v>0.58333333333333337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0-4B1A-91BD-7E83D3BCC1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E0-4B1A-91BD-7E83D3BCC1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M2 CONN</c:v>
                </c:pt>
                <c:pt idx="7">
                  <c:v>BOTTOM</c:v>
                </c:pt>
                <c:pt idx="8">
                  <c:v>LEAD GUIDE</c:v>
                </c:pt>
                <c:pt idx="10">
                  <c:v>BASE/UNDER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0.42222222222222228</c:v>
                </c:pt>
                <c:pt idx="1">
                  <c:v>0.42222222222222228</c:v>
                </c:pt>
                <c:pt idx="2">
                  <c:v>0.42222222222222228</c:v>
                </c:pt>
                <c:pt idx="3">
                  <c:v>0.42222222222222228</c:v>
                </c:pt>
                <c:pt idx="4">
                  <c:v>0.42222222222222228</c:v>
                </c:pt>
                <c:pt idx="5">
                  <c:v>0.42222222222222228</c:v>
                </c:pt>
                <c:pt idx="6">
                  <c:v>0.42222222222222228</c:v>
                </c:pt>
                <c:pt idx="7">
                  <c:v>0.42222222222222228</c:v>
                </c:pt>
                <c:pt idx="8">
                  <c:v>0.42222222222222228</c:v>
                </c:pt>
                <c:pt idx="9">
                  <c:v>0.42222222222222228</c:v>
                </c:pt>
                <c:pt idx="10">
                  <c:v>0.42222222222222228</c:v>
                </c:pt>
                <c:pt idx="11">
                  <c:v>0.42222222222222228</c:v>
                </c:pt>
                <c:pt idx="12">
                  <c:v>0.42222222222222228</c:v>
                </c:pt>
                <c:pt idx="13">
                  <c:v>0.42222222222222228</c:v>
                </c:pt>
                <c:pt idx="14">
                  <c:v>0.42222222222222228</c:v>
                </c:pt>
                <c:pt idx="15">
                  <c:v>0.42222222222222228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0-4B1A-91BD-7E83D3BCC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5A5-4AA1-B23A-AA3036454B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5-4AA1-B23A-AA3036454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A5-4AA1-B23A-AA3036454B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5-4AA1-B23A-AA3036454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3">
                  <c:v>3416</c:v>
                </c:pt>
                <c:pt idx="6">
                  <c:v>5229</c:v>
                </c:pt>
                <c:pt idx="7">
                  <c:v>1292</c:v>
                </c:pt>
                <c:pt idx="10">
                  <c:v>5103</c:v>
                </c:pt>
                <c:pt idx="13">
                  <c:v>5727</c:v>
                </c:pt>
                <c:pt idx="14">
                  <c:v>44516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4-40D6-BCCB-6C133A9B0951}"/>
            </c:ext>
          </c:extLst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3416</c:v>
                </c:pt>
                <c:pt idx="4">
                  <c:v>6924</c:v>
                </c:pt>
                <c:pt idx="5">
                  <c:v>1250</c:v>
                </c:pt>
                <c:pt idx="6">
                  <c:v>5229</c:v>
                </c:pt>
                <c:pt idx="7">
                  <c:v>1292</c:v>
                </c:pt>
                <c:pt idx="9">
                  <c:v>1670</c:v>
                </c:pt>
                <c:pt idx="10">
                  <c:v>5103</c:v>
                </c:pt>
                <c:pt idx="11">
                  <c:v>2173</c:v>
                </c:pt>
                <c:pt idx="12">
                  <c:v>2149</c:v>
                </c:pt>
                <c:pt idx="13">
                  <c:v>5727</c:v>
                </c:pt>
                <c:pt idx="14">
                  <c:v>44516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4-40D6-BCCB-6C133A9B0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63%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33%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0.625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0.33333333333333331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A-4ADA-A413-3E6F0BE328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3A-4ADA-A413-3E6F0BE328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0.29722222222222222</c:v>
                </c:pt>
                <c:pt idx="1">
                  <c:v>0.29722222222222222</c:v>
                </c:pt>
                <c:pt idx="2">
                  <c:v>0.29722222222222222</c:v>
                </c:pt>
                <c:pt idx="3">
                  <c:v>0.29722222222222222</c:v>
                </c:pt>
                <c:pt idx="4">
                  <c:v>0.29722222222222222</c:v>
                </c:pt>
                <c:pt idx="5">
                  <c:v>0.29722222222222222</c:v>
                </c:pt>
                <c:pt idx="6">
                  <c:v>0.29722222222222222</c:v>
                </c:pt>
                <c:pt idx="7">
                  <c:v>0.29722222222222222</c:v>
                </c:pt>
                <c:pt idx="8">
                  <c:v>0.29722222222222222</c:v>
                </c:pt>
                <c:pt idx="9">
                  <c:v>0.29722222222222222</c:v>
                </c:pt>
                <c:pt idx="10">
                  <c:v>0.29722222222222222</c:v>
                </c:pt>
                <c:pt idx="11">
                  <c:v>0.29722222222222222</c:v>
                </c:pt>
                <c:pt idx="12">
                  <c:v>0.29722222222222222</c:v>
                </c:pt>
                <c:pt idx="13">
                  <c:v>0.29722222222222222</c:v>
                </c:pt>
                <c:pt idx="14">
                  <c:v>0.29722222222222222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A-4ADA-A413-3E6F0BE32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3">
                  <c:v>3416</c:v>
                </c:pt>
                <c:pt idx="6">
                  <c:v>5229</c:v>
                </c:pt>
                <c:pt idx="7">
                  <c:v>1292</c:v>
                </c:pt>
                <c:pt idx="10">
                  <c:v>5103</c:v>
                </c:pt>
                <c:pt idx="13">
                  <c:v>5727</c:v>
                </c:pt>
                <c:pt idx="14">
                  <c:v>44516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7-4CC1-96EF-0999ACB312A2}"/>
            </c:ext>
          </c:extLst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3416</c:v>
                </c:pt>
                <c:pt idx="4">
                  <c:v>6924</c:v>
                </c:pt>
                <c:pt idx="5">
                  <c:v>1250</c:v>
                </c:pt>
                <c:pt idx="6">
                  <c:v>5229</c:v>
                </c:pt>
                <c:pt idx="7">
                  <c:v>1292</c:v>
                </c:pt>
                <c:pt idx="9">
                  <c:v>1670</c:v>
                </c:pt>
                <c:pt idx="10">
                  <c:v>5103</c:v>
                </c:pt>
                <c:pt idx="11">
                  <c:v>2173</c:v>
                </c:pt>
                <c:pt idx="12">
                  <c:v>2149</c:v>
                </c:pt>
                <c:pt idx="13">
                  <c:v>5727</c:v>
                </c:pt>
                <c:pt idx="14">
                  <c:v>44516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7-4CC1-96EF-0999ACB31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63%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33%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0.625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0.33333333333333331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7-4A41-87C6-109A3E9DAB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B7-4A41-87C6-109A3E9DAB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LATCH</c:v>
                </c:pt>
                <c:pt idx="5">
                  <c:v>ACTUATOR</c:v>
                </c:pt>
                <c:pt idx="6">
                  <c:v>88P</c:v>
                </c:pt>
                <c:pt idx="7">
                  <c:v>SLIDER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0.29722222222222222</c:v>
                </c:pt>
                <c:pt idx="1">
                  <c:v>0.29722222222222222</c:v>
                </c:pt>
                <c:pt idx="2">
                  <c:v>0.29722222222222222</c:v>
                </c:pt>
                <c:pt idx="3">
                  <c:v>0.29722222222222222</c:v>
                </c:pt>
                <c:pt idx="4">
                  <c:v>0.29722222222222222</c:v>
                </c:pt>
                <c:pt idx="5">
                  <c:v>0.29722222222222222</c:v>
                </c:pt>
                <c:pt idx="6">
                  <c:v>0.29722222222222222</c:v>
                </c:pt>
                <c:pt idx="7">
                  <c:v>0.29722222222222222</c:v>
                </c:pt>
                <c:pt idx="8">
                  <c:v>0.29722222222222222</c:v>
                </c:pt>
                <c:pt idx="9">
                  <c:v>0.29722222222222222</c:v>
                </c:pt>
                <c:pt idx="10">
                  <c:v>0.29722222222222222</c:v>
                </c:pt>
                <c:pt idx="11">
                  <c:v>0.29722222222222222</c:v>
                </c:pt>
                <c:pt idx="12">
                  <c:v>0.29722222222222222</c:v>
                </c:pt>
                <c:pt idx="13">
                  <c:v>0.29722222222222222</c:v>
                </c:pt>
                <c:pt idx="14">
                  <c:v>0.29722222222222222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B7-4A41-87C6-109A3E9DA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7D9-4C05-BDE1-D6282C211A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9-4C05-BDE1-D6282C21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D9-4C05-BDE1-D6282C211A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D9-4C05-BDE1-D6282C21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3">
                  <c:v>5111</c:v>
                </c:pt>
                <c:pt idx="6">
                  <c:v>4986</c:v>
                </c:pt>
                <c:pt idx="7">
                  <c:v>1462</c:v>
                </c:pt>
                <c:pt idx="10">
                  <c:v>280</c:v>
                </c:pt>
                <c:pt idx="11">
                  <c:v>4488</c:v>
                </c:pt>
                <c:pt idx="14">
                  <c:v>5954</c:v>
                </c:pt>
                <c:pt idx="15">
                  <c:v>40768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5-4A3E-9669-79CA4092FF2F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5111</c:v>
                </c:pt>
                <c:pt idx="4">
                  <c:v>6924</c:v>
                </c:pt>
                <c:pt idx="5">
                  <c:v>1250</c:v>
                </c:pt>
                <c:pt idx="6">
                  <c:v>4986</c:v>
                </c:pt>
                <c:pt idx="7">
                  <c:v>1462</c:v>
                </c:pt>
                <c:pt idx="9">
                  <c:v>1670</c:v>
                </c:pt>
                <c:pt idx="10">
                  <c:v>280</c:v>
                </c:pt>
                <c:pt idx="11">
                  <c:v>4488</c:v>
                </c:pt>
                <c:pt idx="12">
                  <c:v>2173</c:v>
                </c:pt>
                <c:pt idx="13">
                  <c:v>2149</c:v>
                </c:pt>
                <c:pt idx="14">
                  <c:v>5954</c:v>
                </c:pt>
                <c:pt idx="15">
                  <c:v>40768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5-4A3E-9669-79CA4092F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8%</c:v>
                </c:pt>
                <c:pt idx="11">
                  <c:v>83%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0.83333333333333337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A-4D13-9BD8-69081557C54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FA-4D13-9BD8-69081557C5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0.32222222222222219</c:v>
                </c:pt>
                <c:pt idx="1">
                  <c:v>0.32222222222222219</c:v>
                </c:pt>
                <c:pt idx="2">
                  <c:v>0.32222222222222219</c:v>
                </c:pt>
                <c:pt idx="3">
                  <c:v>0.32222222222222219</c:v>
                </c:pt>
                <c:pt idx="4">
                  <c:v>0.32222222222222219</c:v>
                </c:pt>
                <c:pt idx="5">
                  <c:v>0.32222222222222219</c:v>
                </c:pt>
                <c:pt idx="6">
                  <c:v>0.32222222222222219</c:v>
                </c:pt>
                <c:pt idx="7">
                  <c:v>0.32222222222222219</c:v>
                </c:pt>
                <c:pt idx="8">
                  <c:v>0.32222222222222219</c:v>
                </c:pt>
                <c:pt idx="9">
                  <c:v>0.32222222222222219</c:v>
                </c:pt>
                <c:pt idx="10">
                  <c:v>0.32222222222222219</c:v>
                </c:pt>
                <c:pt idx="11">
                  <c:v>0.32222222222222219</c:v>
                </c:pt>
                <c:pt idx="12">
                  <c:v>0.32222222222222219</c:v>
                </c:pt>
                <c:pt idx="13">
                  <c:v>0.32222222222222219</c:v>
                </c:pt>
                <c:pt idx="14">
                  <c:v>0.32222222222222219</c:v>
                </c:pt>
                <c:pt idx="15">
                  <c:v>0.32222222222222219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A-4D13-9BD8-69081557C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3">
                  <c:v>5111</c:v>
                </c:pt>
                <c:pt idx="6">
                  <c:v>4986</c:v>
                </c:pt>
                <c:pt idx="7">
                  <c:v>1462</c:v>
                </c:pt>
                <c:pt idx="10">
                  <c:v>280</c:v>
                </c:pt>
                <c:pt idx="11">
                  <c:v>4488</c:v>
                </c:pt>
                <c:pt idx="14">
                  <c:v>5954</c:v>
                </c:pt>
                <c:pt idx="15">
                  <c:v>40768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1-412C-B093-0BA4F7C4FBF8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2013</c:v>
                </c:pt>
                <c:pt idx="3">
                  <c:v>5111</c:v>
                </c:pt>
                <c:pt idx="4">
                  <c:v>6924</c:v>
                </c:pt>
                <c:pt idx="5">
                  <c:v>1250</c:v>
                </c:pt>
                <c:pt idx="6">
                  <c:v>4986</c:v>
                </c:pt>
                <c:pt idx="7">
                  <c:v>1462</c:v>
                </c:pt>
                <c:pt idx="9">
                  <c:v>1670</c:v>
                </c:pt>
                <c:pt idx="10">
                  <c:v>280</c:v>
                </c:pt>
                <c:pt idx="11">
                  <c:v>4488</c:v>
                </c:pt>
                <c:pt idx="12">
                  <c:v>2173</c:v>
                </c:pt>
                <c:pt idx="13">
                  <c:v>2149</c:v>
                </c:pt>
                <c:pt idx="14">
                  <c:v>5954</c:v>
                </c:pt>
                <c:pt idx="15">
                  <c:v>40768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1-412C-B093-0BA4F7C4F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8%</c:v>
                </c:pt>
                <c:pt idx="11">
                  <c:v>83%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0.83333333333333337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B-488C-90F4-DE50EA2F86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1B-488C-90F4-DE50EA2F86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BODY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0.32222222222222219</c:v>
                </c:pt>
                <c:pt idx="1">
                  <c:v>0.32222222222222219</c:v>
                </c:pt>
                <c:pt idx="2">
                  <c:v>0.32222222222222219</c:v>
                </c:pt>
                <c:pt idx="3">
                  <c:v>0.32222222222222219</c:v>
                </c:pt>
                <c:pt idx="4">
                  <c:v>0.32222222222222219</c:v>
                </c:pt>
                <c:pt idx="5">
                  <c:v>0.32222222222222219</c:v>
                </c:pt>
                <c:pt idx="6">
                  <c:v>0.32222222222222219</c:v>
                </c:pt>
                <c:pt idx="7">
                  <c:v>0.32222222222222219</c:v>
                </c:pt>
                <c:pt idx="8">
                  <c:v>0.32222222222222219</c:v>
                </c:pt>
                <c:pt idx="9">
                  <c:v>0.32222222222222219</c:v>
                </c:pt>
                <c:pt idx="10">
                  <c:v>0.32222222222222219</c:v>
                </c:pt>
                <c:pt idx="11">
                  <c:v>0.32222222222222219</c:v>
                </c:pt>
                <c:pt idx="12">
                  <c:v>0.32222222222222219</c:v>
                </c:pt>
                <c:pt idx="13">
                  <c:v>0.32222222222222219</c:v>
                </c:pt>
                <c:pt idx="14">
                  <c:v>0.32222222222222219</c:v>
                </c:pt>
                <c:pt idx="15">
                  <c:v>0.32222222222222219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1B-488C-90F4-DE50EA2F8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0B7-4356-A5B6-34E0465BC6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7-4356-A5B6-34E0465BC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B7-4356-A5B6-34E0465BC6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B7-4356-A5B6-34E0465BC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3">
                  <c:v>5524</c:v>
                </c:pt>
                <c:pt idx="6">
                  <c:v>6080</c:v>
                </c:pt>
                <c:pt idx="7">
                  <c:v>1300</c:v>
                </c:pt>
                <c:pt idx="8">
                  <c:v>151</c:v>
                </c:pt>
                <c:pt idx="10">
                  <c:v>4858</c:v>
                </c:pt>
                <c:pt idx="12">
                  <c:v>621</c:v>
                </c:pt>
                <c:pt idx="13">
                  <c:v>3807</c:v>
                </c:pt>
                <c:pt idx="14">
                  <c:v>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1-4AD8-9E42-C04AD4E13FBF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5524</c:v>
                </c:pt>
                <c:pt idx="3">
                  <c:v>5524</c:v>
                </c:pt>
                <c:pt idx="4">
                  <c:v>6924</c:v>
                </c:pt>
                <c:pt idx="5">
                  <c:v>1250</c:v>
                </c:pt>
                <c:pt idx="6">
                  <c:v>6080</c:v>
                </c:pt>
                <c:pt idx="7">
                  <c:v>1300</c:v>
                </c:pt>
                <c:pt idx="8">
                  <c:v>151</c:v>
                </c:pt>
                <c:pt idx="9">
                  <c:v>1670</c:v>
                </c:pt>
                <c:pt idx="10">
                  <c:v>4858</c:v>
                </c:pt>
                <c:pt idx="11">
                  <c:v>2173</c:v>
                </c:pt>
                <c:pt idx="12">
                  <c:v>621</c:v>
                </c:pt>
                <c:pt idx="13">
                  <c:v>3807</c:v>
                </c:pt>
                <c:pt idx="14">
                  <c:v>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1-4AD8-9E42-C04AD4E13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42%</c:v>
                </c:pt>
                <c:pt idx="8">
                  <c:v>21%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46%</c:v>
                </c:pt>
                <c:pt idx="13">
                  <c:v>83%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0.41666666666666669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0.83333333333333337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F-4C88-BC8E-FBF38494C6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5F-4C88-BC8E-FBF38494C6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0.36666666666666659</c:v>
                </c:pt>
                <c:pt idx="1">
                  <c:v>0.36666666666666659</c:v>
                </c:pt>
                <c:pt idx="2">
                  <c:v>0.36666666666666659</c:v>
                </c:pt>
                <c:pt idx="3">
                  <c:v>0.36666666666666659</c:v>
                </c:pt>
                <c:pt idx="4">
                  <c:v>0.36666666666666659</c:v>
                </c:pt>
                <c:pt idx="5">
                  <c:v>0.36666666666666659</c:v>
                </c:pt>
                <c:pt idx="6">
                  <c:v>0.36666666666666659</c:v>
                </c:pt>
                <c:pt idx="7">
                  <c:v>0.36666666666666659</c:v>
                </c:pt>
                <c:pt idx="8">
                  <c:v>0.36666666666666659</c:v>
                </c:pt>
                <c:pt idx="9">
                  <c:v>0.36666666666666659</c:v>
                </c:pt>
                <c:pt idx="10">
                  <c:v>0.36666666666666659</c:v>
                </c:pt>
                <c:pt idx="11">
                  <c:v>0.36666666666666659</c:v>
                </c:pt>
                <c:pt idx="12">
                  <c:v>0.36666666666666659</c:v>
                </c:pt>
                <c:pt idx="13">
                  <c:v>0.36666666666666659</c:v>
                </c:pt>
                <c:pt idx="14">
                  <c:v>0.36666666666666659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F-4C88-BC8E-FBF38494C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3">
                  <c:v>5524</c:v>
                </c:pt>
                <c:pt idx="6">
                  <c:v>6080</c:v>
                </c:pt>
                <c:pt idx="7">
                  <c:v>1300</c:v>
                </c:pt>
                <c:pt idx="8">
                  <c:v>151</c:v>
                </c:pt>
                <c:pt idx="10">
                  <c:v>4858</c:v>
                </c:pt>
                <c:pt idx="12">
                  <c:v>621</c:v>
                </c:pt>
                <c:pt idx="13">
                  <c:v>3807</c:v>
                </c:pt>
                <c:pt idx="14">
                  <c:v>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C-4A90-A8CB-7A5417FB8FB7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5524</c:v>
                </c:pt>
                <c:pt idx="3">
                  <c:v>5524</c:v>
                </c:pt>
                <c:pt idx="4">
                  <c:v>6924</c:v>
                </c:pt>
                <c:pt idx="5">
                  <c:v>1250</c:v>
                </c:pt>
                <c:pt idx="6">
                  <c:v>6080</c:v>
                </c:pt>
                <c:pt idx="7">
                  <c:v>1300</c:v>
                </c:pt>
                <c:pt idx="8">
                  <c:v>151</c:v>
                </c:pt>
                <c:pt idx="9">
                  <c:v>1670</c:v>
                </c:pt>
                <c:pt idx="10">
                  <c:v>4858</c:v>
                </c:pt>
                <c:pt idx="11">
                  <c:v>2173</c:v>
                </c:pt>
                <c:pt idx="12">
                  <c:v>621</c:v>
                </c:pt>
                <c:pt idx="13">
                  <c:v>3807</c:v>
                </c:pt>
                <c:pt idx="14">
                  <c:v>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C-4A90-A8CB-7A5417FB8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42%</c:v>
                </c:pt>
                <c:pt idx="8">
                  <c:v>21%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46%</c:v>
                </c:pt>
                <c:pt idx="13">
                  <c:v>83%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0.41666666666666669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0.83333333333333337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9-41D6-92EC-855673440F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F9-41D6-92EC-855673440F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COVER</c:v>
                </c:pt>
                <c:pt idx="3">
                  <c:v>ACTUATOR</c:v>
                </c:pt>
                <c:pt idx="4">
                  <c:v>SEPARATOR</c:v>
                </c:pt>
                <c:pt idx="5">
                  <c:v>ACTUATOR</c:v>
                </c:pt>
                <c:pt idx="6">
                  <c:v>88P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0.36666666666666659</c:v>
                </c:pt>
                <c:pt idx="1">
                  <c:v>0.36666666666666659</c:v>
                </c:pt>
                <c:pt idx="2">
                  <c:v>0.36666666666666659</c:v>
                </c:pt>
                <c:pt idx="3">
                  <c:v>0.36666666666666659</c:v>
                </c:pt>
                <c:pt idx="4">
                  <c:v>0.36666666666666659</c:v>
                </c:pt>
                <c:pt idx="5">
                  <c:v>0.36666666666666659</c:v>
                </c:pt>
                <c:pt idx="6">
                  <c:v>0.36666666666666659</c:v>
                </c:pt>
                <c:pt idx="7">
                  <c:v>0.36666666666666659</c:v>
                </c:pt>
                <c:pt idx="8">
                  <c:v>0.36666666666666659</c:v>
                </c:pt>
                <c:pt idx="9">
                  <c:v>0.36666666666666659</c:v>
                </c:pt>
                <c:pt idx="10">
                  <c:v>0.36666666666666659</c:v>
                </c:pt>
                <c:pt idx="11">
                  <c:v>0.36666666666666659</c:v>
                </c:pt>
                <c:pt idx="12">
                  <c:v>0.36666666666666659</c:v>
                </c:pt>
                <c:pt idx="13">
                  <c:v>0.36666666666666659</c:v>
                </c:pt>
                <c:pt idx="14">
                  <c:v>0.36666666666666659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F9-41D6-92EC-855673440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F26-4A52-8CAE-44ED2F0649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6-4A52-8CAE-44ED2F064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26-4A52-8CAE-44ED2F0649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26-4A52-8CAE-44ED2F064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3980</c:v>
                </c:pt>
                <c:pt idx="3">
                  <c:v>2483</c:v>
                </c:pt>
                <c:pt idx="6">
                  <c:v>2858</c:v>
                </c:pt>
                <c:pt idx="8">
                  <c:v>399</c:v>
                </c:pt>
                <c:pt idx="10">
                  <c:v>3496</c:v>
                </c:pt>
                <c:pt idx="12">
                  <c:v>4136</c:v>
                </c:pt>
                <c:pt idx="13">
                  <c:v>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A-434C-AA90-717020E685B7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3980</c:v>
                </c:pt>
                <c:pt idx="3">
                  <c:v>2483</c:v>
                </c:pt>
                <c:pt idx="4">
                  <c:v>6924</c:v>
                </c:pt>
                <c:pt idx="5">
                  <c:v>1250</c:v>
                </c:pt>
                <c:pt idx="6">
                  <c:v>2858</c:v>
                </c:pt>
                <c:pt idx="7">
                  <c:v>1300</c:v>
                </c:pt>
                <c:pt idx="8">
                  <c:v>399</c:v>
                </c:pt>
                <c:pt idx="9">
                  <c:v>1670</c:v>
                </c:pt>
                <c:pt idx="10">
                  <c:v>3496</c:v>
                </c:pt>
                <c:pt idx="11">
                  <c:v>2173</c:v>
                </c:pt>
                <c:pt idx="12">
                  <c:v>4136</c:v>
                </c:pt>
                <c:pt idx="13">
                  <c:v>5671</c:v>
                </c:pt>
                <c:pt idx="14">
                  <c:v>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A-434C-AA90-717020E68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75%</c:v>
                </c:pt>
                <c:pt idx="4">
                  <c:v>0%</c:v>
                </c:pt>
                <c:pt idx="5">
                  <c:v>0%</c:v>
                </c:pt>
                <c:pt idx="6">
                  <c:v>75%</c:v>
                </c:pt>
                <c:pt idx="7">
                  <c:v>0%</c:v>
                </c:pt>
                <c:pt idx="8">
                  <c:v>83%</c:v>
                </c:pt>
                <c:pt idx="9">
                  <c:v>0%</c:v>
                </c:pt>
                <c:pt idx="10">
                  <c:v>79%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0.83333333333333337</c:v>
                </c:pt>
                <c:pt idx="9">
                  <c:v>0</c:v>
                </c:pt>
                <c:pt idx="10">
                  <c:v>0.79166666666666663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1-4BF5-B49B-124911EE28C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11-4BF5-B49B-124911EE28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0.39166666666666666</c:v>
                </c:pt>
                <c:pt idx="1">
                  <c:v>0.39166666666666666</c:v>
                </c:pt>
                <c:pt idx="2">
                  <c:v>0.39166666666666666</c:v>
                </c:pt>
                <c:pt idx="3">
                  <c:v>0.39166666666666666</c:v>
                </c:pt>
                <c:pt idx="4">
                  <c:v>0.39166666666666666</c:v>
                </c:pt>
                <c:pt idx="5">
                  <c:v>0.39166666666666666</c:v>
                </c:pt>
                <c:pt idx="6">
                  <c:v>0.39166666666666666</c:v>
                </c:pt>
                <c:pt idx="7">
                  <c:v>0.39166666666666666</c:v>
                </c:pt>
                <c:pt idx="8">
                  <c:v>0.39166666666666666</c:v>
                </c:pt>
                <c:pt idx="9">
                  <c:v>0.39166666666666666</c:v>
                </c:pt>
                <c:pt idx="10">
                  <c:v>0.39166666666666666</c:v>
                </c:pt>
                <c:pt idx="11">
                  <c:v>0.39166666666666666</c:v>
                </c:pt>
                <c:pt idx="12">
                  <c:v>0.39166666666666666</c:v>
                </c:pt>
                <c:pt idx="13">
                  <c:v>0.39166666666666666</c:v>
                </c:pt>
                <c:pt idx="14">
                  <c:v>0.39166666666666666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11-4BF5-B49B-124911EE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3980</c:v>
                </c:pt>
                <c:pt idx="3">
                  <c:v>2483</c:v>
                </c:pt>
                <c:pt idx="6">
                  <c:v>2858</c:v>
                </c:pt>
                <c:pt idx="8">
                  <c:v>399</c:v>
                </c:pt>
                <c:pt idx="10">
                  <c:v>3496</c:v>
                </c:pt>
                <c:pt idx="12">
                  <c:v>4136</c:v>
                </c:pt>
                <c:pt idx="13">
                  <c:v>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8-4977-8C6B-0D227386EDC5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3980</c:v>
                </c:pt>
                <c:pt idx="3">
                  <c:v>2483</c:v>
                </c:pt>
                <c:pt idx="4">
                  <c:v>6924</c:v>
                </c:pt>
                <c:pt idx="5">
                  <c:v>1250</c:v>
                </c:pt>
                <c:pt idx="6">
                  <c:v>2858</c:v>
                </c:pt>
                <c:pt idx="7">
                  <c:v>1300</c:v>
                </c:pt>
                <c:pt idx="8">
                  <c:v>399</c:v>
                </c:pt>
                <c:pt idx="9">
                  <c:v>1670</c:v>
                </c:pt>
                <c:pt idx="10">
                  <c:v>3496</c:v>
                </c:pt>
                <c:pt idx="11">
                  <c:v>2173</c:v>
                </c:pt>
                <c:pt idx="12">
                  <c:v>4136</c:v>
                </c:pt>
                <c:pt idx="13">
                  <c:v>5671</c:v>
                </c:pt>
                <c:pt idx="14">
                  <c:v>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8-4977-8C6B-0D227386E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75%</c:v>
                </c:pt>
                <c:pt idx="4">
                  <c:v>0%</c:v>
                </c:pt>
                <c:pt idx="5">
                  <c:v>0%</c:v>
                </c:pt>
                <c:pt idx="6">
                  <c:v>75%</c:v>
                </c:pt>
                <c:pt idx="7">
                  <c:v>0%</c:v>
                </c:pt>
                <c:pt idx="8">
                  <c:v>83%</c:v>
                </c:pt>
                <c:pt idx="9">
                  <c:v>0%</c:v>
                </c:pt>
                <c:pt idx="10">
                  <c:v>79%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  <c:pt idx="8">
                  <c:v>0.83333333333333337</c:v>
                </c:pt>
                <c:pt idx="9">
                  <c:v>0</c:v>
                </c:pt>
                <c:pt idx="10">
                  <c:v>0.79166666666666663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A-4E7B-9399-E6BA69E097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AA-4E7B-9399-E6BA69E097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0.39166666666666666</c:v>
                </c:pt>
                <c:pt idx="1">
                  <c:v>0.39166666666666666</c:v>
                </c:pt>
                <c:pt idx="2">
                  <c:v>0.39166666666666666</c:v>
                </c:pt>
                <c:pt idx="3">
                  <c:v>0.39166666666666666</c:v>
                </c:pt>
                <c:pt idx="4">
                  <c:v>0.39166666666666666</c:v>
                </c:pt>
                <c:pt idx="5">
                  <c:v>0.39166666666666666</c:v>
                </c:pt>
                <c:pt idx="6">
                  <c:v>0.39166666666666666</c:v>
                </c:pt>
                <c:pt idx="7">
                  <c:v>0.39166666666666666</c:v>
                </c:pt>
                <c:pt idx="8">
                  <c:v>0.39166666666666666</c:v>
                </c:pt>
                <c:pt idx="9">
                  <c:v>0.39166666666666666</c:v>
                </c:pt>
                <c:pt idx="10">
                  <c:v>0.39166666666666666</c:v>
                </c:pt>
                <c:pt idx="11">
                  <c:v>0.39166666666666666</c:v>
                </c:pt>
                <c:pt idx="12">
                  <c:v>0.39166666666666666</c:v>
                </c:pt>
                <c:pt idx="13">
                  <c:v>0.39166666666666666</c:v>
                </c:pt>
                <c:pt idx="14">
                  <c:v>0.39166666666666666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A-4E7B-9399-E6BA69E09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D87-4F9E-A93D-E21CA28761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7-4F9E-A93D-E21CA2876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87-4F9E-A93D-E21CA28761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87-4F9E-A93D-E21CA2876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5675</c:v>
                </c:pt>
                <c:pt idx="3">
                  <c:v>2720</c:v>
                </c:pt>
                <c:pt idx="4">
                  <c:v>4000</c:v>
                </c:pt>
                <c:pt idx="6">
                  <c:v>3260</c:v>
                </c:pt>
                <c:pt idx="7">
                  <c:v>1682</c:v>
                </c:pt>
                <c:pt idx="10">
                  <c:v>547</c:v>
                </c:pt>
                <c:pt idx="12">
                  <c:v>5310</c:v>
                </c:pt>
                <c:pt idx="13">
                  <c:v>5681</c:v>
                </c:pt>
                <c:pt idx="14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0-4FF3-A014-426A73442895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5675</c:v>
                </c:pt>
                <c:pt idx="3">
                  <c:v>2720</c:v>
                </c:pt>
                <c:pt idx="4">
                  <c:v>4000</c:v>
                </c:pt>
                <c:pt idx="5">
                  <c:v>1250</c:v>
                </c:pt>
                <c:pt idx="6">
                  <c:v>3260</c:v>
                </c:pt>
                <c:pt idx="7">
                  <c:v>1682</c:v>
                </c:pt>
                <c:pt idx="8">
                  <c:v>399</c:v>
                </c:pt>
                <c:pt idx="9">
                  <c:v>1670</c:v>
                </c:pt>
                <c:pt idx="10">
                  <c:v>547</c:v>
                </c:pt>
                <c:pt idx="11">
                  <c:v>2173</c:v>
                </c:pt>
                <c:pt idx="12">
                  <c:v>5310</c:v>
                </c:pt>
                <c:pt idx="13">
                  <c:v>5681</c:v>
                </c:pt>
                <c:pt idx="14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0-4FF3-A014-426A73442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71%</c:v>
                </c:pt>
                <c:pt idx="4">
                  <c:v>21%</c:v>
                </c:pt>
                <c:pt idx="5">
                  <c:v>0%</c:v>
                </c:pt>
                <c:pt idx="6">
                  <c:v>75%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0.70833333333333337</c:v>
                </c:pt>
                <c:pt idx="4">
                  <c:v>0.20833333333333334</c:v>
                </c:pt>
                <c:pt idx="5">
                  <c:v>0</c:v>
                </c:pt>
                <c:pt idx="6">
                  <c:v>0.75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8-4C83-863A-B7C298CDCB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78-4C83-863A-B7C298CDCB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0.3888888888888889</c:v>
                </c:pt>
                <c:pt idx="1">
                  <c:v>0.3888888888888889</c:v>
                </c:pt>
                <c:pt idx="2">
                  <c:v>0.3888888888888889</c:v>
                </c:pt>
                <c:pt idx="3">
                  <c:v>0.3888888888888889</c:v>
                </c:pt>
                <c:pt idx="4">
                  <c:v>0.3888888888888889</c:v>
                </c:pt>
                <c:pt idx="5">
                  <c:v>0.3888888888888889</c:v>
                </c:pt>
                <c:pt idx="6">
                  <c:v>0.3888888888888889</c:v>
                </c:pt>
                <c:pt idx="7">
                  <c:v>0.3888888888888889</c:v>
                </c:pt>
                <c:pt idx="8">
                  <c:v>0.3888888888888889</c:v>
                </c:pt>
                <c:pt idx="9">
                  <c:v>0.3888888888888889</c:v>
                </c:pt>
                <c:pt idx="10">
                  <c:v>0.3888888888888889</c:v>
                </c:pt>
                <c:pt idx="11">
                  <c:v>0.3888888888888889</c:v>
                </c:pt>
                <c:pt idx="12">
                  <c:v>0.3888888888888889</c:v>
                </c:pt>
                <c:pt idx="13">
                  <c:v>0.3888888888888889</c:v>
                </c:pt>
                <c:pt idx="14">
                  <c:v>0.3888888888888889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8-4C83-863A-B7C298CD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5675</c:v>
                </c:pt>
                <c:pt idx="3">
                  <c:v>2720</c:v>
                </c:pt>
                <c:pt idx="4">
                  <c:v>4000</c:v>
                </c:pt>
                <c:pt idx="6">
                  <c:v>3260</c:v>
                </c:pt>
                <c:pt idx="7">
                  <c:v>1682</c:v>
                </c:pt>
                <c:pt idx="10">
                  <c:v>547</c:v>
                </c:pt>
                <c:pt idx="12">
                  <c:v>5310</c:v>
                </c:pt>
                <c:pt idx="13">
                  <c:v>5681</c:v>
                </c:pt>
                <c:pt idx="14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8-406E-BEEE-22A4112BD656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5675</c:v>
                </c:pt>
                <c:pt idx="3">
                  <c:v>2720</c:v>
                </c:pt>
                <c:pt idx="4">
                  <c:v>4000</c:v>
                </c:pt>
                <c:pt idx="5">
                  <c:v>1250</c:v>
                </c:pt>
                <c:pt idx="6">
                  <c:v>3260</c:v>
                </c:pt>
                <c:pt idx="7">
                  <c:v>1682</c:v>
                </c:pt>
                <c:pt idx="8">
                  <c:v>399</c:v>
                </c:pt>
                <c:pt idx="9">
                  <c:v>1670</c:v>
                </c:pt>
                <c:pt idx="10">
                  <c:v>547</c:v>
                </c:pt>
                <c:pt idx="11">
                  <c:v>2173</c:v>
                </c:pt>
                <c:pt idx="12">
                  <c:v>5310</c:v>
                </c:pt>
                <c:pt idx="13">
                  <c:v>5681</c:v>
                </c:pt>
                <c:pt idx="14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8-406E-BEEE-22A4112B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71%</c:v>
                </c:pt>
                <c:pt idx="4">
                  <c:v>21%</c:v>
                </c:pt>
                <c:pt idx="5">
                  <c:v>0%</c:v>
                </c:pt>
                <c:pt idx="6">
                  <c:v>75%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0.70833333333333337</c:v>
                </c:pt>
                <c:pt idx="4">
                  <c:v>0.20833333333333334</c:v>
                </c:pt>
                <c:pt idx="5">
                  <c:v>0</c:v>
                </c:pt>
                <c:pt idx="6">
                  <c:v>0.75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A-48AD-851F-66A70DC50D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3A-48AD-851F-66A70DC50D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BODY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0.3888888888888889</c:v>
                </c:pt>
                <c:pt idx="1">
                  <c:v>0.3888888888888889</c:v>
                </c:pt>
                <c:pt idx="2">
                  <c:v>0.3888888888888889</c:v>
                </c:pt>
                <c:pt idx="3">
                  <c:v>0.3888888888888889</c:v>
                </c:pt>
                <c:pt idx="4">
                  <c:v>0.3888888888888889</c:v>
                </c:pt>
                <c:pt idx="5">
                  <c:v>0.3888888888888889</c:v>
                </c:pt>
                <c:pt idx="6">
                  <c:v>0.3888888888888889</c:v>
                </c:pt>
                <c:pt idx="7">
                  <c:v>0.3888888888888889</c:v>
                </c:pt>
                <c:pt idx="8">
                  <c:v>0.3888888888888889</c:v>
                </c:pt>
                <c:pt idx="9">
                  <c:v>0.3888888888888889</c:v>
                </c:pt>
                <c:pt idx="10">
                  <c:v>0.3888888888888889</c:v>
                </c:pt>
                <c:pt idx="11">
                  <c:v>0.3888888888888889</c:v>
                </c:pt>
                <c:pt idx="12">
                  <c:v>0.3888888888888889</c:v>
                </c:pt>
                <c:pt idx="13">
                  <c:v>0.3888888888888889</c:v>
                </c:pt>
                <c:pt idx="14">
                  <c:v>0.3888888888888889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A-48AD-851F-66A70DC50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C98-4094-8547-85B3A19C44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8-4094-8547-85B3A19C4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98-4094-8547-85B3A19C44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98-4094-8547-85B3A19C4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3264</c:v>
                </c:pt>
                <c:pt idx="3">
                  <c:v>3334</c:v>
                </c:pt>
                <c:pt idx="4">
                  <c:v>2801</c:v>
                </c:pt>
                <c:pt idx="6">
                  <c:v>3809</c:v>
                </c:pt>
                <c:pt idx="7">
                  <c:v>1136</c:v>
                </c:pt>
                <c:pt idx="10">
                  <c:v>2357</c:v>
                </c:pt>
                <c:pt idx="12">
                  <c:v>5573</c:v>
                </c:pt>
                <c:pt idx="13">
                  <c:v>3837</c:v>
                </c:pt>
                <c:pt idx="14">
                  <c:v>43144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0-44AA-B06E-099BC860BA46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3263</c:v>
                </c:pt>
                <c:pt idx="3">
                  <c:v>3334</c:v>
                </c:pt>
                <c:pt idx="4">
                  <c:v>2801</c:v>
                </c:pt>
                <c:pt idx="5">
                  <c:v>1250</c:v>
                </c:pt>
                <c:pt idx="6">
                  <c:v>3809</c:v>
                </c:pt>
                <c:pt idx="7">
                  <c:v>1136</c:v>
                </c:pt>
                <c:pt idx="8">
                  <c:v>399</c:v>
                </c:pt>
                <c:pt idx="9">
                  <c:v>1670</c:v>
                </c:pt>
                <c:pt idx="10">
                  <c:v>2357</c:v>
                </c:pt>
                <c:pt idx="11">
                  <c:v>2173</c:v>
                </c:pt>
                <c:pt idx="12">
                  <c:v>5573</c:v>
                </c:pt>
                <c:pt idx="13">
                  <c:v>3837</c:v>
                </c:pt>
                <c:pt idx="14">
                  <c:v>43144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0-44AA-B06E-099BC860B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75%</c:v>
                </c:pt>
                <c:pt idx="4">
                  <c:v>25%</c:v>
                </c:pt>
                <c:pt idx="5">
                  <c:v>0%</c:v>
                </c:pt>
                <c:pt idx="6">
                  <c:v>79%</c:v>
                </c:pt>
                <c:pt idx="7">
                  <c:v>38%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100%</c:v>
                </c:pt>
                <c:pt idx="13">
                  <c:v>88%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0.58351210542445608</c:v>
                </c:pt>
                <c:pt idx="3">
                  <c:v>0.75</c:v>
                </c:pt>
                <c:pt idx="4">
                  <c:v>0.25</c:v>
                </c:pt>
                <c:pt idx="5">
                  <c:v>0</c:v>
                </c:pt>
                <c:pt idx="6">
                  <c:v>0.79166666666666663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1</c:v>
                </c:pt>
                <c:pt idx="13">
                  <c:v>0.875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8-4EFC-B481-BAB799366B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D8-4EFC-B481-BAB799366B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0.38612302925051922</c:v>
                </c:pt>
                <c:pt idx="1">
                  <c:v>0.38612302925051922</c:v>
                </c:pt>
                <c:pt idx="2">
                  <c:v>0.38612302925051922</c:v>
                </c:pt>
                <c:pt idx="3">
                  <c:v>0.38612302925051922</c:v>
                </c:pt>
                <c:pt idx="4">
                  <c:v>0.38612302925051922</c:v>
                </c:pt>
                <c:pt idx="5">
                  <c:v>0.38612302925051922</c:v>
                </c:pt>
                <c:pt idx="6">
                  <c:v>0.38612302925051922</c:v>
                </c:pt>
                <c:pt idx="7">
                  <c:v>0.38612302925051922</c:v>
                </c:pt>
                <c:pt idx="8">
                  <c:v>0.38612302925051922</c:v>
                </c:pt>
                <c:pt idx="9">
                  <c:v>0.38612302925051922</c:v>
                </c:pt>
                <c:pt idx="10">
                  <c:v>0.38612302925051922</c:v>
                </c:pt>
                <c:pt idx="11">
                  <c:v>0.38612302925051922</c:v>
                </c:pt>
                <c:pt idx="12">
                  <c:v>0.38612302925051922</c:v>
                </c:pt>
                <c:pt idx="13">
                  <c:v>0.38612302925051922</c:v>
                </c:pt>
                <c:pt idx="14">
                  <c:v>0.38612302925051922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D8-4EFC-B481-BAB79936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3264</c:v>
                </c:pt>
                <c:pt idx="3">
                  <c:v>3334</c:v>
                </c:pt>
                <c:pt idx="4">
                  <c:v>2801</c:v>
                </c:pt>
                <c:pt idx="6">
                  <c:v>3809</c:v>
                </c:pt>
                <c:pt idx="7">
                  <c:v>1136</c:v>
                </c:pt>
                <c:pt idx="10">
                  <c:v>2357</c:v>
                </c:pt>
                <c:pt idx="12">
                  <c:v>5573</c:v>
                </c:pt>
                <c:pt idx="13">
                  <c:v>3837</c:v>
                </c:pt>
                <c:pt idx="14">
                  <c:v>43144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A-46D9-931A-DBA9030D7492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3263</c:v>
                </c:pt>
                <c:pt idx="3">
                  <c:v>3334</c:v>
                </c:pt>
                <c:pt idx="4">
                  <c:v>2801</c:v>
                </c:pt>
                <c:pt idx="5">
                  <c:v>1250</c:v>
                </c:pt>
                <c:pt idx="6">
                  <c:v>3809</c:v>
                </c:pt>
                <c:pt idx="7">
                  <c:v>1136</c:v>
                </c:pt>
                <c:pt idx="8">
                  <c:v>399</c:v>
                </c:pt>
                <c:pt idx="9">
                  <c:v>1670</c:v>
                </c:pt>
                <c:pt idx="10">
                  <c:v>2357</c:v>
                </c:pt>
                <c:pt idx="11">
                  <c:v>2173</c:v>
                </c:pt>
                <c:pt idx="12">
                  <c:v>5573</c:v>
                </c:pt>
                <c:pt idx="13">
                  <c:v>3837</c:v>
                </c:pt>
                <c:pt idx="14">
                  <c:v>43144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A-46D9-931A-DBA9030D7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75%</c:v>
                </c:pt>
                <c:pt idx="4">
                  <c:v>25%</c:v>
                </c:pt>
                <c:pt idx="5">
                  <c:v>0%</c:v>
                </c:pt>
                <c:pt idx="6">
                  <c:v>79%</c:v>
                </c:pt>
                <c:pt idx="7">
                  <c:v>38%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100%</c:v>
                </c:pt>
                <c:pt idx="13">
                  <c:v>88%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0.58351210542445608</c:v>
                </c:pt>
                <c:pt idx="3">
                  <c:v>0.75</c:v>
                </c:pt>
                <c:pt idx="4">
                  <c:v>0.25</c:v>
                </c:pt>
                <c:pt idx="5">
                  <c:v>0</c:v>
                </c:pt>
                <c:pt idx="6">
                  <c:v>0.79166666666666663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1</c:v>
                </c:pt>
                <c:pt idx="13">
                  <c:v>0.875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1-4179-AEF7-B3E0A496C1F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E1-4179-AEF7-B3E0A496C1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0.38612302925051922</c:v>
                </c:pt>
                <c:pt idx="1">
                  <c:v>0.38612302925051922</c:v>
                </c:pt>
                <c:pt idx="2">
                  <c:v>0.38612302925051922</c:v>
                </c:pt>
                <c:pt idx="3">
                  <c:v>0.38612302925051922</c:v>
                </c:pt>
                <c:pt idx="4">
                  <c:v>0.38612302925051922</c:v>
                </c:pt>
                <c:pt idx="5">
                  <c:v>0.38612302925051922</c:v>
                </c:pt>
                <c:pt idx="6">
                  <c:v>0.38612302925051922</c:v>
                </c:pt>
                <c:pt idx="7">
                  <c:v>0.38612302925051922</c:v>
                </c:pt>
                <c:pt idx="8">
                  <c:v>0.38612302925051922</c:v>
                </c:pt>
                <c:pt idx="9">
                  <c:v>0.38612302925051922</c:v>
                </c:pt>
                <c:pt idx="10">
                  <c:v>0.38612302925051922</c:v>
                </c:pt>
                <c:pt idx="11">
                  <c:v>0.38612302925051922</c:v>
                </c:pt>
                <c:pt idx="12">
                  <c:v>0.38612302925051922</c:v>
                </c:pt>
                <c:pt idx="13">
                  <c:v>0.38612302925051922</c:v>
                </c:pt>
                <c:pt idx="14">
                  <c:v>0.38612302925051922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1-4179-AEF7-B3E0A496C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CB3-4107-BA99-E5130DECF8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3-4107-BA99-E5130DEC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B3-4107-BA99-E5130DECF8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B3-4107-BA99-E5130DEC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5251</c:v>
                </c:pt>
                <c:pt idx="3">
                  <c:v>3355</c:v>
                </c:pt>
                <c:pt idx="4">
                  <c:v>4378</c:v>
                </c:pt>
                <c:pt idx="6">
                  <c:v>4479</c:v>
                </c:pt>
                <c:pt idx="10">
                  <c:v>5213</c:v>
                </c:pt>
                <c:pt idx="12">
                  <c:v>5232</c:v>
                </c:pt>
                <c:pt idx="14">
                  <c:v>43480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0-4CDD-A045-7F9CF39C623C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5251</c:v>
                </c:pt>
                <c:pt idx="3">
                  <c:v>3355</c:v>
                </c:pt>
                <c:pt idx="4">
                  <c:v>2801</c:v>
                </c:pt>
                <c:pt idx="5">
                  <c:v>1250</c:v>
                </c:pt>
                <c:pt idx="6">
                  <c:v>4479</c:v>
                </c:pt>
                <c:pt idx="7">
                  <c:v>1136</c:v>
                </c:pt>
                <c:pt idx="8">
                  <c:v>399</c:v>
                </c:pt>
                <c:pt idx="9">
                  <c:v>1670</c:v>
                </c:pt>
                <c:pt idx="10">
                  <c:v>5213</c:v>
                </c:pt>
                <c:pt idx="11">
                  <c:v>2173</c:v>
                </c:pt>
                <c:pt idx="12">
                  <c:v>5232</c:v>
                </c:pt>
                <c:pt idx="13">
                  <c:v>3837</c:v>
                </c:pt>
                <c:pt idx="14">
                  <c:v>43480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0-4CDD-A045-7F9CF39C6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85%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0.84663215518267276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9-4B5F-BD39-2FF20E82F99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69-4B5F-BD39-2FF20E82F9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0.40088658812328926</c:v>
                </c:pt>
                <c:pt idx="1">
                  <c:v>0.40088658812328926</c:v>
                </c:pt>
                <c:pt idx="2">
                  <c:v>0.40088658812328926</c:v>
                </c:pt>
                <c:pt idx="3">
                  <c:v>0.40088658812328926</c:v>
                </c:pt>
                <c:pt idx="4">
                  <c:v>0.40088658812328926</c:v>
                </c:pt>
                <c:pt idx="5">
                  <c:v>0.40088658812328926</c:v>
                </c:pt>
                <c:pt idx="6">
                  <c:v>0.40088658812328926</c:v>
                </c:pt>
                <c:pt idx="7">
                  <c:v>0.40088658812328926</c:v>
                </c:pt>
                <c:pt idx="8">
                  <c:v>0.40088658812328926</c:v>
                </c:pt>
                <c:pt idx="9">
                  <c:v>0.40088658812328926</c:v>
                </c:pt>
                <c:pt idx="10">
                  <c:v>0.40088658812328926</c:v>
                </c:pt>
                <c:pt idx="11">
                  <c:v>0.40088658812328926</c:v>
                </c:pt>
                <c:pt idx="12">
                  <c:v>0.40088658812328926</c:v>
                </c:pt>
                <c:pt idx="13">
                  <c:v>0.40088658812328926</c:v>
                </c:pt>
                <c:pt idx="14">
                  <c:v>0.40088658812328926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69-4B5F-BD39-2FF20E82F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5251</c:v>
                </c:pt>
                <c:pt idx="3">
                  <c:v>3355</c:v>
                </c:pt>
                <c:pt idx="4">
                  <c:v>4378</c:v>
                </c:pt>
                <c:pt idx="6">
                  <c:v>4479</c:v>
                </c:pt>
                <c:pt idx="10">
                  <c:v>5213</c:v>
                </c:pt>
                <c:pt idx="12">
                  <c:v>5232</c:v>
                </c:pt>
                <c:pt idx="14">
                  <c:v>43480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6-44EC-90B2-88E5158A1540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5251</c:v>
                </c:pt>
                <c:pt idx="3">
                  <c:v>3355</c:v>
                </c:pt>
                <c:pt idx="4">
                  <c:v>2801</c:v>
                </c:pt>
                <c:pt idx="5">
                  <c:v>1250</c:v>
                </c:pt>
                <c:pt idx="6">
                  <c:v>4479</c:v>
                </c:pt>
                <c:pt idx="7">
                  <c:v>1136</c:v>
                </c:pt>
                <c:pt idx="8">
                  <c:v>399</c:v>
                </c:pt>
                <c:pt idx="9">
                  <c:v>1670</c:v>
                </c:pt>
                <c:pt idx="10">
                  <c:v>5213</c:v>
                </c:pt>
                <c:pt idx="11">
                  <c:v>2173</c:v>
                </c:pt>
                <c:pt idx="12">
                  <c:v>5232</c:v>
                </c:pt>
                <c:pt idx="13">
                  <c:v>3837</c:v>
                </c:pt>
                <c:pt idx="14">
                  <c:v>43480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86-44EC-90B2-88E5158A1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85%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0.84663215518267276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B-4288-BEAB-A2130C5506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3B-4288-BEAB-A2130C5506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BASE</c:v>
                </c:pt>
                <c:pt idx="9">
                  <c:v>BASE/UNDER</c:v>
                </c:pt>
                <c:pt idx="10">
                  <c:v>COVER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0.40088658812328926</c:v>
                </c:pt>
                <c:pt idx="1">
                  <c:v>0.40088658812328926</c:v>
                </c:pt>
                <c:pt idx="2">
                  <c:v>0.40088658812328926</c:v>
                </c:pt>
                <c:pt idx="3">
                  <c:v>0.40088658812328926</c:v>
                </c:pt>
                <c:pt idx="4">
                  <c:v>0.40088658812328926</c:v>
                </c:pt>
                <c:pt idx="5">
                  <c:v>0.40088658812328926</c:v>
                </c:pt>
                <c:pt idx="6">
                  <c:v>0.40088658812328926</c:v>
                </c:pt>
                <c:pt idx="7">
                  <c:v>0.40088658812328926</c:v>
                </c:pt>
                <c:pt idx="8">
                  <c:v>0.40088658812328926</c:v>
                </c:pt>
                <c:pt idx="9">
                  <c:v>0.40088658812328926</c:v>
                </c:pt>
                <c:pt idx="10">
                  <c:v>0.40088658812328926</c:v>
                </c:pt>
                <c:pt idx="11">
                  <c:v>0.40088658812328926</c:v>
                </c:pt>
                <c:pt idx="12">
                  <c:v>0.40088658812328926</c:v>
                </c:pt>
                <c:pt idx="13">
                  <c:v>0.40088658812328926</c:v>
                </c:pt>
                <c:pt idx="14">
                  <c:v>0.40088658812328926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B-4288-BEAB-A2130C550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D2C-4A2F-B700-AF76FC01BD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C-4A2F-B700-AF76FC01B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2C-4A2F-B700-AF76FC01BD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2C-4A2F-B700-AF76FC01B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2">
                  <c:v>5511</c:v>
                </c:pt>
                <c:pt idx="3">
                  <c:v>5508</c:v>
                </c:pt>
                <c:pt idx="4">
                  <c:v>6093</c:v>
                </c:pt>
                <c:pt idx="6">
                  <c:v>5691</c:v>
                </c:pt>
                <c:pt idx="7">
                  <c:v>569</c:v>
                </c:pt>
                <c:pt idx="9">
                  <c:v>2256</c:v>
                </c:pt>
                <c:pt idx="10">
                  <c:v>2153</c:v>
                </c:pt>
                <c:pt idx="11">
                  <c:v>5517</c:v>
                </c:pt>
                <c:pt idx="13">
                  <c:v>4244</c:v>
                </c:pt>
                <c:pt idx="14">
                  <c:v>3645</c:v>
                </c:pt>
                <c:pt idx="15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B-49A2-B6AF-3AF79AC88F02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5511</c:v>
                </c:pt>
                <c:pt idx="3">
                  <c:v>5508</c:v>
                </c:pt>
                <c:pt idx="4">
                  <c:v>6093</c:v>
                </c:pt>
                <c:pt idx="5">
                  <c:v>1250</c:v>
                </c:pt>
                <c:pt idx="6">
                  <c:v>5691</c:v>
                </c:pt>
                <c:pt idx="7">
                  <c:v>569</c:v>
                </c:pt>
                <c:pt idx="8">
                  <c:v>399</c:v>
                </c:pt>
                <c:pt idx="9">
                  <c:v>2256</c:v>
                </c:pt>
                <c:pt idx="10">
                  <c:v>2153</c:v>
                </c:pt>
                <c:pt idx="11">
                  <c:v>5517</c:v>
                </c:pt>
                <c:pt idx="12">
                  <c:v>2173</c:v>
                </c:pt>
                <c:pt idx="13">
                  <c:v>4244</c:v>
                </c:pt>
                <c:pt idx="14">
                  <c:v>3645</c:v>
                </c:pt>
                <c:pt idx="15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4B-49A2-B6AF-3AF79AC88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17%</c:v>
                </c:pt>
                <c:pt idx="8">
                  <c:v>0%</c:v>
                </c:pt>
                <c:pt idx="9">
                  <c:v>42%</c:v>
                </c:pt>
                <c:pt idx="10">
                  <c:v>42%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79%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0.16666666666666666</c:v>
                </c:pt>
                <c:pt idx="8">
                  <c:v>0</c:v>
                </c:pt>
                <c:pt idx="9">
                  <c:v>0.41666666666666669</c:v>
                </c:pt>
                <c:pt idx="10">
                  <c:v>0.41666666666666669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D-4EBD-B226-A682BEF874E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1D-4EBD-B226-A682BEF874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0.5361111111111112</c:v>
                </c:pt>
                <c:pt idx="1">
                  <c:v>0.5361111111111112</c:v>
                </c:pt>
                <c:pt idx="2">
                  <c:v>0.5361111111111112</c:v>
                </c:pt>
                <c:pt idx="3">
                  <c:v>0.5361111111111112</c:v>
                </c:pt>
                <c:pt idx="4">
                  <c:v>0.5361111111111112</c:v>
                </c:pt>
                <c:pt idx="5">
                  <c:v>0.5361111111111112</c:v>
                </c:pt>
                <c:pt idx="6">
                  <c:v>0.5361111111111112</c:v>
                </c:pt>
                <c:pt idx="7">
                  <c:v>0.5361111111111112</c:v>
                </c:pt>
                <c:pt idx="8">
                  <c:v>0.5361111111111112</c:v>
                </c:pt>
                <c:pt idx="9">
                  <c:v>0.5361111111111112</c:v>
                </c:pt>
                <c:pt idx="10">
                  <c:v>0.5361111111111112</c:v>
                </c:pt>
                <c:pt idx="11">
                  <c:v>0.5361111111111112</c:v>
                </c:pt>
                <c:pt idx="12">
                  <c:v>0.5361111111111112</c:v>
                </c:pt>
                <c:pt idx="13">
                  <c:v>0.5361111111111112</c:v>
                </c:pt>
                <c:pt idx="14">
                  <c:v>0.5361111111111112</c:v>
                </c:pt>
                <c:pt idx="15">
                  <c:v>0.5361111111111112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D-4EBD-B226-A682BEF8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2">
                  <c:v>5511</c:v>
                </c:pt>
                <c:pt idx="3">
                  <c:v>5508</c:v>
                </c:pt>
                <c:pt idx="4">
                  <c:v>6093</c:v>
                </c:pt>
                <c:pt idx="6">
                  <c:v>5691</c:v>
                </c:pt>
                <c:pt idx="7">
                  <c:v>569</c:v>
                </c:pt>
                <c:pt idx="9">
                  <c:v>2256</c:v>
                </c:pt>
                <c:pt idx="10">
                  <c:v>2153</c:v>
                </c:pt>
                <c:pt idx="11">
                  <c:v>5517</c:v>
                </c:pt>
                <c:pt idx="13">
                  <c:v>4244</c:v>
                </c:pt>
                <c:pt idx="14">
                  <c:v>3645</c:v>
                </c:pt>
                <c:pt idx="15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9-43B2-8C24-B71A213B93D5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5511</c:v>
                </c:pt>
                <c:pt idx="3">
                  <c:v>5508</c:v>
                </c:pt>
                <c:pt idx="4">
                  <c:v>6093</c:v>
                </c:pt>
                <c:pt idx="5">
                  <c:v>1250</c:v>
                </c:pt>
                <c:pt idx="6">
                  <c:v>5691</c:v>
                </c:pt>
                <c:pt idx="7">
                  <c:v>569</c:v>
                </c:pt>
                <c:pt idx="8">
                  <c:v>399</c:v>
                </c:pt>
                <c:pt idx="9">
                  <c:v>2256</c:v>
                </c:pt>
                <c:pt idx="10">
                  <c:v>2153</c:v>
                </c:pt>
                <c:pt idx="11">
                  <c:v>5517</c:v>
                </c:pt>
                <c:pt idx="12">
                  <c:v>2173</c:v>
                </c:pt>
                <c:pt idx="13">
                  <c:v>4244</c:v>
                </c:pt>
                <c:pt idx="14">
                  <c:v>3645</c:v>
                </c:pt>
                <c:pt idx="15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9-43B2-8C24-B71A213B9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17%</c:v>
                </c:pt>
                <c:pt idx="8">
                  <c:v>0%</c:v>
                </c:pt>
                <c:pt idx="9">
                  <c:v>42%</c:v>
                </c:pt>
                <c:pt idx="10">
                  <c:v>42%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79%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0.16666666666666666</c:v>
                </c:pt>
                <c:pt idx="8">
                  <c:v>0</c:v>
                </c:pt>
                <c:pt idx="9">
                  <c:v>0.41666666666666669</c:v>
                </c:pt>
                <c:pt idx="10">
                  <c:v>0.41666666666666669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C-4E30-84F2-AC3A5AA5CCA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9C-4E30-84F2-AC3A5AA5CC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0.5361111111111112</c:v>
                </c:pt>
                <c:pt idx="1">
                  <c:v>0.5361111111111112</c:v>
                </c:pt>
                <c:pt idx="2">
                  <c:v>0.5361111111111112</c:v>
                </c:pt>
                <c:pt idx="3">
                  <c:v>0.5361111111111112</c:v>
                </c:pt>
                <c:pt idx="4">
                  <c:v>0.5361111111111112</c:v>
                </c:pt>
                <c:pt idx="5">
                  <c:v>0.5361111111111112</c:v>
                </c:pt>
                <c:pt idx="6">
                  <c:v>0.5361111111111112</c:v>
                </c:pt>
                <c:pt idx="7">
                  <c:v>0.5361111111111112</c:v>
                </c:pt>
                <c:pt idx="8">
                  <c:v>0.5361111111111112</c:v>
                </c:pt>
                <c:pt idx="9">
                  <c:v>0.5361111111111112</c:v>
                </c:pt>
                <c:pt idx="10">
                  <c:v>0.5361111111111112</c:v>
                </c:pt>
                <c:pt idx="11">
                  <c:v>0.5361111111111112</c:v>
                </c:pt>
                <c:pt idx="12">
                  <c:v>0.5361111111111112</c:v>
                </c:pt>
                <c:pt idx="13">
                  <c:v>0.5361111111111112</c:v>
                </c:pt>
                <c:pt idx="14">
                  <c:v>0.5361111111111112</c:v>
                </c:pt>
                <c:pt idx="15">
                  <c:v>0.5361111111111112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9C-4E30-84F2-AC3A5AA5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112-41C5-8F69-2A3F7D51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2-41C5-8F69-2A3F7D51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12-41C5-8F69-2A3F7D51A5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12-41C5-8F69-2A3F7D51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2">
                  <c:v>5242</c:v>
                </c:pt>
                <c:pt idx="6">
                  <c:v>802</c:v>
                </c:pt>
                <c:pt idx="7">
                  <c:v>571</c:v>
                </c:pt>
                <c:pt idx="9">
                  <c:v>706</c:v>
                </c:pt>
                <c:pt idx="10">
                  <c:v>5420</c:v>
                </c:pt>
                <c:pt idx="12">
                  <c:v>840</c:v>
                </c:pt>
                <c:pt idx="13">
                  <c:v>3725</c:v>
                </c:pt>
                <c:pt idx="14">
                  <c:v>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0-4D40-A8CE-9321AE6F392C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5242</c:v>
                </c:pt>
                <c:pt idx="3">
                  <c:v>5508</c:v>
                </c:pt>
                <c:pt idx="4">
                  <c:v>6093</c:v>
                </c:pt>
                <c:pt idx="5">
                  <c:v>1250</c:v>
                </c:pt>
                <c:pt idx="6">
                  <c:v>802</c:v>
                </c:pt>
                <c:pt idx="7">
                  <c:v>571</c:v>
                </c:pt>
                <c:pt idx="8">
                  <c:v>399</c:v>
                </c:pt>
                <c:pt idx="9">
                  <c:v>706</c:v>
                </c:pt>
                <c:pt idx="10">
                  <c:v>5420</c:v>
                </c:pt>
                <c:pt idx="11">
                  <c:v>2173</c:v>
                </c:pt>
                <c:pt idx="12">
                  <c:v>840</c:v>
                </c:pt>
                <c:pt idx="13">
                  <c:v>3725</c:v>
                </c:pt>
                <c:pt idx="14">
                  <c:v>4438</c:v>
                </c:pt>
                <c:pt idx="15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0-4D40-A8CE-9321AE6F3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17%</c:v>
                </c:pt>
                <c:pt idx="7">
                  <c:v>46%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0%</c:v>
                </c:pt>
                <c:pt idx="12">
                  <c:v>25%</c:v>
                </c:pt>
                <c:pt idx="13">
                  <c:v>67%</c:v>
                </c:pt>
                <c:pt idx="14">
                  <c:v>88%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0.16666666666666666</c:v>
                </c:pt>
                <c:pt idx="7">
                  <c:v>0.45833333333333331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</c:v>
                </c:pt>
                <c:pt idx="12">
                  <c:v>0.25</c:v>
                </c:pt>
                <c:pt idx="13">
                  <c:v>0.66666666666666663</c:v>
                </c:pt>
                <c:pt idx="14">
                  <c:v>0.875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A-467D-BF48-9A056CCDD9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6A-467D-BF48-9A056CCDD9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0.31111111111111106</c:v>
                </c:pt>
                <c:pt idx="1">
                  <c:v>0.31111111111111106</c:v>
                </c:pt>
                <c:pt idx="2">
                  <c:v>0.31111111111111106</c:v>
                </c:pt>
                <c:pt idx="3">
                  <c:v>0.31111111111111106</c:v>
                </c:pt>
                <c:pt idx="4">
                  <c:v>0.31111111111111106</c:v>
                </c:pt>
                <c:pt idx="5">
                  <c:v>0.31111111111111106</c:v>
                </c:pt>
                <c:pt idx="6">
                  <c:v>0.31111111111111106</c:v>
                </c:pt>
                <c:pt idx="7">
                  <c:v>0.31111111111111106</c:v>
                </c:pt>
                <c:pt idx="8">
                  <c:v>0.31111111111111106</c:v>
                </c:pt>
                <c:pt idx="9">
                  <c:v>0.31111111111111106</c:v>
                </c:pt>
                <c:pt idx="10">
                  <c:v>0.31111111111111106</c:v>
                </c:pt>
                <c:pt idx="11">
                  <c:v>0.31111111111111106</c:v>
                </c:pt>
                <c:pt idx="12">
                  <c:v>0.31111111111111106</c:v>
                </c:pt>
                <c:pt idx="13">
                  <c:v>0.31111111111111106</c:v>
                </c:pt>
                <c:pt idx="14">
                  <c:v>0.31111111111111106</c:v>
                </c:pt>
                <c:pt idx="15">
                  <c:v>0.31111111111111106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6A-467D-BF48-9A056CCDD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2">
                  <c:v>5242</c:v>
                </c:pt>
                <c:pt idx="6">
                  <c:v>802</c:v>
                </c:pt>
                <c:pt idx="7">
                  <c:v>571</c:v>
                </c:pt>
                <c:pt idx="9">
                  <c:v>706</c:v>
                </c:pt>
                <c:pt idx="10">
                  <c:v>5420</c:v>
                </c:pt>
                <c:pt idx="12">
                  <c:v>840</c:v>
                </c:pt>
                <c:pt idx="13">
                  <c:v>3725</c:v>
                </c:pt>
                <c:pt idx="14">
                  <c:v>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7-45F6-80C7-194883C626C6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5242</c:v>
                </c:pt>
                <c:pt idx="3">
                  <c:v>5508</c:v>
                </c:pt>
                <c:pt idx="4">
                  <c:v>6093</c:v>
                </c:pt>
                <c:pt idx="5">
                  <c:v>1250</c:v>
                </c:pt>
                <c:pt idx="6">
                  <c:v>802</c:v>
                </c:pt>
                <c:pt idx="7">
                  <c:v>571</c:v>
                </c:pt>
                <c:pt idx="8">
                  <c:v>399</c:v>
                </c:pt>
                <c:pt idx="9">
                  <c:v>706</c:v>
                </c:pt>
                <c:pt idx="10">
                  <c:v>5420</c:v>
                </c:pt>
                <c:pt idx="11">
                  <c:v>2173</c:v>
                </c:pt>
                <c:pt idx="12">
                  <c:v>840</c:v>
                </c:pt>
                <c:pt idx="13">
                  <c:v>3725</c:v>
                </c:pt>
                <c:pt idx="14">
                  <c:v>4438</c:v>
                </c:pt>
                <c:pt idx="15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7-45F6-80C7-194883C62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17%</c:v>
                </c:pt>
                <c:pt idx="7">
                  <c:v>46%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0%</c:v>
                </c:pt>
                <c:pt idx="12">
                  <c:v>25%</c:v>
                </c:pt>
                <c:pt idx="13">
                  <c:v>67%</c:v>
                </c:pt>
                <c:pt idx="14">
                  <c:v>88%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0.16666666666666666</c:v>
                </c:pt>
                <c:pt idx="7">
                  <c:v>0.45833333333333331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</c:v>
                </c:pt>
                <c:pt idx="12">
                  <c:v>0.25</c:v>
                </c:pt>
                <c:pt idx="13">
                  <c:v>0.66666666666666663</c:v>
                </c:pt>
                <c:pt idx="14">
                  <c:v>0.875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0-4E98-A2F7-CD9D3B5C12C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A0-4E98-A2F7-CD9D3B5C12C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0.31111111111111106</c:v>
                </c:pt>
                <c:pt idx="1">
                  <c:v>0.31111111111111106</c:v>
                </c:pt>
                <c:pt idx="2">
                  <c:v>0.31111111111111106</c:v>
                </c:pt>
                <c:pt idx="3">
                  <c:v>0.31111111111111106</c:v>
                </c:pt>
                <c:pt idx="4">
                  <c:v>0.31111111111111106</c:v>
                </c:pt>
                <c:pt idx="5">
                  <c:v>0.31111111111111106</c:v>
                </c:pt>
                <c:pt idx="6">
                  <c:v>0.31111111111111106</c:v>
                </c:pt>
                <c:pt idx="7">
                  <c:v>0.31111111111111106</c:v>
                </c:pt>
                <c:pt idx="8">
                  <c:v>0.31111111111111106</c:v>
                </c:pt>
                <c:pt idx="9">
                  <c:v>0.31111111111111106</c:v>
                </c:pt>
                <c:pt idx="10">
                  <c:v>0.31111111111111106</c:v>
                </c:pt>
                <c:pt idx="11">
                  <c:v>0.31111111111111106</c:v>
                </c:pt>
                <c:pt idx="12">
                  <c:v>0.31111111111111106</c:v>
                </c:pt>
                <c:pt idx="13">
                  <c:v>0.31111111111111106</c:v>
                </c:pt>
                <c:pt idx="14">
                  <c:v>0.31111111111111106</c:v>
                </c:pt>
                <c:pt idx="15">
                  <c:v>0.31111111111111106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A0-4E98-A2F7-CD9D3B5C1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BBE-4AFF-9D96-398AAFE473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BE-4AFF-9D96-398AAFE4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BE-4AFF-9D96-398AAFE473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BE-4AFF-9D96-398AAFE4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2">
                  <c:v>3695</c:v>
                </c:pt>
                <c:pt idx="3">
                  <c:v>204</c:v>
                </c:pt>
                <c:pt idx="4">
                  <c:v>1067</c:v>
                </c:pt>
                <c:pt idx="6">
                  <c:v>4550</c:v>
                </c:pt>
                <c:pt idx="7">
                  <c:v>2489</c:v>
                </c:pt>
                <c:pt idx="8">
                  <c:v>542</c:v>
                </c:pt>
                <c:pt idx="9">
                  <c:v>623</c:v>
                </c:pt>
                <c:pt idx="10">
                  <c:v>272</c:v>
                </c:pt>
                <c:pt idx="12">
                  <c:v>5503</c:v>
                </c:pt>
                <c:pt idx="14">
                  <c:v>5801</c:v>
                </c:pt>
                <c:pt idx="15">
                  <c:v>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1-4877-AEC8-5C8FA98932E6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3695</c:v>
                </c:pt>
                <c:pt idx="3">
                  <c:v>204</c:v>
                </c:pt>
                <c:pt idx="4">
                  <c:v>1067</c:v>
                </c:pt>
                <c:pt idx="5">
                  <c:v>6093</c:v>
                </c:pt>
                <c:pt idx="6">
                  <c:v>4550</c:v>
                </c:pt>
                <c:pt idx="7">
                  <c:v>2489</c:v>
                </c:pt>
                <c:pt idx="8">
                  <c:v>542</c:v>
                </c:pt>
                <c:pt idx="9">
                  <c:v>623</c:v>
                </c:pt>
                <c:pt idx="10">
                  <c:v>272</c:v>
                </c:pt>
                <c:pt idx="11">
                  <c:v>706</c:v>
                </c:pt>
                <c:pt idx="12">
                  <c:v>5503</c:v>
                </c:pt>
                <c:pt idx="13">
                  <c:v>2173</c:v>
                </c:pt>
                <c:pt idx="14">
                  <c:v>5801</c:v>
                </c:pt>
                <c:pt idx="15">
                  <c:v>4533</c:v>
                </c:pt>
                <c:pt idx="16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1-4877-AEC8-5C8FA9893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17%</c:v>
                </c:pt>
                <c:pt idx="4">
                  <c:v>25%</c:v>
                </c:pt>
                <c:pt idx="5">
                  <c:v>0%</c:v>
                </c:pt>
                <c:pt idx="6">
                  <c:v>88%</c:v>
                </c:pt>
                <c:pt idx="7">
                  <c:v>54%</c:v>
                </c:pt>
                <c:pt idx="8">
                  <c:v>17%</c:v>
                </c:pt>
                <c:pt idx="9">
                  <c:v>17%</c:v>
                </c:pt>
                <c:pt idx="10">
                  <c:v>21%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0.16666666666666666</c:v>
                </c:pt>
                <c:pt idx="4">
                  <c:v>0.25</c:v>
                </c:pt>
                <c:pt idx="5">
                  <c:v>0</c:v>
                </c:pt>
                <c:pt idx="6">
                  <c:v>0.875</c:v>
                </c:pt>
                <c:pt idx="7">
                  <c:v>0.54166666666666663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0.20833333333333334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9-402B-BC55-15DA59EFF92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C9-402B-BC55-15DA59EFF92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0.40555555555555556</c:v>
                </c:pt>
                <c:pt idx="1">
                  <c:v>0.40555555555555556</c:v>
                </c:pt>
                <c:pt idx="2">
                  <c:v>0.40555555555555556</c:v>
                </c:pt>
                <c:pt idx="3">
                  <c:v>0.40555555555555556</c:v>
                </c:pt>
                <c:pt idx="4">
                  <c:v>0.40555555555555556</c:v>
                </c:pt>
                <c:pt idx="5">
                  <c:v>0.40555555555555556</c:v>
                </c:pt>
                <c:pt idx="6">
                  <c:v>0.40555555555555556</c:v>
                </c:pt>
                <c:pt idx="7">
                  <c:v>0.40555555555555556</c:v>
                </c:pt>
                <c:pt idx="8">
                  <c:v>0.40555555555555556</c:v>
                </c:pt>
                <c:pt idx="9">
                  <c:v>0.40555555555555556</c:v>
                </c:pt>
                <c:pt idx="10">
                  <c:v>0.40555555555555556</c:v>
                </c:pt>
                <c:pt idx="11">
                  <c:v>0.40555555555555556</c:v>
                </c:pt>
                <c:pt idx="12">
                  <c:v>0.40555555555555556</c:v>
                </c:pt>
                <c:pt idx="13">
                  <c:v>0.40555555555555556</c:v>
                </c:pt>
                <c:pt idx="14">
                  <c:v>0.40555555555555556</c:v>
                </c:pt>
                <c:pt idx="15">
                  <c:v>0.40555555555555556</c:v>
                </c:pt>
                <c:pt idx="16">
                  <c:v>0.40555555555555556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C9-402B-BC55-15DA59EFF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2">
                  <c:v>3695</c:v>
                </c:pt>
                <c:pt idx="3">
                  <c:v>204</c:v>
                </c:pt>
                <c:pt idx="4">
                  <c:v>1067</c:v>
                </c:pt>
                <c:pt idx="6">
                  <c:v>4550</c:v>
                </c:pt>
                <c:pt idx="7">
                  <c:v>2489</c:v>
                </c:pt>
                <c:pt idx="8">
                  <c:v>542</c:v>
                </c:pt>
                <c:pt idx="9">
                  <c:v>623</c:v>
                </c:pt>
                <c:pt idx="10">
                  <c:v>272</c:v>
                </c:pt>
                <c:pt idx="12">
                  <c:v>5503</c:v>
                </c:pt>
                <c:pt idx="14">
                  <c:v>5801</c:v>
                </c:pt>
                <c:pt idx="15">
                  <c:v>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B-484F-B185-03F1B07F8321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3695</c:v>
                </c:pt>
                <c:pt idx="3">
                  <c:v>204</c:v>
                </c:pt>
                <c:pt idx="4">
                  <c:v>1067</c:v>
                </c:pt>
                <c:pt idx="5">
                  <c:v>6093</c:v>
                </c:pt>
                <c:pt idx="6">
                  <c:v>4550</c:v>
                </c:pt>
                <c:pt idx="7">
                  <c:v>2489</c:v>
                </c:pt>
                <c:pt idx="8">
                  <c:v>542</c:v>
                </c:pt>
                <c:pt idx="9">
                  <c:v>623</c:v>
                </c:pt>
                <c:pt idx="10">
                  <c:v>272</c:v>
                </c:pt>
                <c:pt idx="11">
                  <c:v>706</c:v>
                </c:pt>
                <c:pt idx="12">
                  <c:v>5503</c:v>
                </c:pt>
                <c:pt idx="13">
                  <c:v>2173</c:v>
                </c:pt>
                <c:pt idx="14">
                  <c:v>5801</c:v>
                </c:pt>
                <c:pt idx="15">
                  <c:v>4533</c:v>
                </c:pt>
                <c:pt idx="16">
                  <c:v>28984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B-484F-B185-03F1B07F8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17%</c:v>
                </c:pt>
                <c:pt idx="4">
                  <c:v>25%</c:v>
                </c:pt>
                <c:pt idx="5">
                  <c:v>0%</c:v>
                </c:pt>
                <c:pt idx="6">
                  <c:v>88%</c:v>
                </c:pt>
                <c:pt idx="7">
                  <c:v>54%</c:v>
                </c:pt>
                <c:pt idx="8">
                  <c:v>17%</c:v>
                </c:pt>
                <c:pt idx="9">
                  <c:v>17%</c:v>
                </c:pt>
                <c:pt idx="10">
                  <c:v>21%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0.16666666666666666</c:v>
                </c:pt>
                <c:pt idx="4">
                  <c:v>0.25</c:v>
                </c:pt>
                <c:pt idx="5">
                  <c:v>0</c:v>
                </c:pt>
                <c:pt idx="6">
                  <c:v>0.875</c:v>
                </c:pt>
                <c:pt idx="7">
                  <c:v>0.54166666666666663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0.20833333333333334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D4-407A-8ACD-0DDFCFD3ACD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D4-407A-8ACD-0DDFCFD3AC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PLUNGER</c:v>
                </c:pt>
                <c:pt idx="5">
                  <c:v>SEPARATOR</c:v>
                </c:pt>
                <c:pt idx="6">
                  <c:v>ACTUATOR</c:v>
                </c:pt>
                <c:pt idx="7">
                  <c:v>SPACER A/B</c:v>
                </c:pt>
                <c:pt idx="8">
                  <c:v>COVER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0.40555555555555556</c:v>
                </c:pt>
                <c:pt idx="1">
                  <c:v>0.40555555555555556</c:v>
                </c:pt>
                <c:pt idx="2">
                  <c:v>0.40555555555555556</c:v>
                </c:pt>
                <c:pt idx="3">
                  <c:v>0.40555555555555556</c:v>
                </c:pt>
                <c:pt idx="4">
                  <c:v>0.40555555555555556</c:v>
                </c:pt>
                <c:pt idx="5">
                  <c:v>0.40555555555555556</c:v>
                </c:pt>
                <c:pt idx="6">
                  <c:v>0.40555555555555556</c:v>
                </c:pt>
                <c:pt idx="7">
                  <c:v>0.40555555555555556</c:v>
                </c:pt>
                <c:pt idx="8">
                  <c:v>0.40555555555555556</c:v>
                </c:pt>
                <c:pt idx="9">
                  <c:v>0.40555555555555556</c:v>
                </c:pt>
                <c:pt idx="10">
                  <c:v>0.40555555555555556</c:v>
                </c:pt>
                <c:pt idx="11">
                  <c:v>0.40555555555555556</c:v>
                </c:pt>
                <c:pt idx="12">
                  <c:v>0.40555555555555556</c:v>
                </c:pt>
                <c:pt idx="13">
                  <c:v>0.40555555555555556</c:v>
                </c:pt>
                <c:pt idx="14">
                  <c:v>0.40555555555555556</c:v>
                </c:pt>
                <c:pt idx="15">
                  <c:v>0.40555555555555556</c:v>
                </c:pt>
                <c:pt idx="16">
                  <c:v>0.40555555555555556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D4-407A-8ACD-0DDFCFD3A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F29-4DE2-90AA-BEEEB3EE6E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9-4DE2-90AA-BEEEB3EE6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29-4DE2-90AA-BEEEB3EE6E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29-4DE2-90AA-BEEEB3EE6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2">
                  <c:v>4307</c:v>
                </c:pt>
                <c:pt idx="3">
                  <c:v>4399</c:v>
                </c:pt>
                <c:pt idx="5">
                  <c:v>5818</c:v>
                </c:pt>
                <c:pt idx="7">
                  <c:v>672</c:v>
                </c:pt>
                <c:pt idx="8">
                  <c:v>1734</c:v>
                </c:pt>
                <c:pt idx="9">
                  <c:v>327</c:v>
                </c:pt>
                <c:pt idx="10">
                  <c:v>236</c:v>
                </c:pt>
                <c:pt idx="12">
                  <c:v>5457</c:v>
                </c:pt>
                <c:pt idx="14">
                  <c:v>5150</c:v>
                </c:pt>
                <c:pt idx="16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F-4EB1-B6B8-30617EC8279E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4307</c:v>
                </c:pt>
                <c:pt idx="3">
                  <c:v>4399</c:v>
                </c:pt>
                <c:pt idx="4">
                  <c:v>6093</c:v>
                </c:pt>
                <c:pt idx="5">
                  <c:v>5818</c:v>
                </c:pt>
                <c:pt idx="6">
                  <c:v>2489</c:v>
                </c:pt>
                <c:pt idx="7">
                  <c:v>672</c:v>
                </c:pt>
                <c:pt idx="8">
                  <c:v>1734</c:v>
                </c:pt>
                <c:pt idx="9">
                  <c:v>327</c:v>
                </c:pt>
                <c:pt idx="10">
                  <c:v>236</c:v>
                </c:pt>
                <c:pt idx="11">
                  <c:v>706</c:v>
                </c:pt>
                <c:pt idx="12">
                  <c:v>5457</c:v>
                </c:pt>
                <c:pt idx="13">
                  <c:v>2173</c:v>
                </c:pt>
                <c:pt idx="14">
                  <c:v>5150</c:v>
                </c:pt>
                <c:pt idx="15">
                  <c:v>4533</c:v>
                </c:pt>
                <c:pt idx="16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F-4EB1-B6B8-30617EC8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88%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17%</c:v>
                </c:pt>
                <c:pt idx="8">
                  <c:v>25%</c:v>
                </c:pt>
                <c:pt idx="9">
                  <c:v>25%</c:v>
                </c:pt>
                <c:pt idx="10">
                  <c:v>21%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0.875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0.16666666666666666</c:v>
                </c:pt>
                <c:pt idx="8">
                  <c:v>0.25</c:v>
                </c:pt>
                <c:pt idx="9">
                  <c:v>0.25</c:v>
                </c:pt>
                <c:pt idx="10">
                  <c:v>0.20833333333333334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C-452D-8659-A54FF17AC7F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8C-452D-8659-A54FF17AC7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0.40277777777777773</c:v>
                </c:pt>
                <c:pt idx="1">
                  <c:v>0.40277777777777773</c:v>
                </c:pt>
                <c:pt idx="2">
                  <c:v>0.40277777777777773</c:v>
                </c:pt>
                <c:pt idx="3">
                  <c:v>0.40277777777777773</c:v>
                </c:pt>
                <c:pt idx="4">
                  <c:v>0.40277777777777773</c:v>
                </c:pt>
                <c:pt idx="5">
                  <c:v>0.40277777777777773</c:v>
                </c:pt>
                <c:pt idx="6">
                  <c:v>0.40277777777777773</c:v>
                </c:pt>
                <c:pt idx="7">
                  <c:v>0.40277777777777773</c:v>
                </c:pt>
                <c:pt idx="8">
                  <c:v>0.40277777777777773</c:v>
                </c:pt>
                <c:pt idx="9">
                  <c:v>0.40277777777777773</c:v>
                </c:pt>
                <c:pt idx="10">
                  <c:v>0.40277777777777773</c:v>
                </c:pt>
                <c:pt idx="11">
                  <c:v>0.40277777777777773</c:v>
                </c:pt>
                <c:pt idx="12">
                  <c:v>0.40277777777777773</c:v>
                </c:pt>
                <c:pt idx="13">
                  <c:v>0.40277777777777773</c:v>
                </c:pt>
                <c:pt idx="14">
                  <c:v>0.40277777777777773</c:v>
                </c:pt>
                <c:pt idx="15">
                  <c:v>0.40277777777777773</c:v>
                </c:pt>
                <c:pt idx="16">
                  <c:v>0.40277777777777773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8C-452D-8659-A54FF17AC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2">
                  <c:v>4307</c:v>
                </c:pt>
                <c:pt idx="3">
                  <c:v>4399</c:v>
                </c:pt>
                <c:pt idx="5">
                  <c:v>5818</c:v>
                </c:pt>
                <c:pt idx="7">
                  <c:v>672</c:v>
                </c:pt>
                <c:pt idx="8">
                  <c:v>1734</c:v>
                </c:pt>
                <c:pt idx="9">
                  <c:v>327</c:v>
                </c:pt>
                <c:pt idx="10">
                  <c:v>236</c:v>
                </c:pt>
                <c:pt idx="12">
                  <c:v>5457</c:v>
                </c:pt>
                <c:pt idx="14">
                  <c:v>5150</c:v>
                </c:pt>
                <c:pt idx="16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6-497B-B87C-94F21138845F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4307</c:v>
                </c:pt>
                <c:pt idx="3">
                  <c:v>4399</c:v>
                </c:pt>
                <c:pt idx="4">
                  <c:v>6093</c:v>
                </c:pt>
                <c:pt idx="5">
                  <c:v>5818</c:v>
                </c:pt>
                <c:pt idx="6">
                  <c:v>2489</c:v>
                </c:pt>
                <c:pt idx="7">
                  <c:v>672</c:v>
                </c:pt>
                <c:pt idx="8">
                  <c:v>1734</c:v>
                </c:pt>
                <c:pt idx="9">
                  <c:v>327</c:v>
                </c:pt>
                <c:pt idx="10">
                  <c:v>236</c:v>
                </c:pt>
                <c:pt idx="11">
                  <c:v>706</c:v>
                </c:pt>
                <c:pt idx="12">
                  <c:v>5457</c:v>
                </c:pt>
                <c:pt idx="13">
                  <c:v>2173</c:v>
                </c:pt>
                <c:pt idx="14">
                  <c:v>5150</c:v>
                </c:pt>
                <c:pt idx="15">
                  <c:v>4533</c:v>
                </c:pt>
                <c:pt idx="16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6-497B-B87C-94F21138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88%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17%</c:v>
                </c:pt>
                <c:pt idx="8">
                  <c:v>25%</c:v>
                </c:pt>
                <c:pt idx="9">
                  <c:v>25%</c:v>
                </c:pt>
                <c:pt idx="10">
                  <c:v>21%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0.875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0.16666666666666666</c:v>
                </c:pt>
                <c:pt idx="8">
                  <c:v>0.25</c:v>
                </c:pt>
                <c:pt idx="9">
                  <c:v>0.25</c:v>
                </c:pt>
                <c:pt idx="10">
                  <c:v>0.20833333333333334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B-4E91-A1E0-ECBCCB390AD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CB-4E91-A1E0-ECBCCB390AD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SPACER A/B</c:v>
                </c:pt>
                <c:pt idx="7">
                  <c:v>COVER</c:v>
                </c:pt>
                <c:pt idx="8">
                  <c:v>LATCH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0.40277777777777773</c:v>
                </c:pt>
                <c:pt idx="1">
                  <c:v>0.40277777777777773</c:v>
                </c:pt>
                <c:pt idx="2">
                  <c:v>0.40277777777777773</c:v>
                </c:pt>
                <c:pt idx="3">
                  <c:v>0.40277777777777773</c:v>
                </c:pt>
                <c:pt idx="4">
                  <c:v>0.40277777777777773</c:v>
                </c:pt>
                <c:pt idx="5">
                  <c:v>0.40277777777777773</c:v>
                </c:pt>
                <c:pt idx="6">
                  <c:v>0.40277777777777773</c:v>
                </c:pt>
                <c:pt idx="7">
                  <c:v>0.40277777777777773</c:v>
                </c:pt>
                <c:pt idx="8">
                  <c:v>0.40277777777777773</c:v>
                </c:pt>
                <c:pt idx="9">
                  <c:v>0.40277777777777773</c:v>
                </c:pt>
                <c:pt idx="10">
                  <c:v>0.40277777777777773</c:v>
                </c:pt>
                <c:pt idx="11">
                  <c:v>0.40277777777777773</c:v>
                </c:pt>
                <c:pt idx="12">
                  <c:v>0.40277777777777773</c:v>
                </c:pt>
                <c:pt idx="13">
                  <c:v>0.40277777777777773</c:v>
                </c:pt>
                <c:pt idx="14">
                  <c:v>0.40277777777777773</c:v>
                </c:pt>
                <c:pt idx="15">
                  <c:v>0.40277777777777773</c:v>
                </c:pt>
                <c:pt idx="16">
                  <c:v>0.40277777777777773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B-4E91-A1E0-ECBCCB390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BC-40CD-BD77-68E2184E3E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BC-40CD-BD77-68E2184E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BC-40CD-BD77-68E2184E3E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BC-40CD-BD77-68E2184E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3354</c:v>
                </c:pt>
                <c:pt idx="3">
                  <c:v>3307</c:v>
                </c:pt>
                <c:pt idx="4">
                  <c:v>3959</c:v>
                </c:pt>
                <c:pt idx="5">
                  <c:v>542</c:v>
                </c:pt>
                <c:pt idx="6">
                  <c:v>4075</c:v>
                </c:pt>
                <c:pt idx="7">
                  <c:v>5119</c:v>
                </c:pt>
                <c:pt idx="10">
                  <c:v>5438</c:v>
                </c:pt>
                <c:pt idx="12">
                  <c:v>5731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C-4BC2-8675-F5685EE6F476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3354</c:v>
                </c:pt>
                <c:pt idx="3">
                  <c:v>3307</c:v>
                </c:pt>
                <c:pt idx="4">
                  <c:v>3959</c:v>
                </c:pt>
                <c:pt idx="5">
                  <c:v>542</c:v>
                </c:pt>
                <c:pt idx="6">
                  <c:v>4075</c:v>
                </c:pt>
                <c:pt idx="7">
                  <c:v>5119</c:v>
                </c:pt>
                <c:pt idx="8">
                  <c:v>327</c:v>
                </c:pt>
                <c:pt idx="9">
                  <c:v>706</c:v>
                </c:pt>
                <c:pt idx="10">
                  <c:v>5438</c:v>
                </c:pt>
                <c:pt idx="11">
                  <c:v>2173</c:v>
                </c:pt>
                <c:pt idx="12">
                  <c:v>5731</c:v>
                </c:pt>
                <c:pt idx="13">
                  <c:v>4533</c:v>
                </c:pt>
                <c:pt idx="14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C-4BC2-8675-F5685EE6F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71%</c:v>
                </c:pt>
                <c:pt idx="3">
                  <c:v>67%</c:v>
                </c:pt>
                <c:pt idx="4">
                  <c:v>58%</c:v>
                </c:pt>
                <c:pt idx="5">
                  <c:v>17%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0.66666666666666663</c:v>
                </c:pt>
                <c:pt idx="4">
                  <c:v>0.58333333333333337</c:v>
                </c:pt>
                <c:pt idx="5">
                  <c:v>0.16666666666666666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3-427C-B0DC-10E1EC45F9F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73-427C-B0DC-10E1EC45F9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3-427C-B0DC-10E1EC45F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3354</c:v>
                </c:pt>
                <c:pt idx="3">
                  <c:v>3307</c:v>
                </c:pt>
                <c:pt idx="4">
                  <c:v>3959</c:v>
                </c:pt>
                <c:pt idx="5">
                  <c:v>542</c:v>
                </c:pt>
                <c:pt idx="6">
                  <c:v>4075</c:v>
                </c:pt>
                <c:pt idx="7">
                  <c:v>5119</c:v>
                </c:pt>
                <c:pt idx="10">
                  <c:v>5438</c:v>
                </c:pt>
                <c:pt idx="12">
                  <c:v>5731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F-484A-A640-7C01A4AFBBE1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3354</c:v>
                </c:pt>
                <c:pt idx="3">
                  <c:v>3307</c:v>
                </c:pt>
                <c:pt idx="4">
                  <c:v>3959</c:v>
                </c:pt>
                <c:pt idx="5">
                  <c:v>542</c:v>
                </c:pt>
                <c:pt idx="6">
                  <c:v>4075</c:v>
                </c:pt>
                <c:pt idx="7">
                  <c:v>5119</c:v>
                </c:pt>
                <c:pt idx="8">
                  <c:v>327</c:v>
                </c:pt>
                <c:pt idx="9">
                  <c:v>706</c:v>
                </c:pt>
                <c:pt idx="10">
                  <c:v>5438</c:v>
                </c:pt>
                <c:pt idx="11">
                  <c:v>2173</c:v>
                </c:pt>
                <c:pt idx="12">
                  <c:v>5731</c:v>
                </c:pt>
                <c:pt idx="13">
                  <c:v>4533</c:v>
                </c:pt>
                <c:pt idx="14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F-484A-A640-7C01A4AFB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71%</c:v>
                </c:pt>
                <c:pt idx="3">
                  <c:v>67%</c:v>
                </c:pt>
                <c:pt idx="4">
                  <c:v>58%</c:v>
                </c:pt>
                <c:pt idx="5">
                  <c:v>17%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0.66666666666666663</c:v>
                </c:pt>
                <c:pt idx="4">
                  <c:v>0.58333333333333337</c:v>
                </c:pt>
                <c:pt idx="5">
                  <c:v>0.16666666666666666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B-4C98-9C80-3B4AE527931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8B-4C98-9C80-3B4AE52793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B-4C98-9C80-3B4AE5279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B9B-4B3E-BE8E-463E372E31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B-4B3E-BE8E-463E372E3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9B-4B3E-BE8E-463E372E31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9B-4B3E-BE8E-463E372E3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2397</c:v>
                </c:pt>
                <c:pt idx="4">
                  <c:v>7386</c:v>
                </c:pt>
                <c:pt idx="6">
                  <c:v>2263</c:v>
                </c:pt>
                <c:pt idx="10">
                  <c:v>2407</c:v>
                </c:pt>
                <c:pt idx="12">
                  <c:v>2573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8-4DFD-94C9-26265F6D2EFA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2397</c:v>
                </c:pt>
                <c:pt idx="3">
                  <c:v>3307</c:v>
                </c:pt>
                <c:pt idx="4">
                  <c:v>7386</c:v>
                </c:pt>
                <c:pt idx="5">
                  <c:v>542</c:v>
                </c:pt>
                <c:pt idx="6">
                  <c:v>2263</c:v>
                </c:pt>
                <c:pt idx="7">
                  <c:v>5119</c:v>
                </c:pt>
                <c:pt idx="8">
                  <c:v>327</c:v>
                </c:pt>
                <c:pt idx="9">
                  <c:v>706</c:v>
                </c:pt>
                <c:pt idx="10">
                  <c:v>2407</c:v>
                </c:pt>
                <c:pt idx="11">
                  <c:v>2173</c:v>
                </c:pt>
                <c:pt idx="12">
                  <c:v>2573</c:v>
                </c:pt>
                <c:pt idx="13">
                  <c:v>4533</c:v>
                </c:pt>
                <c:pt idx="14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8-4DFD-94C9-26265F6D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8-485D-B299-C397C4FE615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88-485D-B299-C397C4FE61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0.1388888888888889</c:v>
                </c:pt>
                <c:pt idx="1">
                  <c:v>0.1388888888888889</c:v>
                </c:pt>
                <c:pt idx="2">
                  <c:v>0.1388888888888889</c:v>
                </c:pt>
                <c:pt idx="3">
                  <c:v>0.1388888888888889</c:v>
                </c:pt>
                <c:pt idx="4">
                  <c:v>0.1388888888888889</c:v>
                </c:pt>
                <c:pt idx="5">
                  <c:v>0.1388888888888889</c:v>
                </c:pt>
                <c:pt idx="6">
                  <c:v>0.1388888888888889</c:v>
                </c:pt>
                <c:pt idx="7">
                  <c:v>0.1388888888888889</c:v>
                </c:pt>
                <c:pt idx="8">
                  <c:v>0.1388888888888889</c:v>
                </c:pt>
                <c:pt idx="9">
                  <c:v>0.1388888888888889</c:v>
                </c:pt>
                <c:pt idx="10">
                  <c:v>0.1388888888888889</c:v>
                </c:pt>
                <c:pt idx="11">
                  <c:v>0.1388888888888889</c:v>
                </c:pt>
                <c:pt idx="12">
                  <c:v>0.1388888888888889</c:v>
                </c:pt>
                <c:pt idx="13">
                  <c:v>0.1388888888888889</c:v>
                </c:pt>
                <c:pt idx="14">
                  <c:v>0.1388888888888889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8-485D-B299-C397C4FE6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2397</c:v>
                </c:pt>
                <c:pt idx="4">
                  <c:v>7386</c:v>
                </c:pt>
                <c:pt idx="6">
                  <c:v>2263</c:v>
                </c:pt>
                <c:pt idx="10">
                  <c:v>2407</c:v>
                </c:pt>
                <c:pt idx="12">
                  <c:v>2573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B-4D12-B6A4-926940835420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2397</c:v>
                </c:pt>
                <c:pt idx="3">
                  <c:v>3307</c:v>
                </c:pt>
                <c:pt idx="4">
                  <c:v>7386</c:v>
                </c:pt>
                <c:pt idx="5">
                  <c:v>542</c:v>
                </c:pt>
                <c:pt idx="6">
                  <c:v>2263</c:v>
                </c:pt>
                <c:pt idx="7">
                  <c:v>5119</c:v>
                </c:pt>
                <c:pt idx="8">
                  <c:v>327</c:v>
                </c:pt>
                <c:pt idx="9">
                  <c:v>706</c:v>
                </c:pt>
                <c:pt idx="10">
                  <c:v>2407</c:v>
                </c:pt>
                <c:pt idx="11">
                  <c:v>2173</c:v>
                </c:pt>
                <c:pt idx="12">
                  <c:v>2573</c:v>
                </c:pt>
                <c:pt idx="13">
                  <c:v>4533</c:v>
                </c:pt>
                <c:pt idx="14">
                  <c:v>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4B-4D12-B6A4-926940835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1-41A1-9146-9E26C85529D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41-41A1-9146-9E26C85529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0.1388888888888889</c:v>
                </c:pt>
                <c:pt idx="1">
                  <c:v>0.1388888888888889</c:v>
                </c:pt>
                <c:pt idx="2">
                  <c:v>0.1388888888888889</c:v>
                </c:pt>
                <c:pt idx="3">
                  <c:v>0.1388888888888889</c:v>
                </c:pt>
                <c:pt idx="4">
                  <c:v>0.1388888888888889</c:v>
                </c:pt>
                <c:pt idx="5">
                  <c:v>0.1388888888888889</c:v>
                </c:pt>
                <c:pt idx="6">
                  <c:v>0.1388888888888889</c:v>
                </c:pt>
                <c:pt idx="7">
                  <c:v>0.1388888888888889</c:v>
                </c:pt>
                <c:pt idx="8">
                  <c:v>0.1388888888888889</c:v>
                </c:pt>
                <c:pt idx="9">
                  <c:v>0.1388888888888889</c:v>
                </c:pt>
                <c:pt idx="10">
                  <c:v>0.1388888888888889</c:v>
                </c:pt>
                <c:pt idx="11">
                  <c:v>0.1388888888888889</c:v>
                </c:pt>
                <c:pt idx="12">
                  <c:v>0.1388888888888889</c:v>
                </c:pt>
                <c:pt idx="13">
                  <c:v>0.1388888888888889</c:v>
                </c:pt>
                <c:pt idx="14">
                  <c:v>0.1388888888888889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41-41A1-9146-9E26C8552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6EC-419E-88B4-1ED4B2893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C-419E-88B4-1ED4B2893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EC-419E-88B4-1ED4B2893E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C-419E-88B4-1ED4B2893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5399</c:v>
                </c:pt>
                <c:pt idx="4">
                  <c:v>10861</c:v>
                </c:pt>
                <c:pt idx="6">
                  <c:v>4885</c:v>
                </c:pt>
                <c:pt idx="7">
                  <c:v>568</c:v>
                </c:pt>
                <c:pt idx="8">
                  <c:v>2538</c:v>
                </c:pt>
                <c:pt idx="9">
                  <c:v>110</c:v>
                </c:pt>
                <c:pt idx="10">
                  <c:v>2260</c:v>
                </c:pt>
                <c:pt idx="11">
                  <c:v>5322</c:v>
                </c:pt>
                <c:pt idx="12">
                  <c:v>650</c:v>
                </c:pt>
                <c:pt idx="13">
                  <c:v>5660</c:v>
                </c:pt>
                <c:pt idx="14">
                  <c:v>3500</c:v>
                </c:pt>
                <c:pt idx="15">
                  <c:v>31888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0-4CD7-966C-4C9243102BEF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5399</c:v>
                </c:pt>
                <c:pt idx="3">
                  <c:v>3307</c:v>
                </c:pt>
                <c:pt idx="4">
                  <c:v>10861</c:v>
                </c:pt>
                <c:pt idx="5">
                  <c:v>542</c:v>
                </c:pt>
                <c:pt idx="6">
                  <c:v>4885</c:v>
                </c:pt>
                <c:pt idx="7">
                  <c:v>568</c:v>
                </c:pt>
                <c:pt idx="8">
                  <c:v>2538</c:v>
                </c:pt>
                <c:pt idx="9">
                  <c:v>110</c:v>
                </c:pt>
                <c:pt idx="10">
                  <c:v>2260</c:v>
                </c:pt>
                <c:pt idx="11">
                  <c:v>5322</c:v>
                </c:pt>
                <c:pt idx="12">
                  <c:v>650</c:v>
                </c:pt>
                <c:pt idx="13">
                  <c:v>5660</c:v>
                </c:pt>
                <c:pt idx="14">
                  <c:v>3500</c:v>
                </c:pt>
                <c:pt idx="15">
                  <c:v>31888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0-4CD7-966C-4C9243102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92%</c:v>
                </c:pt>
                <c:pt idx="5">
                  <c:v>0%</c:v>
                </c:pt>
                <c:pt idx="6">
                  <c:v>100%</c:v>
                </c:pt>
                <c:pt idx="7">
                  <c:v>21%</c:v>
                </c:pt>
                <c:pt idx="8">
                  <c:v>50%</c:v>
                </c:pt>
                <c:pt idx="9">
                  <c:v>17%</c:v>
                </c:pt>
                <c:pt idx="10">
                  <c:v>42%</c:v>
                </c:pt>
                <c:pt idx="11">
                  <c:v>100%</c:v>
                </c:pt>
                <c:pt idx="12">
                  <c:v>33%</c:v>
                </c:pt>
                <c:pt idx="13">
                  <c:v>100%</c:v>
                </c:pt>
                <c:pt idx="14">
                  <c:v>71%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0.91666666666666663</c:v>
                </c:pt>
                <c:pt idx="5">
                  <c:v>0</c:v>
                </c:pt>
                <c:pt idx="6">
                  <c:v>1</c:v>
                </c:pt>
                <c:pt idx="7">
                  <c:v>0.20833333333333334</c:v>
                </c:pt>
                <c:pt idx="8">
                  <c:v>0.5</c:v>
                </c:pt>
                <c:pt idx="9">
                  <c:v>0.16666666666666666</c:v>
                </c:pt>
                <c:pt idx="10">
                  <c:v>0.41666666666666669</c:v>
                </c:pt>
                <c:pt idx="11">
                  <c:v>1</c:v>
                </c:pt>
                <c:pt idx="12">
                  <c:v>0.33333333333333331</c:v>
                </c:pt>
                <c:pt idx="13">
                  <c:v>1</c:v>
                </c:pt>
                <c:pt idx="14">
                  <c:v>0.70833333333333337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5-4678-AAC4-47EE567661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45-4678-AAC4-47EE567661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0.51666666666666661</c:v>
                </c:pt>
                <c:pt idx="1">
                  <c:v>0.51666666666666661</c:v>
                </c:pt>
                <c:pt idx="2">
                  <c:v>0.51666666666666661</c:v>
                </c:pt>
                <c:pt idx="3">
                  <c:v>0.51666666666666661</c:v>
                </c:pt>
                <c:pt idx="4">
                  <c:v>0.51666666666666661</c:v>
                </c:pt>
                <c:pt idx="5">
                  <c:v>0.51666666666666661</c:v>
                </c:pt>
                <c:pt idx="6">
                  <c:v>0.51666666666666661</c:v>
                </c:pt>
                <c:pt idx="7">
                  <c:v>0.51666666666666661</c:v>
                </c:pt>
                <c:pt idx="8">
                  <c:v>0.51666666666666661</c:v>
                </c:pt>
                <c:pt idx="9">
                  <c:v>0.51666666666666661</c:v>
                </c:pt>
                <c:pt idx="10">
                  <c:v>0.51666666666666661</c:v>
                </c:pt>
                <c:pt idx="11">
                  <c:v>0.51666666666666661</c:v>
                </c:pt>
                <c:pt idx="12">
                  <c:v>0.51666666666666661</c:v>
                </c:pt>
                <c:pt idx="13">
                  <c:v>0.51666666666666661</c:v>
                </c:pt>
                <c:pt idx="14">
                  <c:v>0.51666666666666661</c:v>
                </c:pt>
                <c:pt idx="15">
                  <c:v>0.51666666666666661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45-4678-AAC4-47EE56766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5399</c:v>
                </c:pt>
                <c:pt idx="4">
                  <c:v>10861</c:v>
                </c:pt>
                <c:pt idx="6">
                  <c:v>4885</c:v>
                </c:pt>
                <c:pt idx="7">
                  <c:v>568</c:v>
                </c:pt>
                <c:pt idx="8">
                  <c:v>2538</c:v>
                </c:pt>
                <c:pt idx="9">
                  <c:v>110</c:v>
                </c:pt>
                <c:pt idx="10">
                  <c:v>2260</c:v>
                </c:pt>
                <c:pt idx="11">
                  <c:v>5322</c:v>
                </c:pt>
                <c:pt idx="12">
                  <c:v>650</c:v>
                </c:pt>
                <c:pt idx="13">
                  <c:v>5660</c:v>
                </c:pt>
                <c:pt idx="14">
                  <c:v>3500</c:v>
                </c:pt>
                <c:pt idx="15">
                  <c:v>31888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3-4249-A426-75B1DF988381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5399</c:v>
                </c:pt>
                <c:pt idx="3">
                  <c:v>3307</c:v>
                </c:pt>
                <c:pt idx="4">
                  <c:v>10861</c:v>
                </c:pt>
                <c:pt idx="5">
                  <c:v>542</c:v>
                </c:pt>
                <c:pt idx="6">
                  <c:v>4885</c:v>
                </c:pt>
                <c:pt idx="7">
                  <c:v>568</c:v>
                </c:pt>
                <c:pt idx="8">
                  <c:v>2538</c:v>
                </c:pt>
                <c:pt idx="9">
                  <c:v>110</c:v>
                </c:pt>
                <c:pt idx="10">
                  <c:v>2260</c:v>
                </c:pt>
                <c:pt idx="11">
                  <c:v>5322</c:v>
                </c:pt>
                <c:pt idx="12">
                  <c:v>650</c:v>
                </c:pt>
                <c:pt idx="13">
                  <c:v>5660</c:v>
                </c:pt>
                <c:pt idx="14">
                  <c:v>3500</c:v>
                </c:pt>
                <c:pt idx="15">
                  <c:v>31888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3-4249-A426-75B1DF98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92%</c:v>
                </c:pt>
                <c:pt idx="5">
                  <c:v>0%</c:v>
                </c:pt>
                <c:pt idx="6">
                  <c:v>100%</c:v>
                </c:pt>
                <c:pt idx="7">
                  <c:v>21%</c:v>
                </c:pt>
                <c:pt idx="8">
                  <c:v>50%</c:v>
                </c:pt>
                <c:pt idx="9">
                  <c:v>17%</c:v>
                </c:pt>
                <c:pt idx="10">
                  <c:v>42%</c:v>
                </c:pt>
                <c:pt idx="11">
                  <c:v>100%</c:v>
                </c:pt>
                <c:pt idx="12">
                  <c:v>33%</c:v>
                </c:pt>
                <c:pt idx="13">
                  <c:v>100%</c:v>
                </c:pt>
                <c:pt idx="14">
                  <c:v>71%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0.91666666666666663</c:v>
                </c:pt>
                <c:pt idx="5">
                  <c:v>0</c:v>
                </c:pt>
                <c:pt idx="6">
                  <c:v>1</c:v>
                </c:pt>
                <c:pt idx="7">
                  <c:v>0.20833333333333334</c:v>
                </c:pt>
                <c:pt idx="8">
                  <c:v>0.5</c:v>
                </c:pt>
                <c:pt idx="9">
                  <c:v>0.16666666666666666</c:v>
                </c:pt>
                <c:pt idx="10">
                  <c:v>0.41666666666666669</c:v>
                </c:pt>
                <c:pt idx="11">
                  <c:v>1</c:v>
                </c:pt>
                <c:pt idx="12">
                  <c:v>0.33333333333333331</c:v>
                </c:pt>
                <c:pt idx="13">
                  <c:v>1</c:v>
                </c:pt>
                <c:pt idx="14">
                  <c:v>0.70833333333333337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E-462D-A6AA-9D5E48502A7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CE-462D-A6AA-9D5E48502A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SLIDER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0.51666666666666661</c:v>
                </c:pt>
                <c:pt idx="1">
                  <c:v>0.51666666666666661</c:v>
                </c:pt>
                <c:pt idx="2">
                  <c:v>0.51666666666666661</c:v>
                </c:pt>
                <c:pt idx="3">
                  <c:v>0.51666666666666661</c:v>
                </c:pt>
                <c:pt idx="4">
                  <c:v>0.51666666666666661</c:v>
                </c:pt>
                <c:pt idx="5">
                  <c:v>0.51666666666666661</c:v>
                </c:pt>
                <c:pt idx="6">
                  <c:v>0.51666666666666661</c:v>
                </c:pt>
                <c:pt idx="7">
                  <c:v>0.51666666666666661</c:v>
                </c:pt>
                <c:pt idx="8">
                  <c:v>0.51666666666666661</c:v>
                </c:pt>
                <c:pt idx="9">
                  <c:v>0.51666666666666661</c:v>
                </c:pt>
                <c:pt idx="10">
                  <c:v>0.51666666666666661</c:v>
                </c:pt>
                <c:pt idx="11">
                  <c:v>0.51666666666666661</c:v>
                </c:pt>
                <c:pt idx="12">
                  <c:v>0.51666666666666661</c:v>
                </c:pt>
                <c:pt idx="13">
                  <c:v>0.51666666666666661</c:v>
                </c:pt>
                <c:pt idx="14">
                  <c:v>0.51666666666666661</c:v>
                </c:pt>
                <c:pt idx="15">
                  <c:v>0.51666666666666661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CE-462D-A6AA-9D5E4850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108-4834-8442-A78C9339E6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8-4834-8442-A78C9339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08-4834-8442-A78C9339E6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08-4834-8442-A78C9339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3847</c:v>
                </c:pt>
                <c:pt idx="3">
                  <c:v>5387</c:v>
                </c:pt>
                <c:pt idx="4">
                  <c:v>4645</c:v>
                </c:pt>
                <c:pt idx="6">
                  <c:v>2164</c:v>
                </c:pt>
                <c:pt idx="7">
                  <c:v>2542</c:v>
                </c:pt>
                <c:pt idx="9">
                  <c:v>2350</c:v>
                </c:pt>
                <c:pt idx="10">
                  <c:v>1150</c:v>
                </c:pt>
                <c:pt idx="11">
                  <c:v>5509</c:v>
                </c:pt>
                <c:pt idx="12">
                  <c:v>3034</c:v>
                </c:pt>
                <c:pt idx="13">
                  <c:v>3935</c:v>
                </c:pt>
                <c:pt idx="14">
                  <c:v>2676</c:v>
                </c:pt>
                <c:pt idx="15">
                  <c:v>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B-4328-9347-3946D1E0B6AA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3847</c:v>
                </c:pt>
                <c:pt idx="3">
                  <c:v>5387</c:v>
                </c:pt>
                <c:pt idx="4">
                  <c:v>4645</c:v>
                </c:pt>
                <c:pt idx="5">
                  <c:v>542</c:v>
                </c:pt>
                <c:pt idx="6">
                  <c:v>2164</c:v>
                </c:pt>
                <c:pt idx="7">
                  <c:v>2542</c:v>
                </c:pt>
                <c:pt idx="8">
                  <c:v>110</c:v>
                </c:pt>
                <c:pt idx="9">
                  <c:v>2350</c:v>
                </c:pt>
                <c:pt idx="10">
                  <c:v>1150</c:v>
                </c:pt>
                <c:pt idx="11">
                  <c:v>5509</c:v>
                </c:pt>
                <c:pt idx="12">
                  <c:v>3034</c:v>
                </c:pt>
                <c:pt idx="13">
                  <c:v>3935</c:v>
                </c:pt>
                <c:pt idx="14">
                  <c:v>2676</c:v>
                </c:pt>
                <c:pt idx="15">
                  <c:v>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B-4328-9347-3946D1E0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88%</c:v>
                </c:pt>
                <c:pt idx="4">
                  <c:v>42%</c:v>
                </c:pt>
                <c:pt idx="5">
                  <c:v>0%</c:v>
                </c:pt>
                <c:pt idx="6">
                  <c:v>58%</c:v>
                </c:pt>
                <c:pt idx="7">
                  <c:v>67%</c:v>
                </c:pt>
                <c:pt idx="8">
                  <c:v>0%</c:v>
                </c:pt>
                <c:pt idx="9">
                  <c:v>42%</c:v>
                </c:pt>
                <c:pt idx="10">
                  <c:v>33%</c:v>
                </c:pt>
                <c:pt idx="11">
                  <c:v>100%</c:v>
                </c:pt>
                <c:pt idx="12">
                  <c:v>79%</c:v>
                </c:pt>
                <c:pt idx="13">
                  <c:v>79%</c:v>
                </c:pt>
                <c:pt idx="14">
                  <c:v>46%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0.875</c:v>
                </c:pt>
                <c:pt idx="4">
                  <c:v>0.41666666666666669</c:v>
                </c:pt>
                <c:pt idx="5">
                  <c:v>0</c:v>
                </c:pt>
                <c:pt idx="6">
                  <c:v>0.58333333333333337</c:v>
                </c:pt>
                <c:pt idx="7">
                  <c:v>0.66666666666666663</c:v>
                </c:pt>
                <c:pt idx="8">
                  <c:v>0</c:v>
                </c:pt>
                <c:pt idx="9">
                  <c:v>0.41666666666666669</c:v>
                </c:pt>
                <c:pt idx="10">
                  <c:v>0.33333333333333331</c:v>
                </c:pt>
                <c:pt idx="11">
                  <c:v>1</c:v>
                </c:pt>
                <c:pt idx="12">
                  <c:v>0.79166666666666663</c:v>
                </c:pt>
                <c:pt idx="13">
                  <c:v>0.79166666666666663</c:v>
                </c:pt>
                <c:pt idx="14">
                  <c:v>0.45833333333333331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F-48A9-9823-13AC5D3652D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2F-48A9-9823-13AC5D3652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0.5083333333333333</c:v>
                </c:pt>
                <c:pt idx="1">
                  <c:v>0.5083333333333333</c:v>
                </c:pt>
                <c:pt idx="2">
                  <c:v>0.5083333333333333</c:v>
                </c:pt>
                <c:pt idx="3">
                  <c:v>0.5083333333333333</c:v>
                </c:pt>
                <c:pt idx="4">
                  <c:v>0.5083333333333333</c:v>
                </c:pt>
                <c:pt idx="5">
                  <c:v>0.5083333333333333</c:v>
                </c:pt>
                <c:pt idx="6">
                  <c:v>0.5083333333333333</c:v>
                </c:pt>
                <c:pt idx="7">
                  <c:v>0.5083333333333333</c:v>
                </c:pt>
                <c:pt idx="8">
                  <c:v>0.5083333333333333</c:v>
                </c:pt>
                <c:pt idx="9">
                  <c:v>0.5083333333333333</c:v>
                </c:pt>
                <c:pt idx="10">
                  <c:v>0.5083333333333333</c:v>
                </c:pt>
                <c:pt idx="11">
                  <c:v>0.5083333333333333</c:v>
                </c:pt>
                <c:pt idx="12">
                  <c:v>0.5083333333333333</c:v>
                </c:pt>
                <c:pt idx="13">
                  <c:v>0.5083333333333333</c:v>
                </c:pt>
                <c:pt idx="14">
                  <c:v>0.5083333333333333</c:v>
                </c:pt>
                <c:pt idx="15">
                  <c:v>0.5083333333333333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2F-48A9-9823-13AC5D365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3847</c:v>
                </c:pt>
                <c:pt idx="3">
                  <c:v>5387</c:v>
                </c:pt>
                <c:pt idx="4">
                  <c:v>4645</c:v>
                </c:pt>
                <c:pt idx="6">
                  <c:v>2164</c:v>
                </c:pt>
                <c:pt idx="7">
                  <c:v>2542</c:v>
                </c:pt>
                <c:pt idx="9">
                  <c:v>2350</c:v>
                </c:pt>
                <c:pt idx="10">
                  <c:v>1150</c:v>
                </c:pt>
                <c:pt idx="11">
                  <c:v>5509</c:v>
                </c:pt>
                <c:pt idx="12">
                  <c:v>3034</c:v>
                </c:pt>
                <c:pt idx="13">
                  <c:v>3935</c:v>
                </c:pt>
                <c:pt idx="14">
                  <c:v>2676</c:v>
                </c:pt>
                <c:pt idx="15">
                  <c:v>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A-4315-9D94-0E09B0FE21B7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3847</c:v>
                </c:pt>
                <c:pt idx="3">
                  <c:v>5387</c:v>
                </c:pt>
                <c:pt idx="4">
                  <c:v>4645</c:v>
                </c:pt>
                <c:pt idx="5">
                  <c:v>542</c:v>
                </c:pt>
                <c:pt idx="6">
                  <c:v>2164</c:v>
                </c:pt>
                <c:pt idx="7">
                  <c:v>2542</c:v>
                </c:pt>
                <c:pt idx="8">
                  <c:v>110</c:v>
                </c:pt>
                <c:pt idx="9">
                  <c:v>2350</c:v>
                </c:pt>
                <c:pt idx="10">
                  <c:v>1150</c:v>
                </c:pt>
                <c:pt idx="11">
                  <c:v>5509</c:v>
                </c:pt>
                <c:pt idx="12">
                  <c:v>3034</c:v>
                </c:pt>
                <c:pt idx="13">
                  <c:v>3935</c:v>
                </c:pt>
                <c:pt idx="14">
                  <c:v>2676</c:v>
                </c:pt>
                <c:pt idx="15">
                  <c:v>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A-4315-9D94-0E09B0FE2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88%</c:v>
                </c:pt>
                <c:pt idx="4">
                  <c:v>42%</c:v>
                </c:pt>
                <c:pt idx="5">
                  <c:v>0%</c:v>
                </c:pt>
                <c:pt idx="6">
                  <c:v>58%</c:v>
                </c:pt>
                <c:pt idx="7">
                  <c:v>67%</c:v>
                </c:pt>
                <c:pt idx="8">
                  <c:v>0%</c:v>
                </c:pt>
                <c:pt idx="9">
                  <c:v>42%</c:v>
                </c:pt>
                <c:pt idx="10">
                  <c:v>33%</c:v>
                </c:pt>
                <c:pt idx="11">
                  <c:v>100%</c:v>
                </c:pt>
                <c:pt idx="12">
                  <c:v>79%</c:v>
                </c:pt>
                <c:pt idx="13">
                  <c:v>79%</c:v>
                </c:pt>
                <c:pt idx="14">
                  <c:v>46%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0.875</c:v>
                </c:pt>
                <c:pt idx="4">
                  <c:v>0.41666666666666669</c:v>
                </c:pt>
                <c:pt idx="5">
                  <c:v>0</c:v>
                </c:pt>
                <c:pt idx="6">
                  <c:v>0.58333333333333337</c:v>
                </c:pt>
                <c:pt idx="7">
                  <c:v>0.66666666666666663</c:v>
                </c:pt>
                <c:pt idx="8">
                  <c:v>0</c:v>
                </c:pt>
                <c:pt idx="9">
                  <c:v>0.41666666666666669</c:v>
                </c:pt>
                <c:pt idx="10">
                  <c:v>0.33333333333333331</c:v>
                </c:pt>
                <c:pt idx="11">
                  <c:v>1</c:v>
                </c:pt>
                <c:pt idx="12">
                  <c:v>0.79166666666666663</c:v>
                </c:pt>
                <c:pt idx="13">
                  <c:v>0.79166666666666663</c:v>
                </c:pt>
                <c:pt idx="14">
                  <c:v>0.45833333333333331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8-46FA-A4B9-259C0CE2FA9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C8-46FA-A4B9-259C0CE2FA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0.5083333333333333</c:v>
                </c:pt>
                <c:pt idx="1">
                  <c:v>0.5083333333333333</c:v>
                </c:pt>
                <c:pt idx="2">
                  <c:v>0.5083333333333333</c:v>
                </c:pt>
                <c:pt idx="3">
                  <c:v>0.5083333333333333</c:v>
                </c:pt>
                <c:pt idx="4">
                  <c:v>0.5083333333333333</c:v>
                </c:pt>
                <c:pt idx="5">
                  <c:v>0.5083333333333333</c:v>
                </c:pt>
                <c:pt idx="6">
                  <c:v>0.5083333333333333</c:v>
                </c:pt>
                <c:pt idx="7">
                  <c:v>0.5083333333333333</c:v>
                </c:pt>
                <c:pt idx="8">
                  <c:v>0.5083333333333333</c:v>
                </c:pt>
                <c:pt idx="9">
                  <c:v>0.5083333333333333</c:v>
                </c:pt>
                <c:pt idx="10">
                  <c:v>0.5083333333333333</c:v>
                </c:pt>
                <c:pt idx="11">
                  <c:v>0.5083333333333333</c:v>
                </c:pt>
                <c:pt idx="12">
                  <c:v>0.5083333333333333</c:v>
                </c:pt>
                <c:pt idx="13">
                  <c:v>0.5083333333333333</c:v>
                </c:pt>
                <c:pt idx="14">
                  <c:v>0.5083333333333333</c:v>
                </c:pt>
                <c:pt idx="15">
                  <c:v>0.5083333333333333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8-46FA-A4B9-259C0CE2F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018-422B-887B-BC6A6EA31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0.45000000000000007</c:v>
                </c:pt>
                <c:pt idx="1">
                  <c:v>0.40555555555555561</c:v>
                </c:pt>
                <c:pt idx="2">
                  <c:v>0.34999999999999992</c:v>
                </c:pt>
                <c:pt idx="3">
                  <c:v>0.35179632895682278</c:v>
                </c:pt>
                <c:pt idx="4">
                  <c:v>0.41388888888888886</c:v>
                </c:pt>
                <c:pt idx="7">
                  <c:v>0.4350057218878538</c:v>
                </c:pt>
                <c:pt idx="8">
                  <c:v>0.41944444444444445</c:v>
                </c:pt>
                <c:pt idx="9">
                  <c:v>0.45555555555555555</c:v>
                </c:pt>
                <c:pt idx="10">
                  <c:v>0.42222222222222228</c:v>
                </c:pt>
                <c:pt idx="11">
                  <c:v>0.29722222222222222</c:v>
                </c:pt>
                <c:pt idx="14">
                  <c:v>0.32222222222222219</c:v>
                </c:pt>
                <c:pt idx="15">
                  <c:v>0.36666666666666659</c:v>
                </c:pt>
                <c:pt idx="16">
                  <c:v>0.39166666666666666</c:v>
                </c:pt>
                <c:pt idx="17">
                  <c:v>0.3888888888888889</c:v>
                </c:pt>
                <c:pt idx="18">
                  <c:v>0.38612302925051922</c:v>
                </c:pt>
                <c:pt idx="21">
                  <c:v>0.40088658812328926</c:v>
                </c:pt>
                <c:pt idx="22">
                  <c:v>0.5361111111111112</c:v>
                </c:pt>
                <c:pt idx="23">
                  <c:v>0.31111111111111106</c:v>
                </c:pt>
                <c:pt idx="24">
                  <c:v>0.40555555555555556</c:v>
                </c:pt>
                <c:pt idx="25">
                  <c:v>0.40277777777777773</c:v>
                </c:pt>
                <c:pt idx="26">
                  <c:v>0.4</c:v>
                </c:pt>
                <c:pt idx="27">
                  <c:v>0.1388888888888889</c:v>
                </c:pt>
                <c:pt idx="28">
                  <c:v>0.51666666666666661</c:v>
                </c:pt>
                <c:pt idx="29">
                  <c:v>0.5083333333333333</c:v>
                </c:pt>
                <c:pt idx="31">
                  <c:v>0.31588631486654201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8-422B-887B-BC6A6EA3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18-422B-887B-BC6A6EA31C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18-422B-887B-BC6A6EA3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574A5D-1356-4ADD-B220-F352A0E31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3E2CB8-6B64-4454-8270-7B783CE08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418F13E-0739-4F6F-9BCB-6BA8B2355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6C143CD-77E4-40C9-8C2B-480292B25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F2FD9BF-D343-4B30-9949-693D41E56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44B5EBE-356C-4272-87ED-7C2EE485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DA7D305-F5E6-4953-936D-4B3C4A905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187B7A5-58A7-4066-88E2-4C11E940F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3465D21-DF41-42A2-875B-2FDD66AC2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D8107E8-4124-4190-B7A3-E5448433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87A3B6D-B2B1-40E8-B2BB-EA2A8C9E8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232116-A958-49B2-9B4E-7E7EF0439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661ED1E-6F47-4C32-B780-C4578DE9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CDA259F-557A-445B-9559-79728AA1A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A4A39F1-FEF8-44B3-AA1B-60DEB4A03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777EA0-3F69-4652-B63C-0A67585CD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0224D2A-6029-4C66-83A8-52E12CEED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98AF722-C6D7-4786-8662-009E48E29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7D0433C-BC0F-41A3-9855-FD5ED4D7E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3F09928-484A-42DC-AA19-96515975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A3984B7-2628-4E14-8EAA-9AABE85DB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1A7F7EE-F8C7-47AA-ABF5-380F40081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8DA210F-F641-45DF-9717-26862B4E9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6E0CCE2-DD15-4588-8C32-3521F7FDB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5CB337D-1310-4259-ADD2-A975A78D4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8C2BDC0-5AD5-46A1-8185-16F448B29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6B633AE-D1A5-4E07-85D0-2DF3E0280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46DE257-C14B-4161-89ED-CF9A953F4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D47E16-9C20-44C3-BE3A-7879897A6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67801D4-D0B2-4020-A81C-F3EC350A1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2757EF3-526D-4B6A-A195-AA556AE07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37837D9-7FF5-45C3-BBFA-C54E72A86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1DD8FE6-C059-4EEF-A655-96ED455E1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8429D70-FCA4-48DD-AF6D-5F3520FE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8395BE2-462F-4C3A-9F01-D36C30522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55B793-15F4-4FB7-89F9-85636928A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AAFEE8E-69E8-4BA7-8BC9-F94B0E04B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5690D20-EDBF-41D2-9DD9-8D8E4980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F1B79DE-93D4-4AB7-8468-F837EA745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4CB6D85-6AE0-4EA7-99E5-A4898052C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6BC053C-269A-41EB-9C26-589B5368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30E0343-0093-446A-844B-9E7C9DC15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BDF0DEE-98D4-482C-A220-EB8278FCC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34BF6D8-9DC0-43A1-A699-1EB0DEE82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BBA14BA-7604-4370-9A20-99D5F98A4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4002F9F-3DBF-4DFB-B2BE-D94C6ABED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F7336AD-0FD7-4875-AA2C-B5119E4BB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822B413-386F-4AD8-84FD-0276F798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80CE87-34BE-4BA1-8224-5BC27D926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B8351B-6305-4910-84A8-84BCDC14B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2C5A61A-F094-4A85-88DD-C4A2D4DD4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0AABE38-9B7F-47BC-8931-10AAB92E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BBDF9EC-71CB-4D02-94F4-A07E11101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83690A8-0B99-4717-B58F-C60CA8B20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8A85988-665E-4033-AB54-98CD7131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AA81FDA-3EA2-424F-ADD2-C7E17D47C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5CE2533-7237-4989-A1F7-3A61E01A4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E5384E-0795-4D13-A0CD-D1D1DC755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4FDED63-F636-4047-9257-EBE67FF8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FAB6CB7-0F23-4EDB-9DC4-B82F81C0BC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CBAAAE5-EEF6-43A5-A397-40F570A4F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9D946E1-4E11-4E92-AC92-CF4439A5B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FE6CF9F-5E68-4B54-B59C-938493A9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307F0A-632C-4297-8537-06E4AB8AF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DB779A4-90C8-4D0D-9ACC-6D5D458DB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25F3DA6-3F3B-4F8C-8FCB-38502F7A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A19F8B9-8AAA-433D-BD70-D9CB80F5E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C632869-8A92-4A2C-87CD-E31F66371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6CF6B91-C7A5-43CA-A56A-8E3E4F08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CF6EB04-59D5-4A63-9A02-5D40D8705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57CAA3-068B-4281-A841-93417C472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9E537E-B68F-48D6-A925-BF54C8667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8588795-FEA7-4EF4-BE2E-BC582F68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5D5B9F-1D21-4A73-B9AD-95F5C8BDA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2D7429C-B9E5-449A-88DC-16A30B706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78F318-9461-4B41-8E43-28CC7F13D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5D43C55-E3CA-4B13-9049-87BC99967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F2CD384-58B5-46BC-ACE6-3F822CEBF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012FD74-E5F8-4493-925B-DF1116CBC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C62E36D-7216-4F8E-A1F1-7BDE1892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46C834D-16FC-4241-A25A-F810B2DF2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5257E6A-3531-40D8-A952-94F247BD6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B009C6D-4D23-4384-B525-D32476598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D41A3F6-E303-4CB3-9CF6-6985114D2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5D9E5BD-B3C2-4361-8B89-01793002B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A05322C-8D91-4444-9DEF-B5B541A21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BDEED2-3164-41BA-8C56-8D4DE1849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7D14E9D-1024-4C1A-AE9F-0C922E477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1B53178-F859-4B17-987C-172F373F4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B3FF1ED-E1C3-4A68-B0FB-AB31D8096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3D50779-5DCA-418C-A664-B8B1E9291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CC9D96D-58C3-4393-9863-2AB873E7C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8F1E4D-C1FF-4C75-A035-3418748D7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D697EA-A3C0-4B89-B941-67E480E43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9559887-7102-4F02-80BE-FDDAE29CE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A43C082-F0A3-4391-8E17-E33B6460F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A5ADF36-38C1-4FE4-A035-3DCAB9BB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996A4B6-0F26-4B3A-B53A-A5905934B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543BFC-99BD-4607-9318-5220E8EF6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3E7B080-8ED6-4705-8F81-1EF57176F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C967CEB-3118-4AB4-B0E0-664D68A7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B71DB5F-6E7E-435A-B9A0-7FBB6C13E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9CF7600-9918-4A08-BBBF-8221B34F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8A978A5-A52A-488F-A482-65C798E3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80C6A8A-68EE-48E1-A7F9-BDFC59A7F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370301-0DC7-4CBE-8B3D-1AF454C2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846A61A-0C04-4862-9623-356277352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47A5A04-12E5-48FC-9620-5EECC43D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E19C4CC-CAEB-4790-B00A-32D937D2F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E4383E3-E37A-46E0-B95F-61050AC27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A456719-B1AA-4EFD-B052-74842633F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81EA80B-01CA-48A3-B23F-2A7EAC45E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A31C34-0941-41EA-AE30-4C1593C69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8BEC092-7D99-4823-9883-5D80A9C98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CE26FD0-C7C8-4A98-BEF3-83F82423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C94A5D6-91AC-4CA5-BAB7-F4C810728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81332A9-2806-4C43-8206-E18DD5B47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FABDC90-109B-4AFA-85A7-266CBACA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4635B97-A49F-4D47-8CA3-FADCB0F9D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057D0D4-E0E2-4D17-A8D7-199F9CBA5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4BEA31-5A6A-45A4-8558-8A4DD8E6D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D78FADB-5143-47AB-B5EC-D83D48F2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DE2E587-279C-42F0-AA79-71E4C180A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428613D-03D5-42FD-8FB1-B74CBB14E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BDE6A1D-63A8-47A0-9535-EA545EE5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52BB401-0C19-4600-9571-12398F670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8F373A-AA65-4953-A289-C37FD31AB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77AE7D-AE79-41FB-A3DB-6AD9C335D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94AF5B2-D73E-4E31-A9C5-C319267C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4791544-8471-482F-A29E-5FBC96C28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9E7BC41-63DE-4BFC-B171-B3BFD33CB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5B639D-F015-4C76-AABE-9EE3F7B97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BFFED2A-5DEA-47BD-834F-D883F7FB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DC28CA-E58A-45E0-AE35-C5388FBD5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D5DEBBE-CC98-4855-A7EA-DB3B862B9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D45176F-8C4C-45CD-919A-DB4C0EA0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460DE74-EF4D-437D-A4D6-944FE9126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55486CF-8BC1-4FF2-87A5-BAC2C8609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E14CCD5-45DD-4B23-84AB-63FB0880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2FF4046-2896-4D9C-B061-51A78B897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554F995-210D-4BDF-A3C5-8A66D44A8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B4C7416-0FEA-40E1-9E83-29E603109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BFD7B08-9CE4-4CCE-8E8A-1E7892625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343F5D2-4CEE-40E9-B6BE-B1BDBCE99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C631383-E878-46A6-BDAC-D66AC276A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C13E734-DE2C-41E7-A2CD-001BF638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5DC7AA7-50A4-4011-A019-A8F492FE5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7D2F61-17EE-4607-A391-A767735B2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1E07AF5-9AA3-478D-91B2-E8B822E4D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1A64589-41D1-4D17-9728-E147AA10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94CF7DC-E5DC-401B-978C-E47360E39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A28E66E-BAA5-495A-A4C5-4A096E09B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EE5BD43-F165-413C-8EE7-266CBABC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4379EA9-0A00-46C2-9D7B-3D851A7BA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A4CD988-7A45-4659-AB93-ACC15A733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026B273-F565-4ED8-83F7-64F1C5DEE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98D7E9E-F447-4FF8-AB88-1629599E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F79241C-0D22-48C4-9960-F3476A9BB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D9B5880-6D53-4003-B97F-F298B0747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8B20919-1DFF-4184-8DD0-7A6B59A79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F4B1D63-8F00-4742-8D47-AA463A8D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757C52-B50B-45DB-907B-D9120A6EB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D554999-7E99-4EC8-8500-9C16CC7C9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32866A3-D636-46A8-8D5A-B37E06BA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019F9E-CDD0-4310-A7FD-F1FFE1A68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A7CC45F-A455-4501-8CE0-DEFA567EB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445A1D8-0910-4CBD-B31F-437ED0E4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A56292-5C34-4F4E-B1CA-CA4204B73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K14" sqref="AK14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340" t="s">
        <v>155</v>
      </c>
      <c r="B1" s="340"/>
      <c r="C1" s="340"/>
      <c r="D1" s="340"/>
      <c r="E1" s="340"/>
      <c r="F1" s="340"/>
      <c r="G1" s="340"/>
      <c r="H1" s="340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>
        <f>'01'!AD6</f>
        <v>0</v>
      </c>
      <c r="C3" s="104">
        <f>'02'!AD6</f>
        <v>0</v>
      </c>
      <c r="D3" s="97">
        <f>'03'!AD6</f>
        <v>0</v>
      </c>
      <c r="E3" s="97">
        <f>'04'!AD6</f>
        <v>0</v>
      </c>
      <c r="F3" s="97">
        <f>'05'!AD6</f>
        <v>0</v>
      </c>
      <c r="G3" s="97"/>
      <c r="H3" s="97"/>
      <c r="I3" s="97">
        <f>'08'!AD6</f>
        <v>0</v>
      </c>
      <c r="J3" s="97">
        <f>'09'!AD6</f>
        <v>0</v>
      </c>
      <c r="K3" s="97">
        <f>'10'!AD6</f>
        <v>0</v>
      </c>
      <c r="L3" s="97">
        <f>'11'!AD6</f>
        <v>0</v>
      </c>
      <c r="M3" s="97">
        <f>'12'!AD6</f>
        <v>0</v>
      </c>
      <c r="N3" s="115"/>
      <c r="O3" s="97"/>
      <c r="P3" s="97">
        <f>'15'!AD6</f>
        <v>0</v>
      </c>
      <c r="Q3" s="97">
        <f>'16'!AD6</f>
        <v>0</v>
      </c>
      <c r="R3" s="97">
        <f>'17'!AD6</f>
        <v>0</v>
      </c>
      <c r="S3" s="97">
        <f>'18'!AD6</f>
        <v>0</v>
      </c>
      <c r="T3" s="97">
        <f>'19'!AD6</f>
        <v>0</v>
      </c>
      <c r="U3" s="97"/>
      <c r="V3" s="97"/>
      <c r="W3" s="115">
        <f>'22'!AD6</f>
        <v>0</v>
      </c>
      <c r="X3" s="97">
        <f>'23'!AD6</f>
        <v>0</v>
      </c>
      <c r="Y3" s="97">
        <f>'24'!AD6</f>
        <v>0</v>
      </c>
      <c r="Z3" s="97">
        <f>'25'!AD6</f>
        <v>0</v>
      </c>
      <c r="AA3" s="97">
        <f>'26'!AD6</f>
        <v>0</v>
      </c>
      <c r="AB3" s="97">
        <f>'27'!AD6</f>
        <v>0</v>
      </c>
      <c r="AC3" s="97">
        <f>'28'!AD6</f>
        <v>0</v>
      </c>
      <c r="AD3" s="97">
        <f>'29'!AD6</f>
        <v>0</v>
      </c>
      <c r="AE3" s="97">
        <f>'30'!AD6</f>
        <v>0</v>
      </c>
      <c r="AF3" s="98"/>
      <c r="AG3" s="100">
        <f>SUM(B3:AF3)/30</f>
        <v>0</v>
      </c>
    </row>
    <row r="4" spans="1:33" ht="21.75" customHeight="1">
      <c r="A4" s="110" t="s">
        <v>61</v>
      </c>
      <c r="B4" s="105">
        <f>'01'!AD7</f>
        <v>0</v>
      </c>
      <c r="C4" s="105">
        <f>'02'!AD7</f>
        <v>0</v>
      </c>
      <c r="D4" s="74">
        <f>'03'!AD7</f>
        <v>0</v>
      </c>
      <c r="E4" s="74">
        <f>'04'!AD7</f>
        <v>0</v>
      </c>
      <c r="F4" s="74">
        <f>'05'!AD7</f>
        <v>0</v>
      </c>
      <c r="G4" s="74"/>
      <c r="H4" s="74"/>
      <c r="I4" s="74">
        <f>'08'!AD7</f>
        <v>0</v>
      </c>
      <c r="J4" s="74">
        <f>'09'!AD7</f>
        <v>0</v>
      </c>
      <c r="K4" s="74">
        <f>'10'!AD7</f>
        <v>0</v>
      </c>
      <c r="L4" s="74">
        <f>'11'!AD7</f>
        <v>0</v>
      </c>
      <c r="M4" s="74">
        <f>'12'!AD7</f>
        <v>0</v>
      </c>
      <c r="N4" s="74"/>
      <c r="O4" s="74"/>
      <c r="P4" s="74">
        <f>'15'!AD7</f>
        <v>0</v>
      </c>
      <c r="Q4" s="74">
        <f>'16'!AD7</f>
        <v>0</v>
      </c>
      <c r="R4" s="74">
        <f>'17'!AD7</f>
        <v>0</v>
      </c>
      <c r="S4" s="74">
        <f>'18'!AD7</f>
        <v>0</v>
      </c>
      <c r="T4" s="74">
        <f>'19'!AD7</f>
        <v>0</v>
      </c>
      <c r="U4" s="74"/>
      <c r="V4" s="74"/>
      <c r="W4" s="74">
        <f>'22'!AD7</f>
        <v>0</v>
      </c>
      <c r="X4" s="74">
        <f>'23'!AD7</f>
        <v>0</v>
      </c>
      <c r="Y4" s="74">
        <f>'24'!AD7</f>
        <v>0</v>
      </c>
      <c r="Z4" s="74">
        <f>'25'!AD7</f>
        <v>0</v>
      </c>
      <c r="AA4" s="74">
        <f>'26'!AD7</f>
        <v>0</v>
      </c>
      <c r="AB4" s="74">
        <f>'27'!AD7</f>
        <v>0</v>
      </c>
      <c r="AC4" s="74">
        <f>'28'!AD7</f>
        <v>0</v>
      </c>
      <c r="AD4" s="74">
        <f>'29'!AD7</f>
        <v>0</v>
      </c>
      <c r="AE4" s="74">
        <f>'30'!AD7</f>
        <v>0</v>
      </c>
      <c r="AF4" s="75"/>
      <c r="AG4" s="76">
        <f t="shared" ref="AG4:AG18" si="0">SUM(B4:AF4)/30</f>
        <v>0</v>
      </c>
    </row>
    <row r="5" spans="1:33" ht="21.75" customHeight="1">
      <c r="A5" s="111" t="s">
        <v>62</v>
      </c>
      <c r="B5" s="106">
        <f>'01'!AD8</f>
        <v>0.95833333333333337</v>
      </c>
      <c r="C5" s="106">
        <f>'02'!AD8</f>
        <v>1</v>
      </c>
      <c r="D5" s="77">
        <f>'03'!AD8</f>
        <v>1</v>
      </c>
      <c r="E5" s="77">
        <f>'04'!AD8+'04'!AD9</f>
        <v>0.44361160101900843</v>
      </c>
      <c r="F5" s="77">
        <f>'05'!AD8</f>
        <v>0</v>
      </c>
      <c r="G5" s="77"/>
      <c r="H5" s="77"/>
      <c r="I5" s="77">
        <f>'08'!AD8</f>
        <v>0.25</v>
      </c>
      <c r="J5" s="77">
        <f>'09'!AD8</f>
        <v>0.79166666666666663</v>
      </c>
      <c r="K5" s="77">
        <f>'10'!AD8</f>
        <v>0.45833333333333331</v>
      </c>
      <c r="L5" s="77">
        <f>'11'!AD8</f>
        <v>0</v>
      </c>
      <c r="M5" s="77">
        <f>'12'!AD8</f>
        <v>0</v>
      </c>
      <c r="N5" s="77"/>
      <c r="O5" s="77"/>
      <c r="P5" s="77">
        <f>'15'!AD8</f>
        <v>0</v>
      </c>
      <c r="Q5" s="77">
        <f>'16'!AD8</f>
        <v>0</v>
      </c>
      <c r="R5" s="77">
        <f>'17'!AD8</f>
        <v>0.83333333333333337</v>
      </c>
      <c r="S5" s="77">
        <f>'18'!AD8</f>
        <v>1</v>
      </c>
      <c r="T5" s="77">
        <f>'19'!AD8</f>
        <v>0.58351210542445608</v>
      </c>
      <c r="U5" s="77"/>
      <c r="V5" s="77"/>
      <c r="W5" s="116">
        <f>'22'!AD8</f>
        <v>1</v>
      </c>
      <c r="X5" s="77">
        <f>'23'!AD8</f>
        <v>1</v>
      </c>
      <c r="Y5" s="77">
        <f>'24'!AD8</f>
        <v>1</v>
      </c>
      <c r="Z5" s="77">
        <f>'25'!AD8</f>
        <v>0.79166666666666663</v>
      </c>
      <c r="AA5" s="77">
        <f>'26'!AD8</f>
        <v>0.79166666666666663</v>
      </c>
      <c r="AB5" s="77">
        <f>'27'!AD8</f>
        <v>0.70833333333333337</v>
      </c>
      <c r="AC5" s="77">
        <f>'28'!AD8</f>
        <v>0.41666666666666669</v>
      </c>
      <c r="AD5" s="77">
        <f>'29'!AD8</f>
        <v>1</v>
      </c>
      <c r="AE5" s="77">
        <f>'30'!AD8</f>
        <v>0.79166666666666663</v>
      </c>
      <c r="AF5" s="78"/>
      <c r="AG5" s="79">
        <f t="shared" si="0"/>
        <v>0.493959679103671</v>
      </c>
    </row>
    <row r="6" spans="1:33" ht="21.75" customHeight="1">
      <c r="A6" s="112" t="s">
        <v>63</v>
      </c>
      <c r="B6" s="107">
        <f>'01'!AD9</f>
        <v>0.66666666666666663</v>
      </c>
      <c r="C6" s="107">
        <f>'02'!AD9</f>
        <v>1</v>
      </c>
      <c r="D6" s="80">
        <f>'03'!AD9+'03'!AD10</f>
        <v>0.95833333333333337</v>
      </c>
      <c r="E6" s="80">
        <f>'04'!AD10</f>
        <v>1</v>
      </c>
      <c r="F6" s="80">
        <f>'05'!AD9</f>
        <v>1</v>
      </c>
      <c r="G6" s="80"/>
      <c r="H6" s="80"/>
      <c r="I6" s="80">
        <f>'08'!AD9</f>
        <v>0.75</v>
      </c>
      <c r="J6" s="80">
        <f>'09'!AD9</f>
        <v>1</v>
      </c>
      <c r="K6" s="80">
        <f>'10'!AD9</f>
        <v>0.91666666666666663</v>
      </c>
      <c r="L6" s="80">
        <f>'11'!AD9</f>
        <v>0.58333333333333337</v>
      </c>
      <c r="M6" s="80">
        <f>'12'!AD9</f>
        <v>0.625</v>
      </c>
      <c r="N6" s="80"/>
      <c r="O6" s="80"/>
      <c r="P6" s="80">
        <f>'15'!AD9</f>
        <v>1</v>
      </c>
      <c r="Q6" s="80">
        <f>'16'!AD9</f>
        <v>1</v>
      </c>
      <c r="R6" s="80">
        <f>'17'!AD9</f>
        <v>0.75</v>
      </c>
      <c r="S6" s="80">
        <f>'18'!AD9</f>
        <v>0.70833333333333337</v>
      </c>
      <c r="T6" s="80">
        <f>'19'!AD9</f>
        <v>0.75</v>
      </c>
      <c r="U6" s="80"/>
      <c r="V6" s="80"/>
      <c r="W6" s="80">
        <f>'22'!AD9</f>
        <v>0.75</v>
      </c>
      <c r="X6" s="80">
        <f>'23'!AD9</f>
        <v>1</v>
      </c>
      <c r="Y6" s="80">
        <f>'24'!AD9</f>
        <v>0</v>
      </c>
      <c r="Z6" s="80">
        <f>'25'!AD9+'25'!AD10</f>
        <v>0.41666666666666663</v>
      </c>
      <c r="AA6" s="80">
        <f>'26'!AD9</f>
        <v>0.875</v>
      </c>
      <c r="AB6" s="80">
        <f>'27'!AD9</f>
        <v>0.66666666666666663</v>
      </c>
      <c r="AC6" s="80">
        <f>'28'!AD9</f>
        <v>0</v>
      </c>
      <c r="AD6" s="80">
        <f>'29'!AD9</f>
        <v>0</v>
      </c>
      <c r="AE6" s="80">
        <f>'30'!AD9</f>
        <v>0.875</v>
      </c>
      <c r="AF6" s="81"/>
      <c r="AG6" s="82">
        <f t="shared" si="0"/>
        <v>0.57638888888888895</v>
      </c>
    </row>
    <row r="7" spans="1:33" ht="21.75" customHeight="1">
      <c r="A7" s="112" t="s">
        <v>64</v>
      </c>
      <c r="B7" s="107">
        <f>'01'!AD10</f>
        <v>0</v>
      </c>
      <c r="C7" s="107">
        <f>'02'!AD10</f>
        <v>0</v>
      </c>
      <c r="D7" s="80">
        <f>'03'!AD11</f>
        <v>0</v>
      </c>
      <c r="E7" s="80">
        <f>'04'!AD11</f>
        <v>0</v>
      </c>
      <c r="F7" s="80">
        <f>'05'!AD10</f>
        <v>0.66666666666666663</v>
      </c>
      <c r="G7" s="80"/>
      <c r="H7" s="80"/>
      <c r="I7" s="80">
        <f>'08'!AD10</f>
        <v>0.83333333333333337</v>
      </c>
      <c r="J7" s="80">
        <f>'09'!AD10</f>
        <v>0.25</v>
      </c>
      <c r="K7" s="80">
        <f>'10'!AD10</f>
        <v>0.33333333333333331</v>
      </c>
      <c r="L7" s="80">
        <f>'11'!AD10</f>
        <v>0.83333333333333337</v>
      </c>
      <c r="M7" s="80">
        <f>'12'!AD10</f>
        <v>0</v>
      </c>
      <c r="N7" s="80"/>
      <c r="O7" s="80"/>
      <c r="P7" s="80">
        <f>'15'!AD10</f>
        <v>0</v>
      </c>
      <c r="Q7" s="80">
        <f>'16'!AD10</f>
        <v>0</v>
      </c>
      <c r="R7" s="80">
        <f>'17'!AD10</f>
        <v>0</v>
      </c>
      <c r="S7" s="80">
        <f>'18'!AD10</f>
        <v>0.20833333333333334</v>
      </c>
      <c r="T7" s="80">
        <f>'19'!AD10</f>
        <v>0.25</v>
      </c>
      <c r="U7" s="80"/>
      <c r="V7" s="80"/>
      <c r="W7" s="80">
        <f>'22'!AD10</f>
        <v>0.84663215518267276</v>
      </c>
      <c r="X7" s="80">
        <f>'23'!AD10</f>
        <v>0.83333333333333337</v>
      </c>
      <c r="Y7" s="80">
        <f>'24'!AD10</f>
        <v>0</v>
      </c>
      <c r="Z7" s="80">
        <f>'25'!AD11</f>
        <v>0</v>
      </c>
      <c r="AA7" s="80">
        <f>'26'!AD10</f>
        <v>0</v>
      </c>
      <c r="AB7" s="80">
        <f>'27'!AD10</f>
        <v>0.58333333333333337</v>
      </c>
      <c r="AC7" s="80">
        <f>'28'!AD10</f>
        <v>0.41666666666666669</v>
      </c>
      <c r="AD7" s="80">
        <f>'29'!AD10</f>
        <v>0.91666666666666663</v>
      </c>
      <c r="AE7" s="80">
        <f>'30'!AD10</f>
        <v>0.41666666666666669</v>
      </c>
      <c r="AF7" s="81"/>
      <c r="AG7" s="82">
        <f t="shared" si="0"/>
        <v>0.24627662739497802</v>
      </c>
    </row>
    <row r="8" spans="1:33" ht="21.75" customHeight="1">
      <c r="A8" s="112" t="s">
        <v>65</v>
      </c>
      <c r="B8" s="107">
        <f>'01'!AD11</f>
        <v>1</v>
      </c>
      <c r="C8" s="107">
        <f>'02'!AD11</f>
        <v>0.33333333333333331</v>
      </c>
      <c r="D8" s="80">
        <f>'03'!AD12</f>
        <v>0</v>
      </c>
      <c r="E8" s="80">
        <f>'04'!AD12</f>
        <v>0</v>
      </c>
      <c r="F8" s="80">
        <f>'05'!AD11</f>
        <v>0</v>
      </c>
      <c r="G8" s="80"/>
      <c r="H8" s="80"/>
      <c r="I8" s="80">
        <f>'08'!AD11</f>
        <v>0</v>
      </c>
      <c r="J8" s="80">
        <f>'09'!AD11</f>
        <v>0</v>
      </c>
      <c r="K8" s="80">
        <f>'10'!AD11</f>
        <v>0</v>
      </c>
      <c r="L8" s="80">
        <f>'11'!AD11</f>
        <v>0</v>
      </c>
      <c r="M8" s="80">
        <f>'12'!AD11</f>
        <v>0</v>
      </c>
      <c r="N8" s="80"/>
      <c r="O8" s="80"/>
      <c r="P8" s="80">
        <f>'15'!AD11</f>
        <v>0</v>
      </c>
      <c r="Q8" s="80">
        <f>'16'!AD11</f>
        <v>0</v>
      </c>
      <c r="R8" s="80">
        <f>'17'!AD11</f>
        <v>0</v>
      </c>
      <c r="S8" s="80">
        <f>'18'!AD11</f>
        <v>0</v>
      </c>
      <c r="T8" s="80">
        <f>'19'!AD11</f>
        <v>0</v>
      </c>
      <c r="U8" s="80"/>
      <c r="V8" s="80"/>
      <c r="W8" s="80">
        <f>'22'!AD11</f>
        <v>0</v>
      </c>
      <c r="X8" s="80">
        <f>'23'!AD11</f>
        <v>0</v>
      </c>
      <c r="Y8" s="80">
        <f>'24'!AD11</f>
        <v>0</v>
      </c>
      <c r="Z8" s="80">
        <f>'25'!AD12</f>
        <v>0.875</v>
      </c>
      <c r="AA8" s="80">
        <f>'26'!AD11</f>
        <v>1</v>
      </c>
      <c r="AB8" s="80">
        <f>'27'!AD11</f>
        <v>0.16666666666666666</v>
      </c>
      <c r="AC8" s="80">
        <f>'28'!AD11</f>
        <v>0</v>
      </c>
      <c r="AD8" s="80">
        <f>'29'!AD11</f>
        <v>0</v>
      </c>
      <c r="AE8" s="80">
        <f>'30'!AD11</f>
        <v>0</v>
      </c>
      <c r="AF8" s="81"/>
      <c r="AG8" s="82">
        <f t="shared" si="0"/>
        <v>0.11249999999999999</v>
      </c>
    </row>
    <row r="9" spans="1:33" ht="21.75" customHeight="1">
      <c r="A9" s="112" t="s">
        <v>66</v>
      </c>
      <c r="B9" s="107">
        <f>'01'!AD12</f>
        <v>1</v>
      </c>
      <c r="C9" s="107">
        <f>'02'!AD12</f>
        <v>1</v>
      </c>
      <c r="D9" s="80">
        <f>'03'!AD13</f>
        <v>1</v>
      </c>
      <c r="E9" s="80">
        <f>'04'!AD13</f>
        <v>0.75</v>
      </c>
      <c r="F9" s="80">
        <f>'05'!AD12</f>
        <v>1</v>
      </c>
      <c r="G9" s="80"/>
      <c r="H9" s="80"/>
      <c r="I9" s="80">
        <f>'08'!AD12</f>
        <v>0.98365896980461809</v>
      </c>
      <c r="J9" s="80">
        <f>'09'!AD12</f>
        <v>1</v>
      </c>
      <c r="K9" s="80">
        <f>'10'!AD12</f>
        <v>0.75</v>
      </c>
      <c r="L9" s="80">
        <f>'11'!AD12+'11'!AD13</f>
        <v>0.91666666666666674</v>
      </c>
      <c r="M9" s="80">
        <f>'12'!AD12</f>
        <v>0.91666666666666663</v>
      </c>
      <c r="N9" s="80"/>
      <c r="O9" s="80"/>
      <c r="P9" s="80">
        <f>'15'!AD12</f>
        <v>0.91666666666666663</v>
      </c>
      <c r="Q9" s="80">
        <f>'16'!AD12</f>
        <v>1</v>
      </c>
      <c r="R9" s="80">
        <f>'17'!AD12</f>
        <v>0.75</v>
      </c>
      <c r="S9" s="80">
        <f>'18'!AD12</f>
        <v>0.75</v>
      </c>
      <c r="T9" s="80">
        <f>'19'!AD12</f>
        <v>0.79166666666666663</v>
      </c>
      <c r="U9" s="80"/>
      <c r="V9" s="80"/>
      <c r="W9" s="80">
        <f>'22'!AD12</f>
        <v>0.83333333333333337</v>
      </c>
      <c r="X9" s="80">
        <f>'23'!AD12</f>
        <v>1</v>
      </c>
      <c r="Y9" s="80">
        <f>'24'!AD12</f>
        <v>0.16666666666666666</v>
      </c>
      <c r="Z9" s="80">
        <f>'25'!AD13</f>
        <v>0.54166666666666663</v>
      </c>
      <c r="AA9" s="80">
        <f>'26'!AD12</f>
        <v>0</v>
      </c>
      <c r="AB9" s="80">
        <f>'27'!AD12</f>
        <v>0.875</v>
      </c>
      <c r="AC9" s="80">
        <f>'28'!AD12</f>
        <v>0.41666666666666669</v>
      </c>
      <c r="AD9" s="80">
        <f>'29'!AD12</f>
        <v>1</v>
      </c>
      <c r="AE9" s="80">
        <f>'30'!AD12</f>
        <v>0.58333333333333337</v>
      </c>
      <c r="AF9" s="81"/>
      <c r="AG9" s="82">
        <f t="shared" si="0"/>
        <v>0.6313997434379317</v>
      </c>
    </row>
    <row r="10" spans="1:33" ht="21.75" customHeight="1">
      <c r="A10" s="112" t="s">
        <v>67</v>
      </c>
      <c r="B10" s="107">
        <f>'01'!AD13</f>
        <v>0.41666666666666669</v>
      </c>
      <c r="C10" s="107">
        <f>'02'!AD13</f>
        <v>0.75</v>
      </c>
      <c r="D10" s="80">
        <f>'03'!AD14</f>
        <v>0</v>
      </c>
      <c r="E10" s="80">
        <f>'04'!AD14</f>
        <v>0.83333333333333337</v>
      </c>
      <c r="F10" s="80">
        <f>'05'!AD13</f>
        <v>1</v>
      </c>
      <c r="G10" s="80"/>
      <c r="H10" s="80"/>
      <c r="I10" s="80">
        <f>'08'!AD13</f>
        <v>1</v>
      </c>
      <c r="J10" s="80">
        <f>'09'!AD13</f>
        <v>1</v>
      </c>
      <c r="K10" s="80">
        <f>'10'!AD13</f>
        <v>0</v>
      </c>
      <c r="L10" s="80">
        <f>'11'!AD14</f>
        <v>0.375</v>
      </c>
      <c r="M10" s="80">
        <f>'12'!AD13</f>
        <v>0.33333333333333331</v>
      </c>
      <c r="N10" s="80"/>
      <c r="O10" s="80"/>
      <c r="P10" s="80">
        <f>'15'!AD13</f>
        <v>0.41666666666666669</v>
      </c>
      <c r="Q10" s="80">
        <f>'16'!AD13</f>
        <v>0.41666666666666669</v>
      </c>
      <c r="R10" s="80">
        <f>'17'!AD13</f>
        <v>0</v>
      </c>
      <c r="S10" s="80">
        <f>'18'!AD13</f>
        <v>0.41666666666666669</v>
      </c>
      <c r="T10" s="80">
        <f>'19'!AD13</f>
        <v>0.375</v>
      </c>
      <c r="U10" s="80"/>
      <c r="V10" s="80"/>
      <c r="W10" s="80">
        <f>'22'!AD13</f>
        <v>0</v>
      </c>
      <c r="X10" s="80">
        <f>'23'!AD13</f>
        <v>0.16666666666666666</v>
      </c>
      <c r="Y10" s="80">
        <f>'24'!AD13</f>
        <v>0.45833333333333331</v>
      </c>
      <c r="Z10" s="80">
        <f>'25'!AD14+'25'!AD15</f>
        <v>0.33333333333333331</v>
      </c>
      <c r="AA10" s="80">
        <f>'26'!AD13+'26'!AD14</f>
        <v>0.41666666666666663</v>
      </c>
      <c r="AB10" s="80">
        <f>'27'!AD13</f>
        <v>1</v>
      </c>
      <c r="AC10" s="80">
        <f>'28'!AD13</f>
        <v>0</v>
      </c>
      <c r="AD10" s="80">
        <f>'29'!AD13+'29'!AD14</f>
        <v>0.70833333333333337</v>
      </c>
      <c r="AE10" s="80">
        <f>'30'!AD13</f>
        <v>0.66666666666666663</v>
      </c>
      <c r="AF10" s="81"/>
      <c r="AG10" s="82">
        <f t="shared" si="0"/>
        <v>0.36944444444444446</v>
      </c>
    </row>
    <row r="11" spans="1:33" ht="21.75" customHeight="1">
      <c r="A11" s="119" t="s">
        <v>68</v>
      </c>
      <c r="B11" s="120">
        <f>'01'!AD14</f>
        <v>0</v>
      </c>
      <c r="C11" s="120">
        <f>'02'!AD14</f>
        <v>0</v>
      </c>
      <c r="D11" s="121">
        <f>'03'!AD15</f>
        <v>0</v>
      </c>
      <c r="E11" s="121">
        <f>'04'!AD15</f>
        <v>0</v>
      </c>
      <c r="F11" s="121">
        <f>'05'!AD14</f>
        <v>0</v>
      </c>
      <c r="G11" s="121"/>
      <c r="H11" s="121"/>
      <c r="I11" s="121">
        <f>'08'!AD14</f>
        <v>0</v>
      </c>
      <c r="J11" s="121">
        <f>'09'!AD14</f>
        <v>0</v>
      </c>
      <c r="K11" s="121">
        <f>'10'!AD14</f>
        <v>0</v>
      </c>
      <c r="L11" s="121">
        <f>'11'!AD15</f>
        <v>0</v>
      </c>
      <c r="M11" s="121">
        <f>'12'!AD14</f>
        <v>0</v>
      </c>
      <c r="N11" s="121"/>
      <c r="O11" s="121"/>
      <c r="P11" s="121">
        <f>'15'!AD14</f>
        <v>0</v>
      </c>
      <c r="Q11" s="121">
        <f>'16'!AD14</f>
        <v>0.20833333333333334</v>
      </c>
      <c r="R11" s="121">
        <f>'17'!AD14</f>
        <v>0.83333333333333337</v>
      </c>
      <c r="S11" s="121">
        <f>'18'!AD14</f>
        <v>0</v>
      </c>
      <c r="T11" s="121">
        <f>'19'!AD14</f>
        <v>0</v>
      </c>
      <c r="U11" s="121"/>
      <c r="V11" s="121"/>
      <c r="W11" s="121">
        <f>'22'!AD14</f>
        <v>0</v>
      </c>
      <c r="X11" s="121">
        <f>'23'!AD14</f>
        <v>0</v>
      </c>
      <c r="Y11" s="121">
        <f>'24'!AD14</f>
        <v>0</v>
      </c>
      <c r="Z11" s="121">
        <f>'25'!AD16</f>
        <v>0.20833333333333334</v>
      </c>
      <c r="AA11" s="121">
        <f>'26'!AD15+'26'!AD16</f>
        <v>0.45833333333333337</v>
      </c>
      <c r="AB11" s="121">
        <f>'27'!AD14</f>
        <v>0</v>
      </c>
      <c r="AC11" s="121">
        <f>'28'!AD14</f>
        <v>0</v>
      </c>
      <c r="AD11" s="121">
        <f>'29'!AD15</f>
        <v>0.16666666666666666</v>
      </c>
      <c r="AE11" s="121">
        <f>'30'!AD14</f>
        <v>0</v>
      </c>
      <c r="AF11" s="122"/>
      <c r="AG11" s="123">
        <f t="shared" si="0"/>
        <v>6.2500000000000014E-2</v>
      </c>
    </row>
    <row r="12" spans="1:33" ht="21.75" customHeight="1">
      <c r="A12" s="111" t="s">
        <v>69</v>
      </c>
      <c r="B12" s="106">
        <f>'01'!AD15</f>
        <v>0</v>
      </c>
      <c r="C12" s="106">
        <f>'02'!AD15</f>
        <v>0</v>
      </c>
      <c r="D12" s="77">
        <f>'03'!AD16</f>
        <v>0</v>
      </c>
      <c r="E12" s="77">
        <f>'04'!AD16</f>
        <v>0</v>
      </c>
      <c r="F12" s="77">
        <f>'05'!AD15</f>
        <v>0.29166666666666669</v>
      </c>
      <c r="G12" s="77"/>
      <c r="H12" s="77"/>
      <c r="I12" s="77">
        <f>'08'!AD15</f>
        <v>0</v>
      </c>
      <c r="J12" s="77">
        <f>'09'!AD15</f>
        <v>0.29166666666666669</v>
      </c>
      <c r="K12" s="77">
        <f>'10'!AD15</f>
        <v>0.41666666666666669</v>
      </c>
      <c r="L12" s="77">
        <f>'11'!AD16</f>
        <v>0</v>
      </c>
      <c r="M12" s="77">
        <f>'12'!AD15</f>
        <v>0</v>
      </c>
      <c r="N12" s="77"/>
      <c r="O12" s="77"/>
      <c r="P12" s="77">
        <f>'15'!AD15</f>
        <v>0</v>
      </c>
      <c r="Q12" s="77">
        <f>'16'!AD15</f>
        <v>0</v>
      </c>
      <c r="R12" s="77">
        <f>'17'!AD15</f>
        <v>0</v>
      </c>
      <c r="S12" s="77">
        <f>'18'!AD15</f>
        <v>0</v>
      </c>
      <c r="T12" s="77">
        <f>'19'!AD15</f>
        <v>0</v>
      </c>
      <c r="U12" s="77"/>
      <c r="V12" s="77"/>
      <c r="W12" s="77">
        <f>'22'!AD15</f>
        <v>0</v>
      </c>
      <c r="X12" s="77">
        <f>'23'!AD15+'23'!AD16</f>
        <v>0.83333333333333337</v>
      </c>
      <c r="Y12" s="77">
        <f>'24'!AD15</f>
        <v>0.25</v>
      </c>
      <c r="Z12" s="77">
        <f>'25'!AD17</f>
        <v>0</v>
      </c>
      <c r="AA12" s="77">
        <f>'26'!AD17</f>
        <v>0</v>
      </c>
      <c r="AB12" s="77">
        <f>'27'!AD15</f>
        <v>0</v>
      </c>
      <c r="AC12" s="77">
        <f>'28'!AD15</f>
        <v>0</v>
      </c>
      <c r="AD12" s="77">
        <f>'29'!AD16</f>
        <v>0.41666666666666669</v>
      </c>
      <c r="AE12" s="77">
        <f>'30'!AD15+'30'!AD16</f>
        <v>0.75</v>
      </c>
      <c r="AF12" s="78"/>
      <c r="AG12" s="79">
        <f t="shared" si="0"/>
        <v>0.10833333333333334</v>
      </c>
    </row>
    <row r="13" spans="1:33" ht="21.75" customHeight="1">
      <c r="A13" s="111" t="s">
        <v>70</v>
      </c>
      <c r="B13" s="106">
        <f>'01'!AD16</f>
        <v>0</v>
      </c>
      <c r="C13" s="106">
        <f>'02'!AD16</f>
        <v>0</v>
      </c>
      <c r="D13" s="77">
        <f>'03'!AD17+'03'!AD18+'03'!AD19</f>
        <v>0.95833333333333326</v>
      </c>
      <c r="E13" s="77">
        <f>'04'!AD17</f>
        <v>0.625</v>
      </c>
      <c r="F13" s="77">
        <f>'05'!AD16</f>
        <v>0.33333333333333331</v>
      </c>
      <c r="G13" s="77"/>
      <c r="H13" s="77"/>
      <c r="I13" s="77">
        <f>'08'!AD16</f>
        <v>0.5</v>
      </c>
      <c r="J13" s="77">
        <f>'09'!AD16</f>
        <v>0</v>
      </c>
      <c r="K13" s="77">
        <f>'10'!AD16</f>
        <v>0.95833333333333337</v>
      </c>
      <c r="L13" s="77">
        <f>'11'!AD17</f>
        <v>1</v>
      </c>
      <c r="M13" s="77">
        <f>'12'!AD16</f>
        <v>1</v>
      </c>
      <c r="N13" s="77"/>
      <c r="O13" s="77"/>
      <c r="P13" s="77">
        <f>'15'!AD16+'15'!AD17</f>
        <v>0.91666666666666674</v>
      </c>
      <c r="Q13" s="77">
        <f>'16'!AD16</f>
        <v>1</v>
      </c>
      <c r="R13" s="77">
        <f>'17'!AD16</f>
        <v>0.79166666666666663</v>
      </c>
      <c r="S13" s="77">
        <f>'18'!AD16</f>
        <v>0.16666666666666666</v>
      </c>
      <c r="T13" s="77">
        <f>'19'!AD16</f>
        <v>0.58333333333333337</v>
      </c>
      <c r="U13" s="77"/>
      <c r="V13" s="77"/>
      <c r="W13" s="77">
        <f>'22'!AD16</f>
        <v>1</v>
      </c>
      <c r="X13" s="77">
        <f>'23'!AD17</f>
        <v>1</v>
      </c>
      <c r="Y13" s="77">
        <f>'24'!AD16</f>
        <v>1</v>
      </c>
      <c r="Z13" s="77">
        <f>'25'!AD18</f>
        <v>1</v>
      </c>
      <c r="AA13" s="77">
        <f>'26'!AD18</f>
        <v>1</v>
      </c>
      <c r="AB13" s="77">
        <f>'27'!AD16</f>
        <v>1</v>
      </c>
      <c r="AC13" s="77">
        <f>'28'!AD16</f>
        <v>0.41666666666666669</v>
      </c>
      <c r="AD13" s="77">
        <f>'29'!AD17</f>
        <v>1</v>
      </c>
      <c r="AE13" s="77">
        <f>'30'!AD17</f>
        <v>1</v>
      </c>
      <c r="AF13" s="78"/>
      <c r="AG13" s="79">
        <f t="shared" si="0"/>
        <v>0.57499999999999996</v>
      </c>
    </row>
    <row r="14" spans="1:33" ht="21.75" customHeight="1">
      <c r="A14" s="111" t="s">
        <v>71</v>
      </c>
      <c r="B14" s="106">
        <f>'01'!AD17</f>
        <v>0.41666666666666669</v>
      </c>
      <c r="C14" s="106">
        <f>'02'!AD17</f>
        <v>0</v>
      </c>
      <c r="D14" s="77">
        <f>'03'!AD20</f>
        <v>0</v>
      </c>
      <c r="E14" s="77">
        <f>'04'!AD18</f>
        <v>0</v>
      </c>
      <c r="F14" s="77">
        <f>'05'!AD17</f>
        <v>0</v>
      </c>
      <c r="G14" s="77"/>
      <c r="H14" s="77"/>
      <c r="I14" s="77">
        <f>'08'!AD17</f>
        <v>0</v>
      </c>
      <c r="J14" s="77">
        <f>'09'!AD17</f>
        <v>0.41666666666666669</v>
      </c>
      <c r="K14" s="77">
        <f>'10'!AD17</f>
        <v>0.75</v>
      </c>
      <c r="L14" s="77">
        <f>'11'!AD18</f>
        <v>0.54166666666666663</v>
      </c>
      <c r="M14" s="77">
        <f>'12'!AD17</f>
        <v>0</v>
      </c>
      <c r="N14" s="77"/>
      <c r="O14" s="77"/>
      <c r="P14" s="77">
        <f>'15'!AD18</f>
        <v>0</v>
      </c>
      <c r="Q14" s="77">
        <f>'16'!AD17</f>
        <v>0</v>
      </c>
      <c r="R14" s="77">
        <f>'17'!AD17</f>
        <v>0</v>
      </c>
      <c r="S14" s="77">
        <f>'18'!AD17</f>
        <v>0</v>
      </c>
      <c r="T14" s="77">
        <f>'19'!AD17</f>
        <v>0</v>
      </c>
      <c r="U14" s="77"/>
      <c r="V14" s="77"/>
      <c r="W14" s="77">
        <f>'22'!AD17</f>
        <v>0</v>
      </c>
      <c r="X14" s="77">
        <f>'23'!AD18</f>
        <v>0</v>
      </c>
      <c r="Y14" s="77">
        <f>'24'!AD17</f>
        <v>0</v>
      </c>
      <c r="Z14" s="77">
        <f>'25'!AD19</f>
        <v>0</v>
      </c>
      <c r="AA14" s="77">
        <f>'26'!AD19</f>
        <v>0</v>
      </c>
      <c r="AB14" s="77">
        <f>'27'!AD17</f>
        <v>0</v>
      </c>
      <c r="AC14" s="77">
        <f>'28'!AD17</f>
        <v>0</v>
      </c>
      <c r="AD14" s="77">
        <f>'29'!AD18</f>
        <v>0.33333333333333331</v>
      </c>
      <c r="AE14" s="77">
        <f>'30'!AD18</f>
        <v>0.79166666666666663</v>
      </c>
      <c r="AF14" s="78"/>
      <c r="AG14" s="79">
        <f t="shared" si="0"/>
        <v>0.10833333333333334</v>
      </c>
    </row>
    <row r="15" spans="1:33" ht="21.75" customHeight="1">
      <c r="A15" s="112" t="s">
        <v>72</v>
      </c>
      <c r="B15" s="107">
        <f>'01'!AD18+'01'!AD19</f>
        <v>0.95833333333333326</v>
      </c>
      <c r="C15" s="107">
        <f>'02'!AD18</f>
        <v>0.54166666666666663</v>
      </c>
      <c r="D15" s="80">
        <f>'03'!AD21</f>
        <v>1</v>
      </c>
      <c r="E15" s="80">
        <f>'04'!AD19</f>
        <v>1</v>
      </c>
      <c r="F15" s="80">
        <f>'05'!AD18</f>
        <v>1</v>
      </c>
      <c r="G15" s="80"/>
      <c r="H15" s="80"/>
      <c r="I15" s="80">
        <f>'08'!AD18</f>
        <v>0.83309352517985613</v>
      </c>
      <c r="J15" s="80">
        <f>'09'!AD18</f>
        <v>0</v>
      </c>
      <c r="K15" s="80">
        <f>'10'!AD18+'10'!AD19</f>
        <v>0.875</v>
      </c>
      <c r="L15" s="80">
        <f>'11'!AD19</f>
        <v>0.54166666666666663</v>
      </c>
      <c r="M15" s="80">
        <f>'12'!AD18</f>
        <v>0</v>
      </c>
      <c r="N15" s="80"/>
      <c r="O15" s="80"/>
      <c r="P15" s="80">
        <f>'15'!AD19</f>
        <v>0</v>
      </c>
      <c r="Q15" s="80">
        <f>'16'!AD18</f>
        <v>0.45833333333333331</v>
      </c>
      <c r="R15" s="80">
        <f>'17'!AD18</f>
        <v>0.91666666666666663</v>
      </c>
      <c r="S15" s="80">
        <f>'18'!AD18</f>
        <v>1</v>
      </c>
      <c r="T15" s="80">
        <f>'19'!AD18</f>
        <v>1</v>
      </c>
      <c r="U15" s="80"/>
      <c r="V15" s="80"/>
      <c r="W15" s="80">
        <f>'22'!AD18</f>
        <v>1</v>
      </c>
      <c r="X15" s="80">
        <f>'23'!AD19</f>
        <v>1</v>
      </c>
      <c r="Y15" s="80">
        <f>'24'!AD18+'24'!AD19</f>
        <v>0.91666666666666663</v>
      </c>
      <c r="Z15" s="80">
        <f>'25'!AD20</f>
        <v>1</v>
      </c>
      <c r="AA15" s="80">
        <f>'26'!AD20</f>
        <v>1</v>
      </c>
      <c r="AB15" s="80">
        <f>'27'!AD18</f>
        <v>1</v>
      </c>
      <c r="AC15" s="80">
        <f>'28'!AD18</f>
        <v>0.41666666666666669</v>
      </c>
      <c r="AD15" s="80">
        <f>'29'!AD19</f>
        <v>1</v>
      </c>
      <c r="AE15" s="80">
        <f>'30'!AD19</f>
        <v>0.79166666666666663</v>
      </c>
      <c r="AF15" s="81"/>
      <c r="AG15" s="82">
        <f t="shared" si="0"/>
        <v>0.60832533972821756</v>
      </c>
    </row>
    <row r="16" spans="1:33" ht="21.75" customHeight="1">
      <c r="A16" s="112" t="s">
        <v>73</v>
      </c>
      <c r="B16" s="107">
        <f>'01'!AD20</f>
        <v>1</v>
      </c>
      <c r="C16" s="107">
        <f>'02'!AD19</f>
        <v>1</v>
      </c>
      <c r="D16" s="80">
        <f>'03'!AD22</f>
        <v>0.33333333333333331</v>
      </c>
      <c r="E16" s="80">
        <f>'04'!AD20</f>
        <v>0.625</v>
      </c>
      <c r="F16" s="80">
        <f>'05'!AD19</f>
        <v>0.91666666666666663</v>
      </c>
      <c r="G16" s="80"/>
      <c r="H16" s="80"/>
      <c r="I16" s="80">
        <f>'08'!AD19</f>
        <v>1</v>
      </c>
      <c r="J16" s="80">
        <f>'09'!AD19</f>
        <v>1</v>
      </c>
      <c r="K16" s="80">
        <f>'10'!AD20</f>
        <v>0.91666666666666663</v>
      </c>
      <c r="L16" s="80">
        <f>'11'!AD20</f>
        <v>1</v>
      </c>
      <c r="M16" s="80">
        <f>'12'!AD19</f>
        <v>1</v>
      </c>
      <c r="N16" s="80"/>
      <c r="O16" s="80"/>
      <c r="P16" s="80">
        <f>'15'!AD20</f>
        <v>1</v>
      </c>
      <c r="Q16" s="80">
        <f>'16'!AD19</f>
        <v>0.83333333333333337</v>
      </c>
      <c r="R16" s="80">
        <f>'17'!AD19</f>
        <v>1</v>
      </c>
      <c r="S16" s="80">
        <f>'18'!AD19</f>
        <v>1</v>
      </c>
      <c r="T16" s="80">
        <f>'19'!AD19</f>
        <v>0.875</v>
      </c>
      <c r="U16" s="80"/>
      <c r="V16" s="80"/>
      <c r="W16" s="80">
        <f>'22'!AD19</f>
        <v>0</v>
      </c>
      <c r="X16" s="80">
        <f>'23'!AD20</f>
        <v>0.79166666666666663</v>
      </c>
      <c r="Y16" s="80">
        <f>'24'!AD20</f>
        <v>0.875</v>
      </c>
      <c r="Z16" s="80">
        <f>'25'!AD21</f>
        <v>0.91666666666666663</v>
      </c>
      <c r="AA16" s="80">
        <f>'26'!AD21</f>
        <v>0</v>
      </c>
      <c r="AB16" s="80">
        <f>'27'!AD19</f>
        <v>0</v>
      </c>
      <c r="AC16" s="80">
        <f>'28'!AD19</f>
        <v>0</v>
      </c>
      <c r="AD16" s="80">
        <f>'29'!AD20</f>
        <v>0.70833333333333337</v>
      </c>
      <c r="AE16" s="80">
        <f>'30'!AD20</f>
        <v>0.45833333333333331</v>
      </c>
      <c r="AF16" s="81"/>
      <c r="AG16" s="82">
        <f t="shared" si="0"/>
        <v>0.57499999999999996</v>
      </c>
    </row>
    <row r="17" spans="1:33" ht="21.75" customHeight="1" thickBot="1">
      <c r="A17" s="113" t="s">
        <v>111</v>
      </c>
      <c r="B17" s="108">
        <f>'01'!AD21</f>
        <v>0.33333333333333331</v>
      </c>
      <c r="C17" s="108">
        <f>'02'!AD20</f>
        <v>0.45833333333333331</v>
      </c>
      <c r="D17" s="83">
        <f>'03'!AD23</f>
        <v>0</v>
      </c>
      <c r="E17" s="83">
        <f>'04'!AD21</f>
        <v>0</v>
      </c>
      <c r="F17" s="83">
        <f>'05'!AD20</f>
        <v>0</v>
      </c>
      <c r="G17" s="83"/>
      <c r="H17" s="83"/>
      <c r="I17" s="83">
        <f>'08'!AD20</f>
        <v>0.375</v>
      </c>
      <c r="J17" s="83">
        <f>'09'!AD20</f>
        <v>0.54166666666666663</v>
      </c>
      <c r="K17" s="83">
        <f>'10'!AD21</f>
        <v>0.45833333333333331</v>
      </c>
      <c r="L17" s="83">
        <f>'11'!AD21</f>
        <v>0.54166666666666663</v>
      </c>
      <c r="M17" s="83">
        <f>'12'!AD20</f>
        <v>0.58333333333333337</v>
      </c>
      <c r="N17" s="83"/>
      <c r="O17" s="83"/>
      <c r="P17" s="83">
        <f>'15'!AD21</f>
        <v>0.58333333333333337</v>
      </c>
      <c r="Q17" s="83">
        <f>'16'!AD20</f>
        <v>0.58333333333333337</v>
      </c>
      <c r="R17" s="83">
        <f>'17'!AD20</f>
        <v>0</v>
      </c>
      <c r="S17" s="83">
        <f>'18'!AD20</f>
        <v>0.58333333333333337</v>
      </c>
      <c r="T17" s="83">
        <f>'19'!AD20</f>
        <v>0.58333333333333337</v>
      </c>
      <c r="U17" s="83"/>
      <c r="V17" s="83"/>
      <c r="W17" s="83">
        <f>'22'!AD20</f>
        <v>0.58333333333333337</v>
      </c>
      <c r="X17" s="83">
        <f>'23'!AD21</f>
        <v>0.41666666666666669</v>
      </c>
      <c r="Y17" s="83">
        <f>'24'!AD21</f>
        <v>0</v>
      </c>
      <c r="Z17" s="83">
        <f>'25'!AD22</f>
        <v>0</v>
      </c>
      <c r="AA17" s="83">
        <f>'26'!AD22</f>
        <v>0.5</v>
      </c>
      <c r="AB17" s="83">
        <f>'27'!AD20</f>
        <v>0</v>
      </c>
      <c r="AC17" s="83">
        <f>'28'!AD20</f>
        <v>0</v>
      </c>
      <c r="AD17" s="83">
        <f>'29'!AD21</f>
        <v>0.5</v>
      </c>
      <c r="AE17" s="83">
        <f>'30'!AD21</f>
        <v>0.5</v>
      </c>
      <c r="AF17" s="84"/>
      <c r="AG17" s="85">
        <f t="shared" si="0"/>
        <v>0.27083333333333331</v>
      </c>
    </row>
    <row r="18" spans="1:33" s="86" customFormat="1" ht="21.75" customHeight="1">
      <c r="A18" s="90" t="s">
        <v>105</v>
      </c>
      <c r="B18" s="94">
        <f>'01'!AD22</f>
        <v>0.45000000000000007</v>
      </c>
      <c r="C18" s="94">
        <f>'02'!AD21</f>
        <v>0.40555555555555561</v>
      </c>
      <c r="D18" s="95">
        <f>'03'!AD24</f>
        <v>0.34999999999999992</v>
      </c>
      <c r="E18" s="95">
        <f>'04'!AD22</f>
        <v>0.35179632895682278</v>
      </c>
      <c r="F18" s="95">
        <f>'05'!AD21</f>
        <v>0.41388888888888886</v>
      </c>
      <c r="G18" s="95"/>
      <c r="H18" s="95"/>
      <c r="I18" s="95">
        <f>'08'!AD21</f>
        <v>0.4350057218878538</v>
      </c>
      <c r="J18" s="95">
        <f>'09'!AD21</f>
        <v>0.41944444444444445</v>
      </c>
      <c r="K18" s="95">
        <f>'10'!AD22</f>
        <v>0.45555555555555555</v>
      </c>
      <c r="L18" s="95">
        <f>'11'!AD22</f>
        <v>0.42222222222222228</v>
      </c>
      <c r="M18" s="95">
        <f>'12'!AD21</f>
        <v>0.29722222222222222</v>
      </c>
      <c r="N18" s="95"/>
      <c r="O18" s="95"/>
      <c r="P18" s="95">
        <f>'15'!AD22</f>
        <v>0.32222222222222219</v>
      </c>
      <c r="Q18" s="95">
        <f>'16'!AD21</f>
        <v>0.36666666666666659</v>
      </c>
      <c r="R18" s="95">
        <f>'17'!AD21</f>
        <v>0.39166666666666666</v>
      </c>
      <c r="S18" s="95">
        <f>'18'!AD21</f>
        <v>0.3888888888888889</v>
      </c>
      <c r="T18" s="95">
        <f>'19'!AD21</f>
        <v>0.38612302925051922</v>
      </c>
      <c r="U18" s="95"/>
      <c r="V18" s="95"/>
      <c r="W18" s="95">
        <f>'22'!AD21</f>
        <v>0.40088658812328926</v>
      </c>
      <c r="X18" s="95">
        <f>'23'!AD22</f>
        <v>0.5361111111111112</v>
      </c>
      <c r="Y18" s="95">
        <f>'24'!AD22</f>
        <v>0.31111111111111106</v>
      </c>
      <c r="Z18" s="95">
        <f>'25'!AD23</f>
        <v>0.40555555555555556</v>
      </c>
      <c r="AA18" s="95">
        <f>'26'!AD23</f>
        <v>0.40277777777777773</v>
      </c>
      <c r="AB18" s="95">
        <f>'27'!AD21</f>
        <v>0.4</v>
      </c>
      <c r="AC18" s="95">
        <f>'28'!AD21</f>
        <v>0.1388888888888889</v>
      </c>
      <c r="AD18" s="95">
        <f>'29'!AD22</f>
        <v>0.51666666666666661</v>
      </c>
      <c r="AE18" s="95">
        <f>'30'!AD22</f>
        <v>0.5083333333333333</v>
      </c>
      <c r="AF18" s="96"/>
      <c r="AG18" s="99">
        <f t="shared" si="0"/>
        <v>0.31588631486654201</v>
      </c>
    </row>
    <row r="19" spans="1:33" ht="21.75" customHeight="1" thickBot="1">
      <c r="A19" s="69" t="s">
        <v>109</v>
      </c>
      <c r="B19" s="70">
        <v>0.7</v>
      </c>
      <c r="C19" s="71">
        <v>0.7</v>
      </c>
      <c r="D19" s="71">
        <v>0.7</v>
      </c>
      <c r="E19" s="71">
        <v>0.7</v>
      </c>
      <c r="F19" s="71">
        <v>0.7</v>
      </c>
      <c r="G19" s="71">
        <v>0.7</v>
      </c>
      <c r="H19" s="71">
        <v>0.7</v>
      </c>
      <c r="I19" s="71">
        <v>0.7</v>
      </c>
      <c r="J19" s="71">
        <v>0.7</v>
      </c>
      <c r="K19" s="71">
        <v>0.7</v>
      </c>
      <c r="L19" s="71">
        <v>0.7</v>
      </c>
      <c r="M19" s="71">
        <v>0.7</v>
      </c>
      <c r="N19" s="71">
        <v>0.7</v>
      </c>
      <c r="O19" s="71">
        <v>0.7</v>
      </c>
      <c r="P19" s="71">
        <v>0.7</v>
      </c>
      <c r="Q19" s="71">
        <v>0.7</v>
      </c>
      <c r="R19" s="71">
        <v>0.7</v>
      </c>
      <c r="S19" s="71">
        <v>0.7</v>
      </c>
      <c r="T19" s="71">
        <v>0.7</v>
      </c>
      <c r="U19" s="71">
        <v>0.7</v>
      </c>
      <c r="V19" s="71">
        <v>0.7</v>
      </c>
      <c r="W19" s="71">
        <v>0.7</v>
      </c>
      <c r="X19" s="71">
        <v>0.7</v>
      </c>
      <c r="Y19" s="71">
        <v>0.7</v>
      </c>
      <c r="Z19" s="71">
        <v>0.7</v>
      </c>
      <c r="AA19" s="71">
        <v>0.7</v>
      </c>
      <c r="AB19" s="71">
        <v>0.7</v>
      </c>
      <c r="AC19" s="71">
        <v>0.7</v>
      </c>
      <c r="AD19" s="71">
        <v>0.7</v>
      </c>
      <c r="AE19" s="71">
        <v>0.7</v>
      </c>
      <c r="AF19" s="72">
        <v>0.7</v>
      </c>
      <c r="AG19" s="73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9317-2B16-4A29-B530-7FD07B0F3292}">
  <sheetPr codeName="Sheet2">
    <pageSetUpPr fitToPage="1"/>
  </sheetPr>
  <dimension ref="A1:AF87"/>
  <sheetViews>
    <sheetView topLeftCell="A10" zoomScale="72" zoomScaleNormal="72" zoomScaleSheetLayoutView="70" workbookViewId="0">
      <selection activeCell="U17" sqref="U1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150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0.45000000000000007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0.45000000000000007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143</v>
      </c>
      <c r="D8" s="52" t="s">
        <v>144</v>
      </c>
      <c r="E8" s="53" t="s">
        <v>151</v>
      </c>
      <c r="F8" s="30" t="s">
        <v>152</v>
      </c>
      <c r="G8" s="33">
        <v>3</v>
      </c>
      <c r="H8" s="35">
        <v>24</v>
      </c>
      <c r="I8" s="7">
        <v>30000</v>
      </c>
      <c r="J8" s="5">
        <v>14004</v>
      </c>
      <c r="K8" s="15">
        <f>L8</f>
        <v>14004</v>
      </c>
      <c r="L8" s="15">
        <f>2040*3+2628*3</f>
        <v>14004</v>
      </c>
      <c r="M8" s="15">
        <f t="shared" si="1"/>
        <v>14004</v>
      </c>
      <c r="N8" s="15">
        <v>0</v>
      </c>
      <c r="O8" s="58">
        <f t="shared" si="2"/>
        <v>0</v>
      </c>
      <c r="P8" s="39">
        <f t="shared" si="3"/>
        <v>23</v>
      </c>
      <c r="Q8" s="40">
        <f t="shared" si="4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0.95833333333333337</v>
      </c>
      <c r="AD8" s="10">
        <f t="shared" si="7"/>
        <v>0.95833333333333337</v>
      </c>
      <c r="AE8" s="36">
        <f t="shared" si="8"/>
        <v>0.45000000000000007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138</v>
      </c>
      <c r="E9" s="53" t="s">
        <v>145</v>
      </c>
      <c r="F9" s="30" t="s">
        <v>124</v>
      </c>
      <c r="G9" s="33">
        <v>1</v>
      </c>
      <c r="H9" s="35">
        <v>24</v>
      </c>
      <c r="I9" s="7">
        <v>3000</v>
      </c>
      <c r="J9" s="14">
        <v>2663</v>
      </c>
      <c r="K9" s="15">
        <f>L9</f>
        <v>2663</v>
      </c>
      <c r="L9" s="15">
        <f>143+2520</f>
        <v>2663</v>
      </c>
      <c r="M9" s="15">
        <f t="shared" si="1"/>
        <v>2663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0.45000000000000007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11" t="s">
        <v>118</v>
      </c>
      <c r="D10" s="52" t="s">
        <v>134</v>
      </c>
      <c r="E10" s="53" t="s">
        <v>135</v>
      </c>
      <c r="F10" s="12" t="s">
        <v>136</v>
      </c>
      <c r="G10" s="12">
        <v>2</v>
      </c>
      <c r="H10" s="13">
        <v>20</v>
      </c>
      <c r="I10" s="7">
        <v>100000</v>
      </c>
      <c r="J10" s="14">
        <v>8972</v>
      </c>
      <c r="K10" s="15">
        <f>L10+15008+10186+13952+21634+21790+8972</f>
        <v>91542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 t="shared" si="7"/>
        <v>0</v>
      </c>
      <c r="AE10" s="36">
        <f t="shared" si="8"/>
        <v>0.45000000000000007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5416</v>
      </c>
      <c r="K11" s="15">
        <f>L11+5508+2684</f>
        <v>13608</v>
      </c>
      <c r="L11" s="15">
        <f>3263+2153</f>
        <v>5416</v>
      </c>
      <c r="M11" s="15">
        <f t="shared" si="1"/>
        <v>5416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0.45000000000000007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128</v>
      </c>
      <c r="D12" s="52" t="s">
        <v>125</v>
      </c>
      <c r="E12" s="53" t="s">
        <v>130</v>
      </c>
      <c r="F12" s="30" t="s">
        <v>126</v>
      </c>
      <c r="G12" s="33">
        <v>1</v>
      </c>
      <c r="H12" s="35">
        <v>20</v>
      </c>
      <c r="I12" s="7">
        <v>12000</v>
      </c>
      <c r="J12" s="14">
        <v>5402</v>
      </c>
      <c r="K12" s="15">
        <f>L12</f>
        <v>5402</v>
      </c>
      <c r="L12" s="15">
        <f>2494+2908</f>
        <v>5402</v>
      </c>
      <c r="M12" s="15">
        <f t="shared" si="1"/>
        <v>5402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0.45000000000000007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146</v>
      </c>
      <c r="F13" s="30" t="s">
        <v>153</v>
      </c>
      <c r="G13" s="33">
        <v>1</v>
      </c>
      <c r="H13" s="35">
        <v>24</v>
      </c>
      <c r="I13" s="7">
        <v>600</v>
      </c>
      <c r="J13" s="14">
        <v>622</v>
      </c>
      <c r="K13" s="15">
        <f>L13</f>
        <v>622</v>
      </c>
      <c r="L13" s="15">
        <f>622</f>
        <v>622</v>
      </c>
      <c r="M13" s="15">
        <f t="shared" si="1"/>
        <v>622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0.45000000000000007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0.45000000000000007</v>
      </c>
      <c r="AF14" s="87">
        <f t="shared" si="9"/>
        <v>9</v>
      </c>
    </row>
    <row r="15" spans="1:32" ht="27" customHeight="1">
      <c r="A15" s="102">
        <v>10</v>
      </c>
      <c r="B15" s="11"/>
      <c r="C15" s="34"/>
      <c r="D15" s="52"/>
      <c r="E15" s="53"/>
      <c r="F15" s="12"/>
      <c r="G15" s="12"/>
      <c r="H15" s="13"/>
      <c r="I15" s="31"/>
      <c r="J15" s="14"/>
      <c r="K15" s="15"/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0.45000000000000007</v>
      </c>
      <c r="AF15" s="87">
        <f t="shared" si="9"/>
        <v>10</v>
      </c>
    </row>
    <row r="16" spans="1:32" ht="30" customHeight="1">
      <c r="A16" s="102">
        <v>11</v>
      </c>
      <c r="B16" s="11"/>
      <c r="C16" s="11"/>
      <c r="D16" s="52"/>
      <c r="E16" s="53"/>
      <c r="F16" s="12"/>
      <c r="G16" s="12"/>
      <c r="H16" s="13"/>
      <c r="I16" s="7"/>
      <c r="J16" s="14"/>
      <c r="K16" s="15"/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 t="str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0.45000000000000007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147</v>
      </c>
      <c r="F17" s="12">
        <v>8301</v>
      </c>
      <c r="G17" s="12">
        <v>1</v>
      </c>
      <c r="H17" s="13">
        <v>24</v>
      </c>
      <c r="I17" s="31">
        <v>600</v>
      </c>
      <c r="J17" s="14">
        <v>696</v>
      </c>
      <c r="K17" s="15">
        <f>L17</f>
        <v>696</v>
      </c>
      <c r="L17" s="15">
        <v>696</v>
      </c>
      <c r="M17" s="15">
        <f t="shared" si="1"/>
        <v>696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0.45000000000000007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125</v>
      </c>
      <c r="E18" s="53" t="s">
        <v>148</v>
      </c>
      <c r="F18" s="30" t="s">
        <v>131</v>
      </c>
      <c r="G18" s="33">
        <v>1</v>
      </c>
      <c r="H18" s="35">
        <v>24</v>
      </c>
      <c r="I18" s="7">
        <v>600</v>
      </c>
      <c r="J18" s="5">
        <v>672</v>
      </c>
      <c r="K18" s="15">
        <f>L18</f>
        <v>672</v>
      </c>
      <c r="L18" s="15">
        <v>672</v>
      </c>
      <c r="M18" s="15">
        <f t="shared" ref="M18" si="10">L18-N18</f>
        <v>672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10</v>
      </c>
      <c r="Q18" s="40">
        <f t="shared" ref="Q18" si="13">SUM(R18:AA18)</f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0.41666666666666669</v>
      </c>
      <c r="AD18" s="10">
        <f>AC18*AB18*(1-O18)</f>
        <v>0.41666666666666669</v>
      </c>
      <c r="AE18" s="36">
        <f t="shared" si="8"/>
        <v>0.45000000000000007</v>
      </c>
      <c r="AF18" s="87">
        <f t="shared" ref="AF18" si="16">A18</f>
        <v>13</v>
      </c>
    </row>
    <row r="19" spans="1:32" ht="27" customHeight="1">
      <c r="A19" s="103">
        <v>13</v>
      </c>
      <c r="B19" s="11" t="s">
        <v>57</v>
      </c>
      <c r="C19" s="34" t="s">
        <v>128</v>
      </c>
      <c r="D19" s="52" t="s">
        <v>125</v>
      </c>
      <c r="E19" s="53" t="s">
        <v>154</v>
      </c>
      <c r="F19" s="30" t="s">
        <v>136</v>
      </c>
      <c r="G19" s="33">
        <v>1</v>
      </c>
      <c r="H19" s="35">
        <v>24</v>
      </c>
      <c r="I19" s="7">
        <v>2000</v>
      </c>
      <c r="J19" s="5">
        <v>4785</v>
      </c>
      <c r="K19" s="15">
        <f>L19</f>
        <v>4785</v>
      </c>
      <c r="L19" s="15">
        <f>966+3819</f>
        <v>4785</v>
      </c>
      <c r="M19" s="15">
        <f t="shared" si="1"/>
        <v>4785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/>
      <c r="T19" s="16">
        <v>11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>AC19*AB19*(1-O19)</f>
        <v>0.54166666666666663</v>
      </c>
      <c r="AE19" s="36">
        <f t="shared" si="8"/>
        <v>0.45000000000000007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118</v>
      </c>
      <c r="D20" s="52" t="s">
        <v>117</v>
      </c>
      <c r="E20" s="53" t="s">
        <v>140</v>
      </c>
      <c r="F20" s="30" t="s">
        <v>122</v>
      </c>
      <c r="G20" s="33">
        <v>1</v>
      </c>
      <c r="H20" s="35">
        <v>24</v>
      </c>
      <c r="I20" s="7">
        <v>20000</v>
      </c>
      <c r="J20" s="5">
        <v>5057</v>
      </c>
      <c r="K20" s="15">
        <f>L20+4379+5407+6381</f>
        <v>21224</v>
      </c>
      <c r="L20" s="15">
        <f>2271+2786</f>
        <v>5057</v>
      </c>
      <c r="M20" s="15">
        <f t="shared" si="1"/>
        <v>5057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0.45000000000000007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149</v>
      </c>
      <c r="F21" s="12" t="s">
        <v>116</v>
      </c>
      <c r="G21" s="12">
        <v>4</v>
      </c>
      <c r="H21" s="35">
        <v>20</v>
      </c>
      <c r="I21" s="7">
        <v>50000</v>
      </c>
      <c r="J21" s="14">
        <v>12000</v>
      </c>
      <c r="K21" s="15">
        <f>L21</f>
        <v>12000</v>
      </c>
      <c r="L21" s="15">
        <f>3000*4</f>
        <v>12000</v>
      </c>
      <c r="M21" s="15">
        <f t="shared" si="1"/>
        <v>12000</v>
      </c>
      <c r="N21" s="15">
        <v>0</v>
      </c>
      <c r="O21" s="58">
        <f t="shared" si="2"/>
        <v>0</v>
      </c>
      <c r="P21" s="39">
        <f t="shared" si="3"/>
        <v>8</v>
      </c>
      <c r="Q21" s="40">
        <f t="shared" si="4"/>
        <v>16</v>
      </c>
      <c r="R21" s="7"/>
      <c r="S21" s="6"/>
      <c r="T21" s="16"/>
      <c r="U21" s="16"/>
      <c r="V21" s="17">
        <v>16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0.33333333333333331</v>
      </c>
      <c r="AD21" s="10">
        <f t="shared" si="7"/>
        <v>0.33333333333333331</v>
      </c>
      <c r="AE21" s="36">
        <f t="shared" si="8"/>
        <v>0.45000000000000007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7">SUM(I6:I21)</f>
        <v>233800</v>
      </c>
      <c r="J22" s="19">
        <f t="shared" si="17"/>
        <v>60289</v>
      </c>
      <c r="K22" s="20">
        <f t="shared" si="17"/>
        <v>167218</v>
      </c>
      <c r="L22" s="21">
        <f t="shared" si="17"/>
        <v>51317</v>
      </c>
      <c r="M22" s="20">
        <f t="shared" si="17"/>
        <v>51317</v>
      </c>
      <c r="N22" s="21">
        <f t="shared" si="17"/>
        <v>0</v>
      </c>
      <c r="O22" s="41">
        <f t="shared" si="2"/>
        <v>0</v>
      </c>
      <c r="P22" s="42">
        <f t="shared" ref="P22:AA22" si="18">SUM(P6:P21)</f>
        <v>162</v>
      </c>
      <c r="Q22" s="43">
        <f t="shared" si="18"/>
        <v>222</v>
      </c>
      <c r="R22" s="23">
        <f t="shared" si="18"/>
        <v>24</v>
      </c>
      <c r="S22" s="24">
        <f t="shared" si="18"/>
        <v>8</v>
      </c>
      <c r="T22" s="24">
        <f t="shared" si="18"/>
        <v>12</v>
      </c>
      <c r="U22" s="24">
        <f t="shared" si="18"/>
        <v>0</v>
      </c>
      <c r="V22" s="25">
        <f t="shared" si="18"/>
        <v>16</v>
      </c>
      <c r="W22" s="26">
        <f t="shared" si="18"/>
        <v>162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0</v>
      </c>
      <c r="AB22" s="28">
        <f>SUM(AB6:AB21)/15</f>
        <v>0.66666666666666663</v>
      </c>
      <c r="AC22" s="4">
        <f>SUM(AC6:AC21)/15</f>
        <v>0.45000000000000007</v>
      </c>
      <c r="AD22" s="4">
        <f>SUM(AD6:AD21)/15</f>
        <v>0.45000000000000007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156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181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125" t="s">
        <v>46</v>
      </c>
      <c r="D51" s="125" t="s">
        <v>47</v>
      </c>
      <c r="E51" s="125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125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143</v>
      </c>
      <c r="B52" s="383"/>
      <c r="C52" s="127" t="s">
        <v>139</v>
      </c>
      <c r="D52" s="127" t="s">
        <v>144</v>
      </c>
      <c r="E52" s="127" t="s">
        <v>151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26" t="s">
        <v>128</v>
      </c>
      <c r="O52" s="135" t="s">
        <v>129</v>
      </c>
      <c r="P52" s="383" t="s">
        <v>117</v>
      </c>
      <c r="Q52" s="383"/>
      <c r="R52" s="383" t="s">
        <v>137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157</v>
      </c>
      <c r="B53" s="383"/>
      <c r="C53" s="127" t="s">
        <v>158</v>
      </c>
      <c r="D53" s="127" t="s">
        <v>159</v>
      </c>
      <c r="E53" s="127" t="s">
        <v>160</v>
      </c>
      <c r="F53" s="384" t="s">
        <v>132</v>
      </c>
      <c r="G53" s="385"/>
      <c r="H53" s="385"/>
      <c r="I53" s="385"/>
      <c r="J53" s="385"/>
      <c r="K53" s="385"/>
      <c r="L53" s="385"/>
      <c r="M53" s="386"/>
      <c r="N53" s="126"/>
      <c r="O53" s="135"/>
      <c r="P53" s="389"/>
      <c r="Q53" s="390"/>
      <c r="R53" s="383"/>
      <c r="S53" s="383"/>
      <c r="T53" s="383"/>
      <c r="U53" s="383"/>
      <c r="V53" s="387"/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157</v>
      </c>
      <c r="B54" s="383"/>
      <c r="C54" s="127" t="s">
        <v>161</v>
      </c>
      <c r="D54" s="127" t="s">
        <v>162</v>
      </c>
      <c r="E54" s="127" t="s">
        <v>163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126"/>
      <c r="O54" s="135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164</v>
      </c>
      <c r="B55" s="383"/>
      <c r="C55" s="127" t="s">
        <v>165</v>
      </c>
      <c r="D55" s="127" t="s">
        <v>166</v>
      </c>
      <c r="E55" s="127" t="s">
        <v>167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126"/>
      <c r="O55" s="135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164</v>
      </c>
      <c r="B56" s="383"/>
      <c r="C56" s="127" t="s">
        <v>168</v>
      </c>
      <c r="D56" s="127" t="s">
        <v>169</v>
      </c>
      <c r="E56" s="127" t="s">
        <v>170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126"/>
      <c r="O56" s="135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164</v>
      </c>
      <c r="B57" s="383"/>
      <c r="C57" s="127" t="s">
        <v>171</v>
      </c>
      <c r="D57" s="127" t="s">
        <v>162</v>
      </c>
      <c r="E57" s="127" t="s">
        <v>172</v>
      </c>
      <c r="F57" s="384" t="s">
        <v>123</v>
      </c>
      <c r="G57" s="385"/>
      <c r="H57" s="385"/>
      <c r="I57" s="385"/>
      <c r="J57" s="385"/>
      <c r="K57" s="385"/>
      <c r="L57" s="385"/>
      <c r="M57" s="386"/>
      <c r="N57" s="126"/>
      <c r="O57" s="135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157</v>
      </c>
      <c r="B58" s="383"/>
      <c r="C58" s="127" t="s">
        <v>171</v>
      </c>
      <c r="D58" s="127" t="s">
        <v>162</v>
      </c>
      <c r="E58" s="127" t="s">
        <v>173</v>
      </c>
      <c r="F58" s="384" t="s">
        <v>123</v>
      </c>
      <c r="G58" s="385"/>
      <c r="H58" s="385"/>
      <c r="I58" s="385"/>
      <c r="J58" s="385"/>
      <c r="K58" s="385"/>
      <c r="L58" s="385"/>
      <c r="M58" s="386"/>
      <c r="N58" s="126"/>
      <c r="O58" s="135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 t="s">
        <v>175</v>
      </c>
      <c r="B59" s="383"/>
      <c r="C59" s="127" t="s">
        <v>176</v>
      </c>
      <c r="D59" s="127" t="s">
        <v>166</v>
      </c>
      <c r="E59" s="127" t="s">
        <v>177</v>
      </c>
      <c r="F59" s="384" t="s">
        <v>174</v>
      </c>
      <c r="G59" s="385"/>
      <c r="H59" s="385"/>
      <c r="I59" s="385"/>
      <c r="J59" s="385"/>
      <c r="K59" s="385"/>
      <c r="L59" s="385"/>
      <c r="M59" s="386"/>
      <c r="N59" s="126"/>
      <c r="O59" s="135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 t="s">
        <v>178</v>
      </c>
      <c r="B60" s="383"/>
      <c r="C60" s="127" t="s">
        <v>179</v>
      </c>
      <c r="D60" s="127"/>
      <c r="E60" s="127" t="s">
        <v>180</v>
      </c>
      <c r="F60" s="384" t="s">
        <v>123</v>
      </c>
      <c r="G60" s="385"/>
      <c r="H60" s="385"/>
      <c r="I60" s="385"/>
      <c r="J60" s="385"/>
      <c r="K60" s="385"/>
      <c r="L60" s="385"/>
      <c r="M60" s="386"/>
      <c r="N60" s="126"/>
      <c r="O60" s="135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129"/>
      <c r="D61" s="129"/>
      <c r="E61" s="129"/>
      <c r="F61" s="393"/>
      <c r="G61" s="393"/>
      <c r="H61" s="393"/>
      <c r="I61" s="393"/>
      <c r="J61" s="393"/>
      <c r="K61" s="393"/>
      <c r="L61" s="393"/>
      <c r="M61" s="394"/>
      <c r="N61" s="128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182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130" t="s">
        <v>2</v>
      </c>
      <c r="D63" s="130" t="s">
        <v>37</v>
      </c>
      <c r="E63" s="130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130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/>
      <c r="D64" s="133"/>
      <c r="E64" s="131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/>
      <c r="D65" s="133"/>
      <c r="E65" s="13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133"/>
      <c r="E71" s="131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183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132" t="s">
        <v>2</v>
      </c>
      <c r="D73" s="132" t="s">
        <v>37</v>
      </c>
      <c r="E73" s="132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134" t="s">
        <v>114</v>
      </c>
      <c r="D74" s="134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133"/>
      <c r="D75" s="133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19">A75+1</f>
        <v>3</v>
      </c>
      <c r="B76" s="419"/>
      <c r="C76" s="133"/>
      <c r="D76" s="133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9"/>
        <v>4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9"/>
        <v>5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9"/>
        <v>6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9"/>
        <v>7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9"/>
        <v>8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19"/>
        <v>9</v>
      </c>
      <c r="B82" s="419"/>
      <c r="C82" s="133"/>
      <c r="D82" s="133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184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8972-616C-43D3-A3C3-C3E86E92DEB2}">
  <sheetPr codeName="Sheet3">
    <pageSetUpPr fitToPage="1"/>
  </sheetPr>
  <dimension ref="A1:AF86"/>
  <sheetViews>
    <sheetView topLeftCell="A13"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185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0.40555555555555561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0.40555555555555561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143</v>
      </c>
      <c r="D8" s="52" t="s">
        <v>144</v>
      </c>
      <c r="E8" s="53" t="s">
        <v>151</v>
      </c>
      <c r="F8" s="30" t="s">
        <v>152</v>
      </c>
      <c r="G8" s="33">
        <v>3</v>
      </c>
      <c r="H8" s="35">
        <v>24</v>
      </c>
      <c r="I8" s="7">
        <v>30000</v>
      </c>
      <c r="J8" s="5">
        <v>15522</v>
      </c>
      <c r="K8" s="15">
        <f>L8+14004</f>
        <v>29526</v>
      </c>
      <c r="L8" s="15">
        <f>2623*3+2551*3</f>
        <v>15522</v>
      </c>
      <c r="M8" s="15">
        <f t="shared" si="1"/>
        <v>15522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0.40555555555555561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138</v>
      </c>
      <c r="E9" s="53" t="s">
        <v>145</v>
      </c>
      <c r="F9" s="30" t="s">
        <v>124</v>
      </c>
      <c r="G9" s="33">
        <v>1</v>
      </c>
      <c r="H9" s="35">
        <v>24</v>
      </c>
      <c r="I9" s="7">
        <v>3000</v>
      </c>
      <c r="J9" s="14">
        <v>5679</v>
      </c>
      <c r="K9" s="15">
        <f>L9+2663</f>
        <v>8342</v>
      </c>
      <c r="L9" s="15">
        <f>2869+2810</f>
        <v>5679</v>
      </c>
      <c r="M9" s="15">
        <f t="shared" si="1"/>
        <v>5679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0.40555555555555561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11" t="s">
        <v>118</v>
      </c>
      <c r="D10" s="52" t="s">
        <v>134</v>
      </c>
      <c r="E10" s="53" t="s">
        <v>135</v>
      </c>
      <c r="F10" s="12" t="s">
        <v>136</v>
      </c>
      <c r="G10" s="12">
        <v>2</v>
      </c>
      <c r="H10" s="13">
        <v>20</v>
      </c>
      <c r="I10" s="7">
        <v>100000</v>
      </c>
      <c r="J10" s="14">
        <v>8972</v>
      </c>
      <c r="K10" s="15">
        <f>L10+15008+10186+13952+21634+21790+8972</f>
        <v>91542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 t="shared" si="7"/>
        <v>0</v>
      </c>
      <c r="AE10" s="36">
        <f t="shared" si="8"/>
        <v>0.40555555555555561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</f>
        <v>14858</v>
      </c>
      <c r="L11" s="15">
        <v>1250</v>
      </c>
      <c r="M11" s="15">
        <f t="shared" si="1"/>
        <v>1250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>
        <v>16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 t="shared" si="7"/>
        <v>0.33333333333333331</v>
      </c>
      <c r="AE11" s="36">
        <f t="shared" si="8"/>
        <v>0.40555555555555561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128</v>
      </c>
      <c r="D12" s="52" t="s">
        <v>125</v>
      </c>
      <c r="E12" s="53" t="s">
        <v>130</v>
      </c>
      <c r="F12" s="30" t="s">
        <v>126</v>
      </c>
      <c r="G12" s="33">
        <v>1</v>
      </c>
      <c r="H12" s="35">
        <v>20</v>
      </c>
      <c r="I12" s="7">
        <v>12000</v>
      </c>
      <c r="J12" s="14">
        <v>5384</v>
      </c>
      <c r="K12" s="15">
        <f>L12+5402</f>
        <v>10786</v>
      </c>
      <c r="L12" s="15">
        <f>2576+2808</f>
        <v>5384</v>
      </c>
      <c r="M12" s="15">
        <f t="shared" si="1"/>
        <v>5384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0.40555555555555561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137</v>
      </c>
      <c r="F13" s="30" t="s">
        <v>124</v>
      </c>
      <c r="G13" s="33">
        <v>1</v>
      </c>
      <c r="H13" s="35">
        <v>24</v>
      </c>
      <c r="I13" s="7">
        <v>12000</v>
      </c>
      <c r="J13" s="14">
        <v>3124</v>
      </c>
      <c r="K13" s="15">
        <f>L13</f>
        <v>3124</v>
      </c>
      <c r="L13" s="15">
        <f>608+2516</f>
        <v>3124</v>
      </c>
      <c r="M13" s="15">
        <f t="shared" si="1"/>
        <v>3124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7"/>
        <v>0.75</v>
      </c>
      <c r="AE13" s="36">
        <f t="shared" si="8"/>
        <v>0.40555555555555561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0.40555555555555561</v>
      </c>
      <c r="AF14" s="87">
        <f t="shared" si="9"/>
        <v>9</v>
      </c>
    </row>
    <row r="15" spans="1:32" ht="27" customHeight="1">
      <c r="A15" s="102">
        <v>10</v>
      </c>
      <c r="B15" s="11"/>
      <c r="C15" s="34"/>
      <c r="D15" s="52"/>
      <c r="E15" s="53"/>
      <c r="F15" s="12"/>
      <c r="G15" s="12"/>
      <c r="H15" s="13"/>
      <c r="I15" s="31"/>
      <c r="J15" s="14"/>
      <c r="K15" s="15"/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0.40555555555555561</v>
      </c>
      <c r="AF15" s="87">
        <f t="shared" si="9"/>
        <v>10</v>
      </c>
    </row>
    <row r="16" spans="1:32" ht="30" customHeight="1">
      <c r="A16" s="102">
        <v>11</v>
      </c>
      <c r="B16" s="11"/>
      <c r="C16" s="11"/>
      <c r="D16" s="52"/>
      <c r="E16" s="53"/>
      <c r="F16" s="12"/>
      <c r="G16" s="12"/>
      <c r="H16" s="13"/>
      <c r="I16" s="7"/>
      <c r="J16" s="14"/>
      <c r="K16" s="15"/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 t="str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0.40555555555555561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147</v>
      </c>
      <c r="F17" s="12">
        <v>8301</v>
      </c>
      <c r="G17" s="12">
        <v>1</v>
      </c>
      <c r="H17" s="13">
        <v>24</v>
      </c>
      <c r="I17" s="31">
        <v>600</v>
      </c>
      <c r="J17" s="14">
        <v>696</v>
      </c>
      <c r="K17" s="15">
        <f>L17+696</f>
        <v>696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0.40555555555555561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128</v>
      </c>
      <c r="D18" s="52" t="s">
        <v>125</v>
      </c>
      <c r="E18" s="53" t="s">
        <v>154</v>
      </c>
      <c r="F18" s="30" t="s">
        <v>136</v>
      </c>
      <c r="G18" s="33">
        <v>1</v>
      </c>
      <c r="H18" s="35">
        <v>24</v>
      </c>
      <c r="I18" s="7">
        <v>2000</v>
      </c>
      <c r="J18" s="5">
        <v>2668</v>
      </c>
      <c r="K18" s="15">
        <f>L18+4785</f>
        <v>7453</v>
      </c>
      <c r="L18" s="15">
        <f>2668</f>
        <v>2668</v>
      </c>
      <c r="M18" s="15">
        <f t="shared" si="1"/>
        <v>2668</v>
      </c>
      <c r="N18" s="15">
        <v>0</v>
      </c>
      <c r="O18" s="58">
        <f t="shared" si="2"/>
        <v>0</v>
      </c>
      <c r="P18" s="39">
        <f t="shared" si="3"/>
        <v>13</v>
      </c>
      <c r="Q18" s="40">
        <f t="shared" si="4"/>
        <v>11</v>
      </c>
      <c r="R18" s="7"/>
      <c r="S18" s="6">
        <v>11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0.54166666666666663</v>
      </c>
      <c r="AD18" s="10">
        <f>AC18*AB18*(1-O18)</f>
        <v>0.54166666666666663</v>
      </c>
      <c r="AE18" s="36">
        <f t="shared" si="8"/>
        <v>0.40555555555555561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118</v>
      </c>
      <c r="D19" s="52" t="s">
        <v>117</v>
      </c>
      <c r="E19" s="53" t="s">
        <v>140</v>
      </c>
      <c r="F19" s="30" t="s">
        <v>122</v>
      </c>
      <c r="G19" s="33">
        <v>1</v>
      </c>
      <c r="H19" s="35">
        <v>24</v>
      </c>
      <c r="I19" s="7">
        <v>20000</v>
      </c>
      <c r="J19" s="5">
        <v>5464</v>
      </c>
      <c r="K19" s="15">
        <f>L19+4379+5407+6381+5057</f>
        <v>26688</v>
      </c>
      <c r="L19" s="15">
        <f>2686+2778</f>
        <v>5464</v>
      </c>
      <c r="M19" s="15">
        <f t="shared" si="1"/>
        <v>5464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0.40555555555555561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149</v>
      </c>
      <c r="F20" s="12" t="s">
        <v>116</v>
      </c>
      <c r="G20" s="12">
        <v>4</v>
      </c>
      <c r="H20" s="35">
        <v>20</v>
      </c>
      <c r="I20" s="7">
        <v>50000</v>
      </c>
      <c r="J20" s="14">
        <v>27484</v>
      </c>
      <c r="K20" s="15">
        <f>L20+12000</f>
        <v>39484</v>
      </c>
      <c r="L20" s="15">
        <f>6871*4</f>
        <v>27484</v>
      </c>
      <c r="M20" s="15">
        <f t="shared" si="1"/>
        <v>27484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/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si="7"/>
        <v>0.45833333333333331</v>
      </c>
      <c r="AE20" s="36">
        <f t="shared" si="8"/>
        <v>0.40555555555555561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244600</v>
      </c>
      <c r="J21" s="19">
        <f t="shared" si="10"/>
        <v>76243</v>
      </c>
      <c r="K21" s="20">
        <f t="shared" si="10"/>
        <v>232499</v>
      </c>
      <c r="L21" s="21">
        <f t="shared" si="10"/>
        <v>66575</v>
      </c>
      <c r="M21" s="20">
        <f t="shared" si="10"/>
        <v>66575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146</v>
      </c>
      <c r="Q21" s="43">
        <f t="shared" si="11"/>
        <v>214</v>
      </c>
      <c r="R21" s="23">
        <f t="shared" si="11"/>
        <v>24</v>
      </c>
      <c r="S21" s="24">
        <f t="shared" si="11"/>
        <v>33</v>
      </c>
      <c r="T21" s="24">
        <f t="shared" si="11"/>
        <v>0</v>
      </c>
      <c r="U21" s="24">
        <f t="shared" si="11"/>
        <v>0</v>
      </c>
      <c r="V21" s="25">
        <f t="shared" si="11"/>
        <v>13</v>
      </c>
      <c r="W21" s="26">
        <f t="shared" si="11"/>
        <v>144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0.53333333333333333</v>
      </c>
      <c r="AC21" s="4">
        <f>SUM(AC6:AC20)/15</f>
        <v>0.40555555555555561</v>
      </c>
      <c r="AD21" s="4">
        <f>SUM(AD6:AD20)/15</f>
        <v>0.40555555555555561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186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195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25" t="s">
        <v>46</v>
      </c>
      <c r="D50" s="125" t="s">
        <v>47</v>
      </c>
      <c r="E50" s="125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25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128</v>
      </c>
      <c r="B51" s="383"/>
      <c r="C51" s="127" t="s">
        <v>129</v>
      </c>
      <c r="D51" s="127" t="s">
        <v>117</v>
      </c>
      <c r="E51" s="127" t="s">
        <v>137</v>
      </c>
      <c r="F51" s="384" t="s">
        <v>187</v>
      </c>
      <c r="G51" s="385"/>
      <c r="H51" s="385"/>
      <c r="I51" s="385"/>
      <c r="J51" s="385"/>
      <c r="K51" s="385"/>
      <c r="L51" s="385"/>
      <c r="M51" s="386"/>
      <c r="N51" s="126" t="s">
        <v>128</v>
      </c>
      <c r="O51" s="135" t="s">
        <v>129</v>
      </c>
      <c r="P51" s="383" t="s">
        <v>117</v>
      </c>
      <c r="Q51" s="383"/>
      <c r="R51" s="383" t="s">
        <v>137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/>
      <c r="B52" s="383"/>
      <c r="C52" s="127"/>
      <c r="D52" s="127"/>
      <c r="E52" s="127"/>
      <c r="F52" s="384"/>
      <c r="G52" s="385"/>
      <c r="H52" s="385"/>
      <c r="I52" s="385"/>
      <c r="J52" s="385"/>
      <c r="K52" s="385"/>
      <c r="L52" s="385"/>
      <c r="M52" s="386"/>
      <c r="N52" s="126" t="s">
        <v>114</v>
      </c>
      <c r="O52" s="135" t="s">
        <v>171</v>
      </c>
      <c r="P52" s="389" t="s">
        <v>133</v>
      </c>
      <c r="Q52" s="390"/>
      <c r="R52" s="383" t="s">
        <v>188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/>
      <c r="B53" s="383"/>
      <c r="C53" s="127"/>
      <c r="D53" s="127"/>
      <c r="E53" s="127"/>
      <c r="F53" s="384"/>
      <c r="G53" s="385"/>
      <c r="H53" s="385"/>
      <c r="I53" s="385"/>
      <c r="J53" s="385"/>
      <c r="K53" s="385"/>
      <c r="L53" s="385"/>
      <c r="M53" s="386"/>
      <c r="N53" s="126" t="s">
        <v>114</v>
      </c>
      <c r="O53" s="135" t="s">
        <v>189</v>
      </c>
      <c r="P53" s="389" t="s">
        <v>190</v>
      </c>
      <c r="Q53" s="390"/>
      <c r="R53" s="383" t="s">
        <v>191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/>
      <c r="B54" s="383"/>
      <c r="C54" s="127"/>
      <c r="D54" s="127"/>
      <c r="E54" s="127"/>
      <c r="F54" s="384"/>
      <c r="G54" s="385"/>
      <c r="H54" s="385"/>
      <c r="I54" s="385"/>
      <c r="J54" s="385"/>
      <c r="K54" s="385"/>
      <c r="L54" s="385"/>
      <c r="M54" s="386"/>
      <c r="N54" s="126" t="s">
        <v>114</v>
      </c>
      <c r="O54" s="135" t="s">
        <v>189</v>
      </c>
      <c r="P54" s="389" t="s">
        <v>190</v>
      </c>
      <c r="Q54" s="390"/>
      <c r="R54" s="383" t="s">
        <v>192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127"/>
      <c r="D55" s="127"/>
      <c r="E55" s="127"/>
      <c r="F55" s="384"/>
      <c r="G55" s="385"/>
      <c r="H55" s="385"/>
      <c r="I55" s="385"/>
      <c r="J55" s="385"/>
      <c r="K55" s="385"/>
      <c r="L55" s="385"/>
      <c r="M55" s="386"/>
      <c r="N55" s="126" t="s">
        <v>114</v>
      </c>
      <c r="O55" s="135" t="s">
        <v>158</v>
      </c>
      <c r="P55" s="389" t="s">
        <v>133</v>
      </c>
      <c r="Q55" s="390"/>
      <c r="R55" s="383" t="s">
        <v>193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27"/>
      <c r="D56" s="127"/>
      <c r="E56" s="127"/>
      <c r="F56" s="384"/>
      <c r="G56" s="385"/>
      <c r="H56" s="385"/>
      <c r="I56" s="385"/>
      <c r="J56" s="385"/>
      <c r="K56" s="385"/>
      <c r="L56" s="385"/>
      <c r="M56" s="386"/>
      <c r="N56" s="126" t="s">
        <v>114</v>
      </c>
      <c r="O56" s="135" t="s">
        <v>176</v>
      </c>
      <c r="P56" s="389" t="s">
        <v>117</v>
      </c>
      <c r="Q56" s="390"/>
      <c r="R56" s="383" t="s">
        <v>194</v>
      </c>
      <c r="S56" s="383"/>
      <c r="T56" s="383"/>
      <c r="U56" s="383"/>
      <c r="V56" s="387" t="s">
        <v>123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27"/>
      <c r="D57" s="127"/>
      <c r="E57" s="127"/>
      <c r="F57" s="384"/>
      <c r="G57" s="385"/>
      <c r="H57" s="385"/>
      <c r="I57" s="385"/>
      <c r="J57" s="385"/>
      <c r="K57" s="385"/>
      <c r="L57" s="385"/>
      <c r="M57" s="386"/>
      <c r="N57" s="126"/>
      <c r="O57" s="135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27"/>
      <c r="D58" s="127"/>
      <c r="E58" s="127"/>
      <c r="F58" s="384"/>
      <c r="G58" s="385"/>
      <c r="H58" s="385"/>
      <c r="I58" s="385"/>
      <c r="J58" s="385"/>
      <c r="K58" s="385"/>
      <c r="L58" s="385"/>
      <c r="M58" s="386"/>
      <c r="N58" s="126"/>
      <c r="O58" s="135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27"/>
      <c r="D59" s="127"/>
      <c r="E59" s="127"/>
      <c r="F59" s="384"/>
      <c r="G59" s="385"/>
      <c r="H59" s="385"/>
      <c r="I59" s="385"/>
      <c r="J59" s="385"/>
      <c r="K59" s="385"/>
      <c r="L59" s="385"/>
      <c r="M59" s="386"/>
      <c r="N59" s="126"/>
      <c r="O59" s="135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129"/>
      <c r="D60" s="129"/>
      <c r="E60" s="129"/>
      <c r="F60" s="393"/>
      <c r="G60" s="393"/>
      <c r="H60" s="393"/>
      <c r="I60" s="393"/>
      <c r="J60" s="393"/>
      <c r="K60" s="393"/>
      <c r="L60" s="393"/>
      <c r="M60" s="394"/>
      <c r="N60" s="128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196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130" t="s">
        <v>2</v>
      </c>
      <c r="D62" s="130" t="s">
        <v>37</v>
      </c>
      <c r="E62" s="130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130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/>
      <c r="D63" s="133"/>
      <c r="E63" s="131"/>
      <c r="F63" s="406"/>
      <c r="G63" s="407"/>
      <c r="H63" s="407"/>
      <c r="I63" s="407"/>
      <c r="J63" s="407"/>
      <c r="K63" s="407"/>
      <c r="L63" s="407"/>
      <c r="M63" s="51"/>
      <c r="N63" s="408"/>
      <c r="O63" s="408"/>
      <c r="P63" s="409"/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133"/>
      <c r="E64" s="131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133"/>
      <c r="E65" s="13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197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132" t="s">
        <v>2</v>
      </c>
      <c r="D72" s="132" t="s">
        <v>37</v>
      </c>
      <c r="E72" s="132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134" t="s">
        <v>114</v>
      </c>
      <c r="D73" s="134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133"/>
      <c r="D74" s="133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133"/>
      <c r="D75" s="133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133"/>
      <c r="D76" s="133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216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AE8-7FB1-4C5E-8D69-AF8C1C7D6E6C}">
  <sheetPr codeName="Sheet4">
    <pageSetUpPr fitToPage="1"/>
  </sheetPr>
  <dimension ref="A1:AF89"/>
  <sheetViews>
    <sheetView topLeftCell="A13" zoomScale="72" zoomScaleNormal="72" zoomScaleSheetLayoutView="70" workbookViewId="0">
      <selection activeCell="F83" sqref="F82:J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198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23" si="7">AC6*AB6*(1-O6)</f>
        <v>0</v>
      </c>
      <c r="AE6" s="36">
        <f t="shared" ref="AE6:AE23" si="8">$AD$24</f>
        <v>0.34999999999999992</v>
      </c>
      <c r="AF6" s="87">
        <f t="shared" ref="AF6:AF23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0.34999999999999992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143</v>
      </c>
      <c r="D8" s="52" t="s">
        <v>144</v>
      </c>
      <c r="E8" s="53" t="s">
        <v>151</v>
      </c>
      <c r="F8" s="30" t="s">
        <v>152</v>
      </c>
      <c r="G8" s="33">
        <v>3</v>
      </c>
      <c r="H8" s="35">
        <v>24</v>
      </c>
      <c r="I8" s="7">
        <v>30000</v>
      </c>
      <c r="J8" s="5">
        <v>15309</v>
      </c>
      <c r="K8" s="15">
        <f>L8+14004+15522</f>
        <v>44835</v>
      </c>
      <c r="L8" s="15">
        <f>2547*3+2556*3</f>
        <v>15309</v>
      </c>
      <c r="M8" s="15">
        <f t="shared" si="1"/>
        <v>15309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0.34999999999999992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138</v>
      </c>
      <c r="E9" s="53" t="s">
        <v>145</v>
      </c>
      <c r="F9" s="30" t="s">
        <v>124</v>
      </c>
      <c r="G9" s="33">
        <v>1</v>
      </c>
      <c r="H9" s="35">
        <v>24</v>
      </c>
      <c r="I9" s="7">
        <v>3000</v>
      </c>
      <c r="J9" s="14">
        <v>1349</v>
      </c>
      <c r="K9" s="15">
        <f>L9+2663+5679</f>
        <v>9691</v>
      </c>
      <c r="L9" s="15">
        <v>1349</v>
      </c>
      <c r="M9" s="15">
        <f t="shared" si="1"/>
        <v>1349</v>
      </c>
      <c r="N9" s="15">
        <v>0</v>
      </c>
      <c r="O9" s="58">
        <f t="shared" si="2"/>
        <v>0</v>
      </c>
      <c r="P9" s="39">
        <f t="shared" si="3"/>
        <v>5</v>
      </c>
      <c r="Q9" s="40">
        <f t="shared" si="4"/>
        <v>19</v>
      </c>
      <c r="R9" s="7"/>
      <c r="S9" s="6"/>
      <c r="T9" s="16"/>
      <c r="U9" s="16"/>
      <c r="V9" s="17"/>
      <c r="W9" s="5">
        <v>19</v>
      </c>
      <c r="X9" s="16"/>
      <c r="Y9" s="16"/>
      <c r="Z9" s="16"/>
      <c r="AA9" s="18"/>
      <c r="AB9" s="8">
        <f t="shared" si="5"/>
        <v>1</v>
      </c>
      <c r="AC9" s="9">
        <f t="shared" si="6"/>
        <v>0.20833333333333334</v>
      </c>
      <c r="AD9" s="10">
        <f t="shared" si="7"/>
        <v>0.20833333333333334</v>
      </c>
      <c r="AE9" s="36">
        <f t="shared" si="8"/>
        <v>0.34999999999999992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133</v>
      </c>
      <c r="E10" s="53" t="s">
        <v>199</v>
      </c>
      <c r="F10" s="30" t="s">
        <v>124</v>
      </c>
      <c r="G10" s="33">
        <v>1</v>
      </c>
      <c r="H10" s="35">
        <v>24</v>
      </c>
      <c r="I10" s="7">
        <v>48000</v>
      </c>
      <c r="J10" s="14">
        <v>3704</v>
      </c>
      <c r="K10" s="15">
        <f>L10</f>
        <v>3704</v>
      </c>
      <c r="L10" s="15">
        <f>2915+789</f>
        <v>3704</v>
      </c>
      <c r="M10" s="15">
        <f t="shared" si="1"/>
        <v>3704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/>
      <c r="T10" s="16">
        <v>6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 t="shared" si="7"/>
        <v>0.75</v>
      </c>
      <c r="AE10" s="36">
        <f t="shared" si="8"/>
        <v>0.34999999999999992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11" t="s">
        <v>118</v>
      </c>
      <c r="D11" s="52" t="s">
        <v>134</v>
      </c>
      <c r="E11" s="53" t="s">
        <v>135</v>
      </c>
      <c r="F11" s="12" t="s">
        <v>136</v>
      </c>
      <c r="G11" s="12">
        <v>2</v>
      </c>
      <c r="H11" s="13">
        <v>20</v>
      </c>
      <c r="I11" s="7">
        <v>100000</v>
      </c>
      <c r="J11" s="14">
        <v>8972</v>
      </c>
      <c r="K11" s="15">
        <f>L11+15008+10186+13952+21634+21790+8972</f>
        <v>91542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0.34999999999999992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133</v>
      </c>
      <c r="E12" s="53" t="s">
        <v>141</v>
      </c>
      <c r="F12" s="12" t="s">
        <v>142</v>
      </c>
      <c r="G12" s="12">
        <v>1</v>
      </c>
      <c r="H12" s="13"/>
      <c r="I12" s="7">
        <v>15000</v>
      </c>
      <c r="J12" s="14">
        <v>1250</v>
      </c>
      <c r="K12" s="15">
        <f>L12+5508+2684+5416+1250</f>
        <v>14858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0.34999999999999992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128</v>
      </c>
      <c r="D13" s="52" t="s">
        <v>125</v>
      </c>
      <c r="E13" s="53" t="s">
        <v>130</v>
      </c>
      <c r="F13" s="30" t="s">
        <v>126</v>
      </c>
      <c r="G13" s="33">
        <v>1</v>
      </c>
      <c r="H13" s="35">
        <v>20</v>
      </c>
      <c r="I13" s="7">
        <v>12000</v>
      </c>
      <c r="J13" s="14">
        <v>4875</v>
      </c>
      <c r="K13" s="15">
        <f>L13+5402+5384</f>
        <v>15661</v>
      </c>
      <c r="L13" s="15">
        <f>2747+2128</f>
        <v>4875</v>
      </c>
      <c r="M13" s="15">
        <f t="shared" si="1"/>
        <v>4875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0.34999999999999992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128</v>
      </c>
      <c r="D14" s="52" t="s">
        <v>117</v>
      </c>
      <c r="E14" s="53" t="s">
        <v>137</v>
      </c>
      <c r="F14" s="30" t="s">
        <v>124</v>
      </c>
      <c r="G14" s="33">
        <v>1</v>
      </c>
      <c r="H14" s="35">
        <v>24</v>
      </c>
      <c r="I14" s="7">
        <v>12000</v>
      </c>
      <c r="J14" s="14">
        <v>3124</v>
      </c>
      <c r="K14" s="15">
        <f>L14+3124</f>
        <v>3124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0.34999999999999992</v>
      </c>
      <c r="AF14" s="87">
        <f t="shared" si="9"/>
        <v>8</v>
      </c>
    </row>
    <row r="15" spans="1:32" ht="27" customHeight="1">
      <c r="A15" s="118">
        <v>9</v>
      </c>
      <c r="B15" s="11"/>
      <c r="C15" s="34"/>
      <c r="D15" s="52"/>
      <c r="E15" s="53"/>
      <c r="F15" s="30"/>
      <c r="G15" s="33"/>
      <c r="H15" s="35"/>
      <c r="I15" s="7"/>
      <c r="J15" s="5"/>
      <c r="K15" s="15"/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0.34999999999999992</v>
      </c>
      <c r="AF15" s="87">
        <f t="shared" si="9"/>
        <v>9</v>
      </c>
    </row>
    <row r="16" spans="1:32" ht="27" customHeight="1">
      <c r="A16" s="102">
        <v>10</v>
      </c>
      <c r="B16" s="11"/>
      <c r="C16" s="34"/>
      <c r="D16" s="52"/>
      <c r="E16" s="53"/>
      <c r="F16" s="12"/>
      <c r="G16" s="12"/>
      <c r="H16" s="13"/>
      <c r="I16" s="31"/>
      <c r="J16" s="14"/>
      <c r="K16" s="15"/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 t="str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0.34999999999999992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114</v>
      </c>
      <c r="D17" s="52" t="s">
        <v>190</v>
      </c>
      <c r="E17" s="53" t="s">
        <v>191</v>
      </c>
      <c r="F17" s="12" t="s">
        <v>200</v>
      </c>
      <c r="G17" s="12">
        <v>1</v>
      </c>
      <c r="H17" s="13">
        <v>24</v>
      </c>
      <c r="I17" s="7">
        <v>500</v>
      </c>
      <c r="J17" s="14">
        <v>543</v>
      </c>
      <c r="K17" s="15">
        <f>L17</f>
        <v>543</v>
      </c>
      <c r="L17" s="15">
        <v>543</v>
      </c>
      <c r="M17" s="15">
        <f t="shared" ref="M17" si="10">L17-N17</f>
        <v>543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4</v>
      </c>
      <c r="Q17" s="40">
        <f t="shared" ref="Q17" si="13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0.16666666666666666</v>
      </c>
      <c r="AD17" s="10">
        <f t="shared" ref="AD17" si="16">AC17*AB17*(1-O17)</f>
        <v>0.16666666666666666</v>
      </c>
      <c r="AE17" s="36">
        <f t="shared" si="8"/>
        <v>0.34999999999999992</v>
      </c>
      <c r="AF17" s="87">
        <f t="shared" ref="AF17" si="17">A17</f>
        <v>11</v>
      </c>
    </row>
    <row r="18" spans="1:32" ht="30" customHeight="1">
      <c r="A18" s="102">
        <v>11</v>
      </c>
      <c r="B18" s="11" t="s">
        <v>57</v>
      </c>
      <c r="C18" s="11" t="s">
        <v>114</v>
      </c>
      <c r="D18" s="52" t="s">
        <v>190</v>
      </c>
      <c r="E18" s="53" t="s">
        <v>201</v>
      </c>
      <c r="F18" s="12" t="s">
        <v>200</v>
      </c>
      <c r="G18" s="12">
        <v>1</v>
      </c>
      <c r="H18" s="13">
        <v>24</v>
      </c>
      <c r="I18" s="7">
        <v>500</v>
      </c>
      <c r="J18" s="14">
        <v>554</v>
      </c>
      <c r="K18" s="15">
        <f>L18</f>
        <v>554</v>
      </c>
      <c r="L18" s="15">
        <v>554</v>
      </c>
      <c r="M18" s="15">
        <f t="shared" si="1"/>
        <v>554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 t="shared" si="7"/>
        <v>0.16666666666666666</v>
      </c>
      <c r="AE18" s="36">
        <f t="shared" si="8"/>
        <v>0.34999999999999992</v>
      </c>
      <c r="AF18" s="87">
        <f t="shared" si="9"/>
        <v>11</v>
      </c>
    </row>
    <row r="19" spans="1:32" ht="30" customHeight="1">
      <c r="A19" s="102">
        <v>11</v>
      </c>
      <c r="B19" s="11" t="s">
        <v>57</v>
      </c>
      <c r="C19" s="11" t="s">
        <v>118</v>
      </c>
      <c r="D19" s="52" t="s">
        <v>202</v>
      </c>
      <c r="E19" s="53" t="s">
        <v>203</v>
      </c>
      <c r="F19" s="12" t="s">
        <v>122</v>
      </c>
      <c r="G19" s="12" t="s">
        <v>204</v>
      </c>
      <c r="H19" s="13">
        <v>24</v>
      </c>
      <c r="I19" s="7">
        <v>2000</v>
      </c>
      <c r="J19" s="14">
        <v>2199</v>
      </c>
      <c r="K19" s="15">
        <f>L19</f>
        <v>2199</v>
      </c>
      <c r="L19" s="15">
        <v>2199</v>
      </c>
      <c r="M19" s="15">
        <f t="shared" ref="M19" si="18">L19-N19</f>
        <v>2199</v>
      </c>
      <c r="N19" s="15">
        <v>0</v>
      </c>
      <c r="O19" s="58">
        <f t="shared" ref="O19" si="19">IF(L19=0,"0",N19/L19)</f>
        <v>0</v>
      </c>
      <c r="P19" s="39">
        <f t="shared" ref="P19" si="20">IF(L19=0,"0",(24-Q19))</f>
        <v>15</v>
      </c>
      <c r="Q19" s="40">
        <f t="shared" ref="Q19" si="21">SUM(R19:AA19)</f>
        <v>9</v>
      </c>
      <c r="R19" s="7"/>
      <c r="S19" s="6"/>
      <c r="T19" s="16">
        <v>9</v>
      </c>
      <c r="U19" s="16"/>
      <c r="V19" s="17"/>
      <c r="W19" s="5"/>
      <c r="X19" s="16"/>
      <c r="Y19" s="16"/>
      <c r="Z19" s="16"/>
      <c r="AA19" s="18"/>
      <c r="AB19" s="8">
        <f t="shared" ref="AB19" si="22">IF(J19=0,"0",(L19/J19))</f>
        <v>1</v>
      </c>
      <c r="AC19" s="9">
        <f t="shared" ref="AC19" si="23">IF(P19=0,"0",(P19/24))</f>
        <v>0.625</v>
      </c>
      <c r="AD19" s="10">
        <f t="shared" ref="AD19" si="24">AC19*AB19*(1-O19)</f>
        <v>0.625</v>
      </c>
      <c r="AE19" s="36">
        <f t="shared" si="8"/>
        <v>0.34999999999999992</v>
      </c>
      <c r="AF19" s="87">
        <f t="shared" ref="AF19" si="25">A19</f>
        <v>11</v>
      </c>
    </row>
    <row r="20" spans="1:32" ht="27" customHeight="1">
      <c r="A20" s="102">
        <v>12</v>
      </c>
      <c r="B20" s="11" t="s">
        <v>57</v>
      </c>
      <c r="C20" s="34" t="s">
        <v>114</v>
      </c>
      <c r="D20" s="52" t="s">
        <v>127</v>
      </c>
      <c r="E20" s="53" t="s">
        <v>147</v>
      </c>
      <c r="F20" s="12">
        <v>8301</v>
      </c>
      <c r="G20" s="12">
        <v>1</v>
      </c>
      <c r="H20" s="13">
        <v>24</v>
      </c>
      <c r="I20" s="31">
        <v>600</v>
      </c>
      <c r="J20" s="14">
        <v>696</v>
      </c>
      <c r="K20" s="15">
        <f>L20+696</f>
        <v>696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0.34999999999999992</v>
      </c>
      <c r="AF20" s="87">
        <f t="shared" si="9"/>
        <v>12</v>
      </c>
    </row>
    <row r="21" spans="1:32" ht="27" customHeight="1">
      <c r="A21" s="103">
        <v>13</v>
      </c>
      <c r="B21" s="11" t="s">
        <v>57</v>
      </c>
      <c r="C21" s="34" t="s">
        <v>114</v>
      </c>
      <c r="D21" s="52" t="s">
        <v>133</v>
      </c>
      <c r="E21" s="53" t="s">
        <v>188</v>
      </c>
      <c r="F21" s="30" t="s">
        <v>124</v>
      </c>
      <c r="G21" s="33">
        <v>1</v>
      </c>
      <c r="H21" s="35">
        <v>24</v>
      </c>
      <c r="I21" s="7">
        <v>20000</v>
      </c>
      <c r="J21" s="5">
        <v>4964</v>
      </c>
      <c r="K21" s="15">
        <f>L21</f>
        <v>4964</v>
      </c>
      <c r="L21" s="15">
        <f>2296+2668</f>
        <v>4964</v>
      </c>
      <c r="M21" s="15">
        <f t="shared" si="1"/>
        <v>4964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>AC21*AB21*(1-O21)</f>
        <v>1</v>
      </c>
      <c r="AE21" s="36">
        <f t="shared" si="8"/>
        <v>0.34999999999999992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34" t="s">
        <v>118</v>
      </c>
      <c r="D22" s="52" t="s">
        <v>117</v>
      </c>
      <c r="E22" s="53" t="s">
        <v>140</v>
      </c>
      <c r="F22" s="30" t="s">
        <v>122</v>
      </c>
      <c r="G22" s="33">
        <v>1</v>
      </c>
      <c r="H22" s="35">
        <v>24</v>
      </c>
      <c r="I22" s="7">
        <v>20000</v>
      </c>
      <c r="J22" s="5">
        <v>1636</v>
      </c>
      <c r="K22" s="15">
        <f>L22+4379+5407+6381+5057+5464</f>
        <v>28324</v>
      </c>
      <c r="L22" s="15">
        <v>1636</v>
      </c>
      <c r="M22" s="15">
        <f t="shared" si="1"/>
        <v>1636</v>
      </c>
      <c r="N22" s="15">
        <v>0</v>
      </c>
      <c r="O22" s="58">
        <f t="shared" si="2"/>
        <v>0</v>
      </c>
      <c r="P22" s="39">
        <f t="shared" si="3"/>
        <v>8</v>
      </c>
      <c r="Q22" s="40">
        <f t="shared" si="4"/>
        <v>16</v>
      </c>
      <c r="R22" s="7"/>
      <c r="S22" s="6"/>
      <c r="T22" s="16"/>
      <c r="U22" s="16"/>
      <c r="V22" s="17"/>
      <c r="W22" s="5">
        <v>16</v>
      </c>
      <c r="X22" s="16"/>
      <c r="Y22" s="16"/>
      <c r="Z22" s="16"/>
      <c r="AA22" s="18"/>
      <c r="AB22" s="8">
        <f t="shared" si="5"/>
        <v>1</v>
      </c>
      <c r="AC22" s="9">
        <f t="shared" si="6"/>
        <v>0.33333333333333331</v>
      </c>
      <c r="AD22" s="10">
        <f>AC22*AB22*(1-O22)</f>
        <v>0.33333333333333331</v>
      </c>
      <c r="AE22" s="36">
        <f t="shared" si="8"/>
        <v>0.34999999999999992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149</v>
      </c>
      <c r="F23" s="12" t="s">
        <v>116</v>
      </c>
      <c r="G23" s="12">
        <v>4</v>
      </c>
      <c r="H23" s="35">
        <v>20</v>
      </c>
      <c r="I23" s="7">
        <v>50000</v>
      </c>
      <c r="J23" s="14">
        <v>27484</v>
      </c>
      <c r="K23" s="15">
        <f>L23+12000+27484</f>
        <v>39484</v>
      </c>
      <c r="L23" s="15"/>
      <c r="M23" s="15">
        <f t="shared" si="1"/>
        <v>0</v>
      </c>
      <c r="N23" s="15">
        <v>0</v>
      </c>
      <c r="O23" s="58" t="str">
        <f t="shared" si="2"/>
        <v>0</v>
      </c>
      <c r="P23" s="39" t="str">
        <f t="shared" si="3"/>
        <v>0</v>
      </c>
      <c r="Q23" s="40">
        <f t="shared" si="4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5"/>
        <v>0</v>
      </c>
      <c r="AC23" s="9">
        <f t="shared" si="6"/>
        <v>0</v>
      </c>
      <c r="AD23" s="10">
        <f t="shared" si="7"/>
        <v>0</v>
      </c>
      <c r="AE23" s="36">
        <f t="shared" si="8"/>
        <v>0.34999999999999992</v>
      </c>
      <c r="AF23" s="87">
        <f t="shared" si="9"/>
        <v>15</v>
      </c>
    </row>
    <row r="24" spans="1:32" ht="31.5" customHeight="1" thickBot="1">
      <c r="A24" s="355" t="s">
        <v>34</v>
      </c>
      <c r="B24" s="356"/>
      <c r="C24" s="356"/>
      <c r="D24" s="356"/>
      <c r="E24" s="356"/>
      <c r="F24" s="356"/>
      <c r="G24" s="356"/>
      <c r="H24" s="357"/>
      <c r="I24" s="22">
        <f t="shared" ref="I24:N24" si="26">SUM(I6:I23)</f>
        <v>313600</v>
      </c>
      <c r="J24" s="19">
        <f t="shared" si="26"/>
        <v>76659</v>
      </c>
      <c r="K24" s="20">
        <f t="shared" si="26"/>
        <v>260179</v>
      </c>
      <c r="L24" s="21">
        <f t="shared" si="26"/>
        <v>35133</v>
      </c>
      <c r="M24" s="20">
        <f t="shared" si="26"/>
        <v>35133</v>
      </c>
      <c r="N24" s="21">
        <f t="shared" si="26"/>
        <v>0</v>
      </c>
      <c r="O24" s="41">
        <f t="shared" si="2"/>
        <v>0</v>
      </c>
      <c r="P24" s="42">
        <f t="shared" ref="P24:AA24" si="27">SUM(P6:P23)</f>
        <v>126</v>
      </c>
      <c r="Q24" s="43">
        <f t="shared" si="27"/>
        <v>306</v>
      </c>
      <c r="R24" s="23">
        <f t="shared" si="27"/>
        <v>24</v>
      </c>
      <c r="S24" s="24">
        <f t="shared" si="27"/>
        <v>24</v>
      </c>
      <c r="T24" s="24">
        <f t="shared" si="27"/>
        <v>15</v>
      </c>
      <c r="U24" s="24">
        <f t="shared" si="27"/>
        <v>0</v>
      </c>
      <c r="V24" s="25">
        <f t="shared" si="27"/>
        <v>0</v>
      </c>
      <c r="W24" s="26">
        <f t="shared" si="27"/>
        <v>243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0</v>
      </c>
      <c r="AB24" s="28">
        <f>SUM(AB6:AB23)/15</f>
        <v>0.6</v>
      </c>
      <c r="AC24" s="4">
        <f>SUM(AC6:AC23)/15</f>
        <v>0.34999999999999992</v>
      </c>
      <c r="AD24" s="4">
        <f>SUM(AD6:AD23)/15</f>
        <v>0.34999999999999992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358" t="s">
        <v>45</v>
      </c>
      <c r="B51" s="358"/>
      <c r="C51" s="358"/>
      <c r="D51" s="358"/>
      <c r="E51" s="35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359" t="s">
        <v>205</v>
      </c>
      <c r="B52" s="360"/>
      <c r="C52" s="360"/>
      <c r="D52" s="360"/>
      <c r="E52" s="360"/>
      <c r="F52" s="360"/>
      <c r="G52" s="360"/>
      <c r="H52" s="360"/>
      <c r="I52" s="360"/>
      <c r="J52" s="360"/>
      <c r="K52" s="360"/>
      <c r="L52" s="360"/>
      <c r="M52" s="361"/>
      <c r="N52" s="362" t="s">
        <v>206</v>
      </c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  <c r="AA52" s="363"/>
      <c r="AB52" s="363"/>
      <c r="AC52" s="363"/>
      <c r="AD52" s="364"/>
    </row>
    <row r="53" spans="1:32" ht="27" customHeight="1">
      <c r="A53" s="365" t="s">
        <v>2</v>
      </c>
      <c r="B53" s="366"/>
      <c r="C53" s="125" t="s">
        <v>46</v>
      </c>
      <c r="D53" s="125" t="s">
        <v>47</v>
      </c>
      <c r="E53" s="125" t="s">
        <v>108</v>
      </c>
      <c r="F53" s="366" t="s">
        <v>107</v>
      </c>
      <c r="G53" s="366"/>
      <c r="H53" s="366"/>
      <c r="I53" s="366"/>
      <c r="J53" s="366"/>
      <c r="K53" s="366"/>
      <c r="L53" s="366"/>
      <c r="M53" s="367"/>
      <c r="N53" s="67" t="s">
        <v>112</v>
      </c>
      <c r="O53" s="125" t="s">
        <v>46</v>
      </c>
      <c r="P53" s="368" t="s">
        <v>47</v>
      </c>
      <c r="Q53" s="369"/>
      <c r="R53" s="368" t="s">
        <v>38</v>
      </c>
      <c r="S53" s="370"/>
      <c r="T53" s="370"/>
      <c r="U53" s="369"/>
      <c r="V53" s="368" t="s">
        <v>48</v>
      </c>
      <c r="W53" s="370"/>
      <c r="X53" s="370"/>
      <c r="Y53" s="370"/>
      <c r="Z53" s="370"/>
      <c r="AA53" s="370"/>
      <c r="AB53" s="370"/>
      <c r="AC53" s="370"/>
      <c r="AD53" s="371"/>
    </row>
    <row r="54" spans="1:32" ht="27" customHeight="1">
      <c r="A54" s="382" t="s">
        <v>114</v>
      </c>
      <c r="B54" s="383"/>
      <c r="C54" s="127" t="s">
        <v>158</v>
      </c>
      <c r="D54" s="127" t="s">
        <v>133</v>
      </c>
      <c r="E54" s="127" t="s">
        <v>199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126" t="s">
        <v>114</v>
      </c>
      <c r="O54" s="135" t="s">
        <v>129</v>
      </c>
      <c r="P54" s="383" t="s">
        <v>133</v>
      </c>
      <c r="Q54" s="383"/>
      <c r="R54" s="383" t="s">
        <v>193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114</v>
      </c>
      <c r="B55" s="383"/>
      <c r="C55" s="127" t="s">
        <v>189</v>
      </c>
      <c r="D55" s="127" t="s">
        <v>190</v>
      </c>
      <c r="E55" s="127" t="s">
        <v>191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126" t="s">
        <v>114</v>
      </c>
      <c r="O55" s="135" t="s">
        <v>161</v>
      </c>
      <c r="P55" s="383" t="s">
        <v>117</v>
      </c>
      <c r="Q55" s="383"/>
      <c r="R55" s="383" t="s">
        <v>194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114</v>
      </c>
      <c r="B56" s="383"/>
      <c r="C56" s="127" t="s">
        <v>189</v>
      </c>
      <c r="D56" s="127" t="s">
        <v>190</v>
      </c>
      <c r="E56" s="127" t="s">
        <v>201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126" t="s">
        <v>118</v>
      </c>
      <c r="O56" s="135" t="s">
        <v>189</v>
      </c>
      <c r="P56" s="389" t="s">
        <v>207</v>
      </c>
      <c r="Q56" s="390"/>
      <c r="R56" s="383" t="s">
        <v>208</v>
      </c>
      <c r="S56" s="383"/>
      <c r="T56" s="383"/>
      <c r="U56" s="383"/>
      <c r="V56" s="387" t="s">
        <v>123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114</v>
      </c>
      <c r="B57" s="383"/>
      <c r="C57" s="127" t="s">
        <v>171</v>
      </c>
      <c r="D57" s="127" t="s">
        <v>133</v>
      </c>
      <c r="E57" s="127" t="s">
        <v>188</v>
      </c>
      <c r="F57" s="384" t="s">
        <v>123</v>
      </c>
      <c r="G57" s="385"/>
      <c r="H57" s="385"/>
      <c r="I57" s="385"/>
      <c r="J57" s="385"/>
      <c r="K57" s="385"/>
      <c r="L57" s="385"/>
      <c r="M57" s="386"/>
      <c r="N57" s="126" t="s">
        <v>118</v>
      </c>
      <c r="O57" s="135" t="s">
        <v>139</v>
      </c>
      <c r="P57" s="389" t="s">
        <v>209</v>
      </c>
      <c r="Q57" s="390"/>
      <c r="R57" s="383" t="s">
        <v>210</v>
      </c>
      <c r="S57" s="383"/>
      <c r="T57" s="383"/>
      <c r="U57" s="383"/>
      <c r="V57" s="387" t="s">
        <v>123</v>
      </c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118</v>
      </c>
      <c r="B58" s="383"/>
      <c r="C58" s="127" t="s">
        <v>189</v>
      </c>
      <c r="D58" s="127" t="s">
        <v>212</v>
      </c>
      <c r="E58" s="127" t="s">
        <v>203</v>
      </c>
      <c r="F58" s="384" t="s">
        <v>123</v>
      </c>
      <c r="G58" s="385"/>
      <c r="H58" s="385"/>
      <c r="I58" s="385"/>
      <c r="J58" s="385"/>
      <c r="K58" s="385"/>
      <c r="L58" s="385"/>
      <c r="M58" s="386"/>
      <c r="N58" s="126" t="s">
        <v>118</v>
      </c>
      <c r="O58" s="135" t="s">
        <v>176</v>
      </c>
      <c r="P58" s="389" t="s">
        <v>209</v>
      </c>
      <c r="Q58" s="390"/>
      <c r="R58" s="383" t="s">
        <v>211</v>
      </c>
      <c r="S58" s="383"/>
      <c r="T58" s="383"/>
      <c r="U58" s="383"/>
      <c r="V58" s="387" t="s">
        <v>123</v>
      </c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27"/>
      <c r="D59" s="127"/>
      <c r="E59" s="127"/>
      <c r="F59" s="384"/>
      <c r="G59" s="385"/>
      <c r="H59" s="385"/>
      <c r="I59" s="385"/>
      <c r="J59" s="385"/>
      <c r="K59" s="385"/>
      <c r="L59" s="385"/>
      <c r="M59" s="386"/>
      <c r="N59" s="126"/>
      <c r="O59" s="135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127"/>
      <c r="D60" s="127"/>
      <c r="E60" s="127"/>
      <c r="F60" s="384"/>
      <c r="G60" s="385"/>
      <c r="H60" s="385"/>
      <c r="I60" s="385"/>
      <c r="J60" s="385"/>
      <c r="K60" s="385"/>
      <c r="L60" s="385"/>
      <c r="M60" s="386"/>
      <c r="N60" s="126"/>
      <c r="O60" s="135"/>
      <c r="P60" s="389"/>
      <c r="Q60" s="390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</row>
    <row r="61" spans="1:32" ht="27" customHeight="1">
      <c r="A61" s="382"/>
      <c r="B61" s="383"/>
      <c r="C61" s="127"/>
      <c r="D61" s="127"/>
      <c r="E61" s="127"/>
      <c r="F61" s="384"/>
      <c r="G61" s="385"/>
      <c r="H61" s="385"/>
      <c r="I61" s="385"/>
      <c r="J61" s="385"/>
      <c r="K61" s="385"/>
      <c r="L61" s="385"/>
      <c r="M61" s="386"/>
      <c r="N61" s="126"/>
      <c r="O61" s="135"/>
      <c r="P61" s="389"/>
      <c r="Q61" s="390"/>
      <c r="R61" s="383"/>
      <c r="S61" s="383"/>
      <c r="T61" s="383"/>
      <c r="U61" s="383"/>
      <c r="V61" s="387"/>
      <c r="W61" s="387"/>
      <c r="X61" s="387"/>
      <c r="Y61" s="387"/>
      <c r="Z61" s="387"/>
      <c r="AA61" s="387"/>
      <c r="AB61" s="387"/>
      <c r="AC61" s="387"/>
      <c r="AD61" s="388"/>
    </row>
    <row r="62" spans="1:32" ht="27" customHeight="1">
      <c r="A62" s="382"/>
      <c r="B62" s="383"/>
      <c r="C62" s="127"/>
      <c r="D62" s="127"/>
      <c r="E62" s="127"/>
      <c r="F62" s="384"/>
      <c r="G62" s="385"/>
      <c r="H62" s="385"/>
      <c r="I62" s="385"/>
      <c r="J62" s="385"/>
      <c r="K62" s="385"/>
      <c r="L62" s="385"/>
      <c r="M62" s="386"/>
      <c r="N62" s="126"/>
      <c r="O62" s="135"/>
      <c r="P62" s="383"/>
      <c r="Q62" s="383"/>
      <c r="R62" s="383"/>
      <c r="S62" s="383"/>
      <c r="T62" s="383"/>
      <c r="U62" s="383"/>
      <c r="V62" s="387"/>
      <c r="W62" s="387"/>
      <c r="X62" s="387"/>
      <c r="Y62" s="387"/>
      <c r="Z62" s="387"/>
      <c r="AA62" s="387"/>
      <c r="AB62" s="387"/>
      <c r="AC62" s="387"/>
      <c r="AD62" s="388"/>
      <c r="AF62" s="87">
        <f>8*3000</f>
        <v>24000</v>
      </c>
    </row>
    <row r="63" spans="1:32" ht="27" customHeight="1" thickBot="1">
      <c r="A63" s="391"/>
      <c r="B63" s="392"/>
      <c r="C63" s="129"/>
      <c r="D63" s="129"/>
      <c r="E63" s="129"/>
      <c r="F63" s="393"/>
      <c r="G63" s="393"/>
      <c r="H63" s="393"/>
      <c r="I63" s="393"/>
      <c r="J63" s="393"/>
      <c r="K63" s="393"/>
      <c r="L63" s="393"/>
      <c r="M63" s="394"/>
      <c r="N63" s="128"/>
      <c r="O63" s="114"/>
      <c r="P63" s="392"/>
      <c r="Q63" s="392"/>
      <c r="R63" s="392"/>
      <c r="S63" s="392"/>
      <c r="T63" s="392"/>
      <c r="U63" s="392"/>
      <c r="V63" s="395"/>
      <c r="W63" s="395"/>
      <c r="X63" s="395"/>
      <c r="Y63" s="395"/>
      <c r="Z63" s="395"/>
      <c r="AA63" s="395"/>
      <c r="AB63" s="395"/>
      <c r="AC63" s="395"/>
      <c r="AD63" s="396"/>
      <c r="AF63" s="87">
        <f>16*3000</f>
        <v>48000</v>
      </c>
    </row>
    <row r="64" spans="1:32" ht="27.75" thickBot="1">
      <c r="A64" s="397" t="s">
        <v>213</v>
      </c>
      <c r="B64" s="397"/>
      <c r="C64" s="397"/>
      <c r="D64" s="397"/>
      <c r="E64" s="39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398" t="s">
        <v>113</v>
      </c>
      <c r="B65" s="399"/>
      <c r="C65" s="130" t="s">
        <v>2</v>
      </c>
      <c r="D65" s="130" t="s">
        <v>37</v>
      </c>
      <c r="E65" s="130" t="s">
        <v>3</v>
      </c>
      <c r="F65" s="399" t="s">
        <v>110</v>
      </c>
      <c r="G65" s="399"/>
      <c r="H65" s="399"/>
      <c r="I65" s="399"/>
      <c r="J65" s="399"/>
      <c r="K65" s="399" t="s">
        <v>39</v>
      </c>
      <c r="L65" s="399"/>
      <c r="M65" s="130" t="s">
        <v>40</v>
      </c>
      <c r="N65" s="399" t="s">
        <v>41</v>
      </c>
      <c r="O65" s="399"/>
      <c r="P65" s="400" t="s">
        <v>42</v>
      </c>
      <c r="Q65" s="401"/>
      <c r="R65" s="400" t="s">
        <v>43</v>
      </c>
      <c r="S65" s="402"/>
      <c r="T65" s="402"/>
      <c r="U65" s="402"/>
      <c r="V65" s="402"/>
      <c r="W65" s="402"/>
      <c r="X65" s="402"/>
      <c r="Y65" s="402"/>
      <c r="Z65" s="402"/>
      <c r="AA65" s="401"/>
      <c r="AB65" s="399" t="s">
        <v>44</v>
      </c>
      <c r="AC65" s="399"/>
      <c r="AD65" s="403"/>
      <c r="AF65" s="87">
        <f>SUM(AF62:AF64)</f>
        <v>96000</v>
      </c>
    </row>
    <row r="66" spans="1:32" ht="25.5" customHeight="1">
      <c r="A66" s="404">
        <v>1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2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8"/>
      <c r="O67" s="408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3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8"/>
      <c r="O68" s="408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4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5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6</v>
      </c>
      <c r="B71" s="405"/>
      <c r="C71" s="117"/>
      <c r="D71" s="133"/>
      <c r="E71" s="131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5.5" customHeight="1">
      <c r="A72" s="404">
        <v>7</v>
      </c>
      <c r="B72" s="405"/>
      <c r="C72" s="117"/>
      <c r="D72" s="133"/>
      <c r="E72" s="131"/>
      <c r="F72" s="406"/>
      <c r="G72" s="407"/>
      <c r="H72" s="407"/>
      <c r="I72" s="407"/>
      <c r="J72" s="407"/>
      <c r="K72" s="407"/>
      <c r="L72" s="407"/>
      <c r="M72" s="51"/>
      <c r="N72" s="407"/>
      <c r="O72" s="407"/>
      <c r="P72" s="409"/>
      <c r="Q72" s="409"/>
      <c r="R72" s="387"/>
      <c r="S72" s="387"/>
      <c r="T72" s="387"/>
      <c r="U72" s="387"/>
      <c r="V72" s="387"/>
      <c r="W72" s="387"/>
      <c r="X72" s="387"/>
      <c r="Y72" s="387"/>
      <c r="Z72" s="387"/>
      <c r="AA72" s="387"/>
      <c r="AB72" s="407"/>
      <c r="AC72" s="407"/>
      <c r="AD72" s="410"/>
      <c r="AF72" s="50"/>
    </row>
    <row r="73" spans="1:32" ht="25.5" customHeight="1">
      <c r="A73" s="404">
        <v>8</v>
      </c>
      <c r="B73" s="405"/>
      <c r="C73" s="117"/>
      <c r="D73" s="133"/>
      <c r="E73" s="131"/>
      <c r="F73" s="406"/>
      <c r="G73" s="407"/>
      <c r="H73" s="407"/>
      <c r="I73" s="407"/>
      <c r="J73" s="407"/>
      <c r="K73" s="407"/>
      <c r="L73" s="407"/>
      <c r="M73" s="51"/>
      <c r="N73" s="407"/>
      <c r="O73" s="407"/>
      <c r="P73" s="409"/>
      <c r="Q73" s="409"/>
      <c r="R73" s="387"/>
      <c r="S73" s="387"/>
      <c r="T73" s="387"/>
      <c r="U73" s="387"/>
      <c r="V73" s="387"/>
      <c r="W73" s="387"/>
      <c r="X73" s="387"/>
      <c r="Y73" s="387"/>
      <c r="Z73" s="387"/>
      <c r="AA73" s="387"/>
      <c r="AB73" s="407"/>
      <c r="AC73" s="407"/>
      <c r="AD73" s="410"/>
      <c r="AF73" s="50"/>
    </row>
    <row r="74" spans="1:32" ht="26.25" customHeight="1" thickBot="1">
      <c r="A74" s="411" t="s">
        <v>214</v>
      </c>
      <c r="B74" s="411"/>
      <c r="C74" s="411"/>
      <c r="D74" s="411"/>
      <c r="E74" s="411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12" t="s">
        <v>113</v>
      </c>
      <c r="B75" s="413"/>
      <c r="C75" s="132" t="s">
        <v>2</v>
      </c>
      <c r="D75" s="132" t="s">
        <v>37</v>
      </c>
      <c r="E75" s="132" t="s">
        <v>3</v>
      </c>
      <c r="F75" s="413" t="s">
        <v>38</v>
      </c>
      <c r="G75" s="413"/>
      <c r="H75" s="413"/>
      <c r="I75" s="413"/>
      <c r="J75" s="413"/>
      <c r="K75" s="414" t="s">
        <v>58</v>
      </c>
      <c r="L75" s="415"/>
      <c r="M75" s="415"/>
      <c r="N75" s="415"/>
      <c r="O75" s="415"/>
      <c r="P75" s="415"/>
      <c r="Q75" s="415"/>
      <c r="R75" s="415"/>
      <c r="S75" s="416"/>
      <c r="T75" s="413" t="s">
        <v>49</v>
      </c>
      <c r="U75" s="413"/>
      <c r="V75" s="414" t="s">
        <v>50</v>
      </c>
      <c r="W75" s="416"/>
      <c r="X75" s="415" t="s">
        <v>51</v>
      </c>
      <c r="Y75" s="415"/>
      <c r="Z75" s="415"/>
      <c r="AA75" s="415"/>
      <c r="AB75" s="415"/>
      <c r="AC75" s="415"/>
      <c r="AD75" s="417"/>
      <c r="AF75" s="50"/>
    </row>
    <row r="76" spans="1:32" ht="33.75" customHeight="1">
      <c r="A76" s="426">
        <v>1</v>
      </c>
      <c r="B76" s="427"/>
      <c r="C76" s="134" t="s">
        <v>114</v>
      </c>
      <c r="D76" s="134"/>
      <c r="E76" s="65" t="s">
        <v>120</v>
      </c>
      <c r="F76" s="428" t="s">
        <v>119</v>
      </c>
      <c r="G76" s="429"/>
      <c r="H76" s="429"/>
      <c r="I76" s="429"/>
      <c r="J76" s="430"/>
      <c r="K76" s="431" t="s">
        <v>121</v>
      </c>
      <c r="L76" s="432"/>
      <c r="M76" s="432"/>
      <c r="N76" s="432"/>
      <c r="O76" s="432"/>
      <c r="P76" s="432"/>
      <c r="Q76" s="432"/>
      <c r="R76" s="432"/>
      <c r="S76" s="433"/>
      <c r="T76" s="434">
        <v>43384</v>
      </c>
      <c r="U76" s="435"/>
      <c r="V76" s="436"/>
      <c r="W76" s="436"/>
      <c r="X76" s="437"/>
      <c r="Y76" s="437"/>
      <c r="Z76" s="437"/>
      <c r="AA76" s="437"/>
      <c r="AB76" s="437"/>
      <c r="AC76" s="437"/>
      <c r="AD76" s="438"/>
      <c r="AF76" s="50"/>
    </row>
    <row r="77" spans="1:32" ht="30" customHeight="1">
      <c r="A77" s="418">
        <f>A76+1</f>
        <v>2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ref="A78:A84" si="28">A77+1</f>
        <v>3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8"/>
        <v>4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8"/>
        <v>5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8"/>
        <v>6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8"/>
        <v>7</v>
      </c>
      <c r="B82" s="419"/>
      <c r="C82" s="133"/>
      <c r="D82" s="133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0" customHeight="1">
      <c r="A83" s="418">
        <f t="shared" si="28"/>
        <v>8</v>
      </c>
      <c r="B83" s="419"/>
      <c r="C83" s="133"/>
      <c r="D83" s="133"/>
      <c r="E83" s="32"/>
      <c r="F83" s="419"/>
      <c r="G83" s="419"/>
      <c r="H83" s="419"/>
      <c r="I83" s="419"/>
      <c r="J83" s="419"/>
      <c r="K83" s="420"/>
      <c r="L83" s="421"/>
      <c r="M83" s="421"/>
      <c r="N83" s="421"/>
      <c r="O83" s="421"/>
      <c r="P83" s="421"/>
      <c r="Q83" s="421"/>
      <c r="R83" s="421"/>
      <c r="S83" s="422"/>
      <c r="T83" s="423"/>
      <c r="U83" s="423"/>
      <c r="V83" s="423"/>
      <c r="W83" s="423"/>
      <c r="X83" s="424"/>
      <c r="Y83" s="424"/>
      <c r="Z83" s="424"/>
      <c r="AA83" s="424"/>
      <c r="AB83" s="424"/>
      <c r="AC83" s="424"/>
      <c r="AD83" s="425"/>
      <c r="AF83" s="50"/>
    </row>
    <row r="84" spans="1:32" ht="30" customHeight="1">
      <c r="A84" s="418">
        <f t="shared" si="28"/>
        <v>9</v>
      </c>
      <c r="B84" s="419"/>
      <c r="C84" s="133"/>
      <c r="D84" s="133"/>
      <c r="E84" s="32"/>
      <c r="F84" s="419"/>
      <c r="G84" s="419"/>
      <c r="H84" s="419"/>
      <c r="I84" s="419"/>
      <c r="J84" s="419"/>
      <c r="K84" s="420"/>
      <c r="L84" s="421"/>
      <c r="M84" s="421"/>
      <c r="N84" s="421"/>
      <c r="O84" s="421"/>
      <c r="P84" s="421"/>
      <c r="Q84" s="421"/>
      <c r="R84" s="421"/>
      <c r="S84" s="422"/>
      <c r="T84" s="423"/>
      <c r="U84" s="423"/>
      <c r="V84" s="423"/>
      <c r="W84" s="423"/>
      <c r="X84" s="424"/>
      <c r="Y84" s="424"/>
      <c r="Z84" s="424"/>
      <c r="AA84" s="424"/>
      <c r="AB84" s="424"/>
      <c r="AC84" s="424"/>
      <c r="AD84" s="425"/>
      <c r="AF84" s="50"/>
    </row>
    <row r="85" spans="1:32" ht="36" thickBot="1">
      <c r="A85" s="411" t="s">
        <v>215</v>
      </c>
      <c r="B85" s="411"/>
      <c r="C85" s="411"/>
      <c r="D85" s="411"/>
      <c r="E85" s="411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12" t="s">
        <v>113</v>
      </c>
      <c r="B86" s="413"/>
      <c r="C86" s="439" t="s">
        <v>52</v>
      </c>
      <c r="D86" s="439"/>
      <c r="E86" s="439" t="s">
        <v>53</v>
      </c>
      <c r="F86" s="439"/>
      <c r="G86" s="439"/>
      <c r="H86" s="439"/>
      <c r="I86" s="439"/>
      <c r="J86" s="439"/>
      <c r="K86" s="439" t="s">
        <v>54</v>
      </c>
      <c r="L86" s="439"/>
      <c r="M86" s="439"/>
      <c r="N86" s="439"/>
      <c r="O86" s="439"/>
      <c r="P86" s="439"/>
      <c r="Q86" s="439"/>
      <c r="R86" s="439"/>
      <c r="S86" s="439"/>
      <c r="T86" s="439" t="s">
        <v>55</v>
      </c>
      <c r="U86" s="439"/>
      <c r="V86" s="439" t="s">
        <v>56</v>
      </c>
      <c r="W86" s="439"/>
      <c r="X86" s="439"/>
      <c r="Y86" s="439" t="s">
        <v>51</v>
      </c>
      <c r="Z86" s="439"/>
      <c r="AA86" s="439"/>
      <c r="AB86" s="439"/>
      <c r="AC86" s="439"/>
      <c r="AD86" s="440"/>
      <c r="AF86" s="50"/>
    </row>
    <row r="87" spans="1:32" ht="30.75" customHeight="1">
      <c r="A87" s="426">
        <v>1</v>
      </c>
      <c r="B87" s="427"/>
      <c r="C87" s="441"/>
      <c r="D87" s="441"/>
      <c r="E87" s="441"/>
      <c r="F87" s="441"/>
      <c r="G87" s="441"/>
      <c r="H87" s="441"/>
      <c r="I87" s="441"/>
      <c r="J87" s="441"/>
      <c r="K87" s="441"/>
      <c r="L87" s="441"/>
      <c r="M87" s="441"/>
      <c r="N87" s="441"/>
      <c r="O87" s="441"/>
      <c r="P87" s="441"/>
      <c r="Q87" s="441"/>
      <c r="R87" s="441"/>
      <c r="S87" s="441"/>
      <c r="T87" s="441"/>
      <c r="U87" s="441"/>
      <c r="V87" s="442"/>
      <c r="W87" s="442"/>
      <c r="X87" s="442"/>
      <c r="Y87" s="443"/>
      <c r="Z87" s="443"/>
      <c r="AA87" s="443"/>
      <c r="AB87" s="443"/>
      <c r="AC87" s="443"/>
      <c r="AD87" s="444"/>
      <c r="AF87" s="50"/>
    </row>
    <row r="88" spans="1:32" ht="30.75" customHeight="1">
      <c r="A88" s="418">
        <v>2</v>
      </c>
      <c r="B88" s="419"/>
      <c r="C88" s="452"/>
      <c r="D88" s="452"/>
      <c r="E88" s="452"/>
      <c r="F88" s="452"/>
      <c r="G88" s="452"/>
      <c r="H88" s="452"/>
      <c r="I88" s="452"/>
      <c r="J88" s="452"/>
      <c r="K88" s="452"/>
      <c r="L88" s="452"/>
      <c r="M88" s="452"/>
      <c r="N88" s="452"/>
      <c r="O88" s="452"/>
      <c r="P88" s="452"/>
      <c r="Q88" s="452"/>
      <c r="R88" s="452"/>
      <c r="S88" s="452"/>
      <c r="T88" s="453"/>
      <c r="U88" s="453"/>
      <c r="V88" s="454"/>
      <c r="W88" s="454"/>
      <c r="X88" s="454"/>
      <c r="Y88" s="445"/>
      <c r="Z88" s="445"/>
      <c r="AA88" s="445"/>
      <c r="AB88" s="445"/>
      <c r="AC88" s="445"/>
      <c r="AD88" s="446"/>
      <c r="AF88" s="50"/>
    </row>
    <row r="89" spans="1:32" ht="30.75" customHeight="1" thickBot="1">
      <c r="A89" s="447">
        <v>3</v>
      </c>
      <c r="B89" s="448"/>
      <c r="C89" s="449"/>
      <c r="D89" s="449"/>
      <c r="E89" s="449"/>
      <c r="F89" s="449"/>
      <c r="G89" s="449"/>
      <c r="H89" s="449"/>
      <c r="I89" s="449"/>
      <c r="J89" s="449"/>
      <c r="K89" s="449"/>
      <c r="L89" s="449"/>
      <c r="M89" s="449"/>
      <c r="N89" s="449"/>
      <c r="O89" s="449"/>
      <c r="P89" s="449"/>
      <c r="Q89" s="449"/>
      <c r="R89" s="449"/>
      <c r="S89" s="449"/>
      <c r="T89" s="449"/>
      <c r="U89" s="449"/>
      <c r="V89" s="449"/>
      <c r="W89" s="449"/>
      <c r="X89" s="449"/>
      <c r="Y89" s="450"/>
      <c r="Z89" s="450"/>
      <c r="AA89" s="450"/>
      <c r="AB89" s="450"/>
      <c r="AC89" s="450"/>
      <c r="AD89" s="451"/>
      <c r="AF89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5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B713-D826-45F0-BC9D-4FF0A27A0CD1}">
  <sheetPr codeName="Sheet5">
    <pageSetUpPr fitToPage="1"/>
  </sheetPr>
  <dimension ref="A1:AF87"/>
  <sheetViews>
    <sheetView topLeftCell="A10" zoomScale="72" zoomScaleNormal="72" zoomScaleSheetLayoutView="70" workbookViewId="0">
      <selection activeCell="F68" sqref="F68:J68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217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0.35179632895682278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0.35179632895682278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143</v>
      </c>
      <c r="D8" s="52" t="s">
        <v>144</v>
      </c>
      <c r="E8" s="53" t="s">
        <v>151</v>
      </c>
      <c r="F8" s="30" t="s">
        <v>152</v>
      </c>
      <c r="G8" s="33">
        <v>3</v>
      </c>
      <c r="H8" s="35">
        <v>24</v>
      </c>
      <c r="I8" s="7">
        <v>30000</v>
      </c>
      <c r="J8" s="5">
        <v>15309</v>
      </c>
      <c r="K8" s="15">
        <f>L8+14004+15522+15309</f>
        <v>47310</v>
      </c>
      <c r="L8" s="15">
        <f>825*3</f>
        <v>2475</v>
      </c>
      <c r="M8" s="15">
        <f t="shared" si="1"/>
        <v>2475</v>
      </c>
      <c r="N8" s="15">
        <v>0</v>
      </c>
      <c r="O8" s="58">
        <f t="shared" si="2"/>
        <v>0</v>
      </c>
      <c r="P8" s="39">
        <f t="shared" si="3"/>
        <v>4</v>
      </c>
      <c r="Q8" s="40">
        <f t="shared" si="4"/>
        <v>20</v>
      </c>
      <c r="R8" s="7"/>
      <c r="S8" s="6"/>
      <c r="T8" s="16"/>
      <c r="U8" s="16"/>
      <c r="V8" s="17"/>
      <c r="W8" s="5">
        <v>20</v>
      </c>
      <c r="X8" s="16"/>
      <c r="Y8" s="16"/>
      <c r="Z8" s="16"/>
      <c r="AA8" s="18"/>
      <c r="AB8" s="8">
        <f t="shared" si="5"/>
        <v>0.16166960611405057</v>
      </c>
      <c r="AC8" s="9">
        <f t="shared" si="6"/>
        <v>0.16666666666666666</v>
      </c>
      <c r="AD8" s="10">
        <f t="shared" si="7"/>
        <v>2.694493435234176E-2</v>
      </c>
      <c r="AE8" s="36">
        <f t="shared" si="8"/>
        <v>0.35179632895682278</v>
      </c>
      <c r="AF8" s="87">
        <f t="shared" si="9"/>
        <v>3</v>
      </c>
    </row>
    <row r="9" spans="1:32" ht="27" customHeight="1">
      <c r="A9" s="102">
        <v>3</v>
      </c>
      <c r="B9" s="11" t="s">
        <v>57</v>
      </c>
      <c r="C9" s="34" t="s">
        <v>118</v>
      </c>
      <c r="D9" s="52" t="s">
        <v>209</v>
      </c>
      <c r="E9" s="53" t="s">
        <v>210</v>
      </c>
      <c r="F9" s="30" t="s">
        <v>200</v>
      </c>
      <c r="G9" s="33">
        <v>2</v>
      </c>
      <c r="H9" s="35">
        <v>24</v>
      </c>
      <c r="I9" s="7">
        <v>3000</v>
      </c>
      <c r="J9" s="5">
        <v>3126</v>
      </c>
      <c r="K9" s="15">
        <f>L9</f>
        <v>3126</v>
      </c>
      <c r="L9" s="15">
        <f>1563*2</f>
        <v>3126</v>
      </c>
      <c r="M9" s="15">
        <f t="shared" ref="M9" si="10">L9-N9</f>
        <v>3126</v>
      </c>
      <c r="N9" s="15">
        <v>0</v>
      </c>
      <c r="O9" s="58">
        <f t="shared" ref="O9" si="11">IF(L9=0,"0",N9/L9)</f>
        <v>0</v>
      </c>
      <c r="P9" s="39">
        <f t="shared" ref="P9" si="12">IF(L9=0,"0",(24-Q9))</f>
        <v>10</v>
      </c>
      <c r="Q9" s="40">
        <f t="shared" ref="Q9" si="13">SUM(R9:AA9)</f>
        <v>14</v>
      </c>
      <c r="R9" s="7"/>
      <c r="S9" s="6"/>
      <c r="T9" s="16">
        <v>6</v>
      </c>
      <c r="U9" s="16"/>
      <c r="V9" s="17"/>
      <c r="W9" s="5">
        <v>8</v>
      </c>
      <c r="X9" s="16"/>
      <c r="Y9" s="16"/>
      <c r="Z9" s="16"/>
      <c r="AA9" s="18"/>
      <c r="AB9" s="8">
        <f t="shared" ref="AB9" si="14">IF(J9=0,"0",(L9/J9))</f>
        <v>1</v>
      </c>
      <c r="AC9" s="9">
        <f t="shared" ref="AC9" si="15">IF(P9=0,"0",(P9/24))</f>
        <v>0.41666666666666669</v>
      </c>
      <c r="AD9" s="10">
        <f t="shared" ref="AD9" si="16">AC9*AB9*(1-O9)</f>
        <v>0.41666666666666669</v>
      </c>
      <c r="AE9" s="36">
        <f t="shared" si="8"/>
        <v>0.35179632895682278</v>
      </c>
      <c r="AF9" s="87">
        <f t="shared" ref="AF9" si="17">A9</f>
        <v>3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133</v>
      </c>
      <c r="E10" s="53" t="s">
        <v>199</v>
      </c>
      <c r="F10" s="30" t="s">
        <v>124</v>
      </c>
      <c r="G10" s="33">
        <v>1</v>
      </c>
      <c r="H10" s="35">
        <v>24</v>
      </c>
      <c r="I10" s="7">
        <v>48000</v>
      </c>
      <c r="J10" s="14">
        <v>6207</v>
      </c>
      <c r="K10" s="15">
        <f>L10+3704</f>
        <v>9911</v>
      </c>
      <c r="L10" s="15">
        <f>3287+2920</f>
        <v>6207</v>
      </c>
      <c r="M10" s="15">
        <f t="shared" si="1"/>
        <v>6207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 t="shared" si="7"/>
        <v>1</v>
      </c>
      <c r="AE10" s="36">
        <f t="shared" si="8"/>
        <v>0.35179632895682278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11" t="s">
        <v>118</v>
      </c>
      <c r="D11" s="52" t="s">
        <v>134</v>
      </c>
      <c r="E11" s="53" t="s">
        <v>135</v>
      </c>
      <c r="F11" s="12" t="s">
        <v>136</v>
      </c>
      <c r="G11" s="12">
        <v>2</v>
      </c>
      <c r="H11" s="13">
        <v>20</v>
      </c>
      <c r="I11" s="7">
        <v>100000</v>
      </c>
      <c r="J11" s="14">
        <v>8972</v>
      </c>
      <c r="K11" s="15">
        <f>L11+15008+10186+13952+21634+21790+8972</f>
        <v>91542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0.35179632895682278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133</v>
      </c>
      <c r="E12" s="53" t="s">
        <v>141</v>
      </c>
      <c r="F12" s="12" t="s">
        <v>142</v>
      </c>
      <c r="G12" s="12">
        <v>1</v>
      </c>
      <c r="H12" s="13"/>
      <c r="I12" s="7">
        <v>15000</v>
      </c>
      <c r="J12" s="14">
        <v>1250</v>
      </c>
      <c r="K12" s="15">
        <f>L12+5508+2684+5416+1250</f>
        <v>14858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0.35179632895682278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194</v>
      </c>
      <c r="F13" s="30" t="s">
        <v>126</v>
      </c>
      <c r="G13" s="33">
        <v>1</v>
      </c>
      <c r="H13" s="35">
        <v>20</v>
      </c>
      <c r="I13" s="7">
        <v>16000</v>
      </c>
      <c r="J13" s="14">
        <v>3414</v>
      </c>
      <c r="K13" s="15">
        <f>L13</f>
        <v>3414</v>
      </c>
      <c r="L13" s="15">
        <f>3149+265</f>
        <v>3414</v>
      </c>
      <c r="M13" s="15">
        <f t="shared" si="1"/>
        <v>3414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7"/>
        <v>0.75</v>
      </c>
      <c r="AE13" s="36">
        <f t="shared" si="8"/>
        <v>0.35179632895682278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133</v>
      </c>
      <c r="E14" s="53" t="s">
        <v>193</v>
      </c>
      <c r="F14" s="30" t="s">
        <v>136</v>
      </c>
      <c r="G14" s="33">
        <v>1</v>
      </c>
      <c r="H14" s="35">
        <v>24</v>
      </c>
      <c r="I14" s="7">
        <v>16000</v>
      </c>
      <c r="J14" s="14">
        <v>4393</v>
      </c>
      <c r="K14" s="15">
        <f>L14</f>
        <v>4393</v>
      </c>
      <c r="L14" s="15">
        <f>3232+1161</f>
        <v>4393</v>
      </c>
      <c r="M14" s="15">
        <f t="shared" si="1"/>
        <v>4393</v>
      </c>
      <c r="N14" s="15">
        <v>0</v>
      </c>
      <c r="O14" s="58">
        <f t="shared" si="2"/>
        <v>0</v>
      </c>
      <c r="P14" s="39">
        <f t="shared" si="3"/>
        <v>20</v>
      </c>
      <c r="Q14" s="40">
        <f t="shared" si="4"/>
        <v>4</v>
      </c>
      <c r="R14" s="7"/>
      <c r="S14" s="6">
        <v>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0.83333333333333337</v>
      </c>
      <c r="AD14" s="10">
        <f t="shared" si="7"/>
        <v>0.83333333333333337</v>
      </c>
      <c r="AE14" s="36">
        <f t="shared" si="8"/>
        <v>0.35179632895682278</v>
      </c>
      <c r="AF14" s="87">
        <f t="shared" si="9"/>
        <v>8</v>
      </c>
    </row>
    <row r="15" spans="1:32" ht="27" customHeight="1">
      <c r="A15" s="118">
        <v>9</v>
      </c>
      <c r="B15" s="11"/>
      <c r="C15" s="34"/>
      <c r="D15" s="52"/>
      <c r="E15" s="53"/>
      <c r="F15" s="30"/>
      <c r="G15" s="33"/>
      <c r="H15" s="35"/>
      <c r="I15" s="7"/>
      <c r="J15" s="5"/>
      <c r="K15" s="15"/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0.35179632895682278</v>
      </c>
      <c r="AF15" s="87">
        <f t="shared" si="9"/>
        <v>9</v>
      </c>
    </row>
    <row r="16" spans="1:32" ht="27" customHeight="1">
      <c r="A16" s="102">
        <v>10</v>
      </c>
      <c r="B16" s="11"/>
      <c r="C16" s="34"/>
      <c r="D16" s="52"/>
      <c r="E16" s="53"/>
      <c r="F16" s="12"/>
      <c r="G16" s="12"/>
      <c r="H16" s="13"/>
      <c r="I16" s="31"/>
      <c r="J16" s="14"/>
      <c r="K16" s="15"/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 t="str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0.35179632895682278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118</v>
      </c>
      <c r="D17" s="52" t="s">
        <v>218</v>
      </c>
      <c r="E17" s="53" t="s">
        <v>219</v>
      </c>
      <c r="F17" s="12" t="s">
        <v>200</v>
      </c>
      <c r="G17" s="12" t="s">
        <v>204</v>
      </c>
      <c r="H17" s="13">
        <v>24</v>
      </c>
      <c r="I17" s="7">
        <v>3000</v>
      </c>
      <c r="J17" s="14">
        <v>2137</v>
      </c>
      <c r="K17" s="15">
        <f>L17</f>
        <v>2137</v>
      </c>
      <c r="L17" s="15">
        <f>1093+1044</f>
        <v>2137</v>
      </c>
      <c r="M17" s="15">
        <f t="shared" si="1"/>
        <v>2137</v>
      </c>
      <c r="N17" s="15">
        <v>0</v>
      </c>
      <c r="O17" s="58">
        <f t="shared" si="2"/>
        <v>0</v>
      </c>
      <c r="P17" s="39">
        <f t="shared" si="3"/>
        <v>15</v>
      </c>
      <c r="Q17" s="40">
        <f t="shared" si="4"/>
        <v>9</v>
      </c>
      <c r="R17" s="7"/>
      <c r="S17" s="6"/>
      <c r="T17" s="16">
        <v>4</v>
      </c>
      <c r="U17" s="16"/>
      <c r="V17" s="17">
        <v>5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0.625</v>
      </c>
      <c r="AD17" s="10">
        <f t="shared" si="7"/>
        <v>0.625</v>
      </c>
      <c r="AE17" s="36">
        <f t="shared" si="8"/>
        <v>0.35179632895682278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127</v>
      </c>
      <c r="E18" s="53" t="s">
        <v>147</v>
      </c>
      <c r="F18" s="12">
        <v>8301</v>
      </c>
      <c r="G18" s="12">
        <v>1</v>
      </c>
      <c r="H18" s="13">
        <v>24</v>
      </c>
      <c r="I18" s="31">
        <v>600</v>
      </c>
      <c r="J18" s="14">
        <v>696</v>
      </c>
      <c r="K18" s="15">
        <f>L18+696</f>
        <v>696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0.35179632895682278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133</v>
      </c>
      <c r="E19" s="53" t="s">
        <v>188</v>
      </c>
      <c r="F19" s="30" t="s">
        <v>124</v>
      </c>
      <c r="G19" s="33">
        <v>1</v>
      </c>
      <c r="H19" s="35">
        <v>24</v>
      </c>
      <c r="I19" s="7">
        <v>20000</v>
      </c>
      <c r="J19" s="5">
        <v>5623</v>
      </c>
      <c r="K19" s="15">
        <f>L19+4964</f>
        <v>10587</v>
      </c>
      <c r="L19" s="15">
        <f>2662+2961</f>
        <v>5623</v>
      </c>
      <c r="M19" s="15">
        <f t="shared" si="1"/>
        <v>5623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0.35179632895682278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118</v>
      </c>
      <c r="D20" s="52" t="s">
        <v>209</v>
      </c>
      <c r="E20" s="53" t="s">
        <v>220</v>
      </c>
      <c r="F20" s="30" t="s">
        <v>221</v>
      </c>
      <c r="G20" s="33" t="s">
        <v>204</v>
      </c>
      <c r="H20" s="35">
        <v>24</v>
      </c>
      <c r="I20" s="7">
        <v>3000</v>
      </c>
      <c r="J20" s="5">
        <v>1759</v>
      </c>
      <c r="K20" s="15">
        <f>L20</f>
        <v>1759</v>
      </c>
      <c r="L20" s="15">
        <f>1001+758</f>
        <v>1759</v>
      </c>
      <c r="M20" s="15">
        <f t="shared" si="1"/>
        <v>1759</v>
      </c>
      <c r="N20" s="15">
        <v>0</v>
      </c>
      <c r="O20" s="58">
        <f t="shared" si="2"/>
        <v>0</v>
      </c>
      <c r="P20" s="39">
        <f t="shared" si="3"/>
        <v>15</v>
      </c>
      <c r="Q20" s="40">
        <f t="shared" si="4"/>
        <v>9</v>
      </c>
      <c r="R20" s="7"/>
      <c r="S20" s="6">
        <v>6</v>
      </c>
      <c r="T20" s="16">
        <v>3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0.625</v>
      </c>
      <c r="AD20" s="10">
        <f>AC20*AB20*(1-O20)</f>
        <v>0.625</v>
      </c>
      <c r="AE20" s="36">
        <f t="shared" si="8"/>
        <v>0.35179632895682278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149</v>
      </c>
      <c r="F21" s="12" t="s">
        <v>116</v>
      </c>
      <c r="G21" s="12">
        <v>4</v>
      </c>
      <c r="H21" s="35">
        <v>20</v>
      </c>
      <c r="I21" s="7">
        <v>50000</v>
      </c>
      <c r="J21" s="14">
        <v>27484</v>
      </c>
      <c r="K21" s="15">
        <f>L21+12000+27484</f>
        <v>39484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0.35179632895682278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8">SUM(I6:I21)</f>
        <v>304600</v>
      </c>
      <c r="J22" s="19">
        <f t="shared" si="18"/>
        <v>80370</v>
      </c>
      <c r="K22" s="20">
        <f t="shared" si="18"/>
        <v>229217</v>
      </c>
      <c r="L22" s="21">
        <f t="shared" si="18"/>
        <v>29134</v>
      </c>
      <c r="M22" s="20">
        <f t="shared" si="18"/>
        <v>29134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130</v>
      </c>
      <c r="Q22" s="43">
        <f t="shared" si="19"/>
        <v>254</v>
      </c>
      <c r="R22" s="23">
        <f t="shared" si="19"/>
        <v>24</v>
      </c>
      <c r="S22" s="24">
        <f t="shared" si="19"/>
        <v>40</v>
      </c>
      <c r="T22" s="24">
        <f t="shared" si="19"/>
        <v>13</v>
      </c>
      <c r="U22" s="24">
        <f t="shared" si="19"/>
        <v>0</v>
      </c>
      <c r="V22" s="25">
        <f t="shared" si="19"/>
        <v>5</v>
      </c>
      <c r="W22" s="26">
        <f t="shared" si="19"/>
        <v>172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0.47744464040760337</v>
      </c>
      <c r="AC22" s="4">
        <f>SUM(AC6:AC21)/15</f>
        <v>0.3611111111111111</v>
      </c>
      <c r="AD22" s="4">
        <f>SUM(AD6:AD21)/15</f>
        <v>0.35179632895682278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222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226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125" t="s">
        <v>46</v>
      </c>
      <c r="D51" s="125" t="s">
        <v>47</v>
      </c>
      <c r="E51" s="125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125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118</v>
      </c>
      <c r="B52" s="383"/>
      <c r="C52" s="127" t="s">
        <v>139</v>
      </c>
      <c r="D52" s="127" t="s">
        <v>209</v>
      </c>
      <c r="E52" s="127" t="s">
        <v>210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26" t="s">
        <v>118</v>
      </c>
      <c r="O52" s="135" t="s">
        <v>189</v>
      </c>
      <c r="P52" s="389" t="s">
        <v>207</v>
      </c>
      <c r="Q52" s="390"/>
      <c r="R52" s="383" t="s">
        <v>208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118</v>
      </c>
      <c r="B53" s="383"/>
      <c r="C53" s="127" t="s">
        <v>189</v>
      </c>
      <c r="D53" s="127" t="s">
        <v>218</v>
      </c>
      <c r="E53" s="127" t="s">
        <v>219</v>
      </c>
      <c r="F53" s="384" t="s">
        <v>223</v>
      </c>
      <c r="G53" s="385"/>
      <c r="H53" s="385"/>
      <c r="I53" s="385"/>
      <c r="J53" s="385"/>
      <c r="K53" s="385"/>
      <c r="L53" s="385"/>
      <c r="M53" s="386"/>
      <c r="N53" s="126" t="s">
        <v>118</v>
      </c>
      <c r="O53" s="135" t="s">
        <v>227</v>
      </c>
      <c r="P53" s="389" t="s">
        <v>209</v>
      </c>
      <c r="Q53" s="390"/>
      <c r="R53" s="383" t="s">
        <v>211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118</v>
      </c>
      <c r="B54" s="383"/>
      <c r="C54" s="127" t="s">
        <v>176</v>
      </c>
      <c r="D54" s="127" t="s">
        <v>209</v>
      </c>
      <c r="E54" s="127" t="s">
        <v>220</v>
      </c>
      <c r="F54" s="384" t="s">
        <v>224</v>
      </c>
      <c r="G54" s="385"/>
      <c r="H54" s="385"/>
      <c r="I54" s="385"/>
      <c r="J54" s="385"/>
      <c r="K54" s="385"/>
      <c r="L54" s="385"/>
      <c r="M54" s="386"/>
      <c r="N54" s="126" t="s">
        <v>114</v>
      </c>
      <c r="O54" s="135" t="s">
        <v>176</v>
      </c>
      <c r="P54" s="389" t="s">
        <v>117</v>
      </c>
      <c r="Q54" s="390"/>
      <c r="R54" s="383" t="s">
        <v>228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114</v>
      </c>
      <c r="B55" s="383"/>
      <c r="C55" s="127" t="s">
        <v>161</v>
      </c>
      <c r="D55" s="127" t="s">
        <v>117</v>
      </c>
      <c r="E55" s="127" t="s">
        <v>194</v>
      </c>
      <c r="F55" s="384" t="s">
        <v>225</v>
      </c>
      <c r="G55" s="385"/>
      <c r="H55" s="385"/>
      <c r="I55" s="385"/>
      <c r="J55" s="385"/>
      <c r="K55" s="385"/>
      <c r="L55" s="385"/>
      <c r="M55" s="386"/>
      <c r="N55" s="126"/>
      <c r="O55" s="135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114</v>
      </c>
      <c r="B56" s="383"/>
      <c r="C56" s="127" t="s">
        <v>129</v>
      </c>
      <c r="D56" s="127" t="s">
        <v>133</v>
      </c>
      <c r="E56" s="127" t="s">
        <v>193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126"/>
      <c r="O56" s="135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27"/>
      <c r="D57" s="127"/>
      <c r="E57" s="127"/>
      <c r="F57" s="384"/>
      <c r="G57" s="385"/>
      <c r="H57" s="385"/>
      <c r="I57" s="385"/>
      <c r="J57" s="385"/>
      <c r="K57" s="385"/>
      <c r="L57" s="385"/>
      <c r="M57" s="386"/>
      <c r="N57" s="126"/>
      <c r="O57" s="135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27"/>
      <c r="D58" s="127"/>
      <c r="E58" s="127"/>
      <c r="F58" s="384"/>
      <c r="G58" s="385"/>
      <c r="H58" s="385"/>
      <c r="I58" s="385"/>
      <c r="J58" s="385"/>
      <c r="K58" s="385"/>
      <c r="L58" s="385"/>
      <c r="M58" s="386"/>
      <c r="N58" s="126"/>
      <c r="O58" s="135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27"/>
      <c r="D59" s="127"/>
      <c r="E59" s="127"/>
      <c r="F59" s="384"/>
      <c r="G59" s="385"/>
      <c r="H59" s="385"/>
      <c r="I59" s="385"/>
      <c r="J59" s="385"/>
      <c r="K59" s="385"/>
      <c r="L59" s="385"/>
      <c r="M59" s="386"/>
      <c r="N59" s="126"/>
      <c r="O59" s="135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127"/>
      <c r="D60" s="127"/>
      <c r="E60" s="127"/>
      <c r="F60" s="384"/>
      <c r="G60" s="385"/>
      <c r="H60" s="385"/>
      <c r="I60" s="385"/>
      <c r="J60" s="385"/>
      <c r="K60" s="385"/>
      <c r="L60" s="385"/>
      <c r="M60" s="386"/>
      <c r="N60" s="126"/>
      <c r="O60" s="135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129"/>
      <c r="D61" s="129"/>
      <c r="E61" s="129"/>
      <c r="F61" s="393"/>
      <c r="G61" s="393"/>
      <c r="H61" s="393"/>
      <c r="I61" s="393"/>
      <c r="J61" s="393"/>
      <c r="K61" s="393"/>
      <c r="L61" s="393"/>
      <c r="M61" s="394"/>
      <c r="N61" s="128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229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130" t="s">
        <v>2</v>
      </c>
      <c r="D63" s="130" t="s">
        <v>37</v>
      </c>
      <c r="E63" s="130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130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/>
      <c r="D64" s="133"/>
      <c r="E64" s="131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/>
      <c r="D65" s="133"/>
      <c r="E65" s="13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133"/>
      <c r="E71" s="131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230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132" t="s">
        <v>2</v>
      </c>
      <c r="D73" s="132" t="s">
        <v>37</v>
      </c>
      <c r="E73" s="132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134" t="s">
        <v>114</v>
      </c>
      <c r="D74" s="134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133"/>
      <c r="D75" s="133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20">A75+1</f>
        <v>3</v>
      </c>
      <c r="B76" s="419"/>
      <c r="C76" s="133"/>
      <c r="D76" s="133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20"/>
        <v>4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0"/>
        <v>5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0"/>
        <v>6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0"/>
        <v>7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0"/>
        <v>8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0"/>
        <v>9</v>
      </c>
      <c r="B82" s="419"/>
      <c r="C82" s="133"/>
      <c r="D82" s="133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231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D31-8B2A-4A31-B146-956CEB798A42}">
  <sheetPr codeName="Sheet6"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232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0.41388888888888886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0.41388888888888886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118</v>
      </c>
      <c r="D8" s="52" t="s">
        <v>209</v>
      </c>
      <c r="E8" s="53" t="s">
        <v>210</v>
      </c>
      <c r="F8" s="30" t="s">
        <v>200</v>
      </c>
      <c r="G8" s="33">
        <v>2</v>
      </c>
      <c r="H8" s="35">
        <v>24</v>
      </c>
      <c r="I8" s="7">
        <v>3000</v>
      </c>
      <c r="J8" s="5">
        <v>3126</v>
      </c>
      <c r="K8" s="15">
        <f>L8+3126</f>
        <v>3126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0.41388888888888886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5519</v>
      </c>
      <c r="K9" s="15">
        <f>L9+3704+6207</f>
        <v>15430</v>
      </c>
      <c r="L9" s="15">
        <f>2934+2585</f>
        <v>5519</v>
      </c>
      <c r="M9" s="15">
        <f t="shared" si="1"/>
        <v>5519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0.41388888888888886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118</v>
      </c>
      <c r="D10" s="52" t="s">
        <v>209</v>
      </c>
      <c r="E10" s="53" t="s">
        <v>220</v>
      </c>
      <c r="F10" s="30" t="s">
        <v>221</v>
      </c>
      <c r="G10" s="33" t="s">
        <v>204</v>
      </c>
      <c r="H10" s="35">
        <v>24</v>
      </c>
      <c r="I10" s="7">
        <v>3000</v>
      </c>
      <c r="J10" s="5">
        <v>1779</v>
      </c>
      <c r="K10" s="15">
        <f>L10+1759</f>
        <v>3538</v>
      </c>
      <c r="L10" s="15">
        <f>833+200+746</f>
        <v>1779</v>
      </c>
      <c r="M10" s="15">
        <f t="shared" ref="M10" si="10">L10-N10</f>
        <v>1779</v>
      </c>
      <c r="N10" s="15">
        <v>0</v>
      </c>
      <c r="O10" s="58">
        <f t="shared" ref="O10" si="11">IF(L10=0,"0",N10/L10)</f>
        <v>0</v>
      </c>
      <c r="P10" s="39">
        <f t="shared" ref="P10" si="12">IF(L10=0,"0",(24-Q10))</f>
        <v>16</v>
      </c>
      <c r="Q10" s="40">
        <f t="shared" ref="Q10" si="13">SUM(R10:AA10)</f>
        <v>8</v>
      </c>
      <c r="R10" s="7"/>
      <c r="S10" s="6"/>
      <c r="T10" s="16"/>
      <c r="U10" s="16"/>
      <c r="V10" s="17"/>
      <c r="W10" s="5">
        <v>8</v>
      </c>
      <c r="X10" s="16"/>
      <c r="Y10" s="16"/>
      <c r="Z10" s="16"/>
      <c r="AA10" s="18"/>
      <c r="AB10" s="8">
        <f t="shared" ref="AB10" si="14">IF(J10=0,"0",(L10/J10))</f>
        <v>1</v>
      </c>
      <c r="AC10" s="9">
        <f t="shared" ref="AC10" si="15">IF(P10=0,"0",(P10/24))</f>
        <v>0.66666666666666663</v>
      </c>
      <c r="AD10" s="10">
        <f>AC10*AB10*(1-O10)</f>
        <v>0.66666666666666663</v>
      </c>
      <c r="AE10" s="36">
        <f t="shared" si="8"/>
        <v>0.41388888888888886</v>
      </c>
      <c r="AF10" s="87">
        <f t="shared" ref="AF10" si="16">A10</f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0.41388888888888886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194</v>
      </c>
      <c r="F12" s="30" t="s">
        <v>126</v>
      </c>
      <c r="G12" s="33">
        <v>1</v>
      </c>
      <c r="H12" s="35">
        <v>20</v>
      </c>
      <c r="I12" s="7">
        <v>16000</v>
      </c>
      <c r="J12" s="14">
        <v>5630</v>
      </c>
      <c r="K12" s="15">
        <f>L12+3414</f>
        <v>9044</v>
      </c>
      <c r="L12" s="15">
        <f>2519+3111</f>
        <v>5630</v>
      </c>
      <c r="M12" s="15">
        <f t="shared" si="1"/>
        <v>5630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0.41388888888888886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133</v>
      </c>
      <c r="E13" s="53" t="s">
        <v>193</v>
      </c>
      <c r="F13" s="30" t="s">
        <v>136</v>
      </c>
      <c r="G13" s="33">
        <v>1</v>
      </c>
      <c r="H13" s="35">
        <v>24</v>
      </c>
      <c r="I13" s="7">
        <v>16000</v>
      </c>
      <c r="J13" s="14">
        <v>5801</v>
      </c>
      <c r="K13" s="15">
        <f>L13+4393</f>
        <v>10194</v>
      </c>
      <c r="L13" s="15">
        <f>3235+2566</f>
        <v>5801</v>
      </c>
      <c r="M13" s="15">
        <f t="shared" si="1"/>
        <v>5801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0.41388888888888886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0.41388888888888886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 t="s">
        <v>234</v>
      </c>
      <c r="E15" s="53" t="s">
        <v>235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1221</v>
      </c>
      <c r="K15" s="15">
        <f>L15</f>
        <v>1221</v>
      </c>
      <c r="L15" s="15">
        <v>1221</v>
      </c>
      <c r="M15" s="15">
        <f t="shared" si="1"/>
        <v>1221</v>
      </c>
      <c r="N15" s="15">
        <v>0</v>
      </c>
      <c r="O15" s="58">
        <f t="shared" si="2"/>
        <v>0</v>
      </c>
      <c r="P15" s="39">
        <f t="shared" si="3"/>
        <v>7</v>
      </c>
      <c r="Q15" s="40">
        <f t="shared" si="4"/>
        <v>17</v>
      </c>
      <c r="R15" s="7"/>
      <c r="S15" s="6"/>
      <c r="T15" s="16"/>
      <c r="U15" s="16"/>
      <c r="V15" s="17"/>
      <c r="W15" s="5">
        <v>17</v>
      </c>
      <c r="X15" s="16"/>
      <c r="Y15" s="16"/>
      <c r="Z15" s="16"/>
      <c r="AA15" s="18"/>
      <c r="AB15" s="8">
        <f t="shared" si="5"/>
        <v>1</v>
      </c>
      <c r="AC15" s="9">
        <f t="shared" si="6"/>
        <v>0.29166666666666669</v>
      </c>
      <c r="AD15" s="10">
        <f t="shared" si="7"/>
        <v>0.29166666666666669</v>
      </c>
      <c r="AE15" s="36">
        <f t="shared" si="8"/>
        <v>0.41388888888888886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118</v>
      </c>
      <c r="D16" s="52" t="s">
        <v>218</v>
      </c>
      <c r="E16" s="53" t="s">
        <v>219</v>
      </c>
      <c r="F16" s="12" t="s">
        <v>200</v>
      </c>
      <c r="G16" s="12" t="s">
        <v>204</v>
      </c>
      <c r="H16" s="13">
        <v>24</v>
      </c>
      <c r="I16" s="7">
        <v>3000</v>
      </c>
      <c r="J16" s="14">
        <v>1008</v>
      </c>
      <c r="K16" s="15">
        <f>L16+2137</f>
        <v>3145</v>
      </c>
      <c r="L16" s="15">
        <v>1008</v>
      </c>
      <c r="M16" s="15">
        <f t="shared" si="1"/>
        <v>1008</v>
      </c>
      <c r="N16" s="15">
        <v>0</v>
      </c>
      <c r="O16" s="58">
        <f t="shared" si="2"/>
        <v>0</v>
      </c>
      <c r="P16" s="39">
        <f t="shared" si="3"/>
        <v>8</v>
      </c>
      <c r="Q16" s="40">
        <f t="shared" si="4"/>
        <v>16</v>
      </c>
      <c r="R16" s="7"/>
      <c r="S16" s="6"/>
      <c r="T16" s="16"/>
      <c r="U16" s="16"/>
      <c r="V16" s="17"/>
      <c r="W16" s="5">
        <v>16</v>
      </c>
      <c r="X16" s="16"/>
      <c r="Y16" s="16"/>
      <c r="Z16" s="16"/>
      <c r="AA16" s="18"/>
      <c r="AB16" s="8">
        <f t="shared" si="5"/>
        <v>1</v>
      </c>
      <c r="AC16" s="9">
        <f t="shared" si="6"/>
        <v>0.33333333333333331</v>
      </c>
      <c r="AD16" s="10">
        <f t="shared" si="7"/>
        <v>0.33333333333333331</v>
      </c>
      <c r="AE16" s="36">
        <f t="shared" si="8"/>
        <v>0.41388888888888886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147</v>
      </c>
      <c r="F17" s="12">
        <v>8301</v>
      </c>
      <c r="G17" s="12">
        <v>1</v>
      </c>
      <c r="H17" s="13">
        <v>24</v>
      </c>
      <c r="I17" s="31">
        <v>600</v>
      </c>
      <c r="J17" s="14">
        <v>696</v>
      </c>
      <c r="K17" s="15">
        <f>L17+696</f>
        <v>696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0.41388888888888886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5143</v>
      </c>
      <c r="K18" s="15">
        <f>L18+4964+5623</f>
        <v>15730</v>
      </c>
      <c r="L18" s="15">
        <f>2369+2774</f>
        <v>5143</v>
      </c>
      <c r="M18" s="15">
        <f t="shared" si="1"/>
        <v>5143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0.41388888888888886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v>48000</v>
      </c>
      <c r="J19" s="5">
        <v>4490</v>
      </c>
      <c r="K19" s="15">
        <f>L19</f>
        <v>4490</v>
      </c>
      <c r="L19" s="15">
        <f>1407+3083</f>
        <v>4490</v>
      </c>
      <c r="M19" s="15">
        <f t="shared" si="1"/>
        <v>4490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/>
      <c r="T19" s="16">
        <v>2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>AC19*AB19*(1-O19)</f>
        <v>0.91666666666666663</v>
      </c>
      <c r="AE19" s="36">
        <f t="shared" si="8"/>
        <v>0.41388888888888886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149</v>
      </c>
      <c r="F20" s="12" t="s">
        <v>116</v>
      </c>
      <c r="G20" s="12">
        <v>4</v>
      </c>
      <c r="H20" s="35">
        <v>20</v>
      </c>
      <c r="I20" s="7">
        <v>50000</v>
      </c>
      <c r="J20" s="14">
        <v>27484</v>
      </c>
      <c r="K20" s="15">
        <f>L20+12000+27484</f>
        <v>39484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0.41388888888888886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7">SUM(I6:I20)</f>
        <v>223600</v>
      </c>
      <c r="J21" s="19">
        <f t="shared" si="17"/>
        <v>63147</v>
      </c>
      <c r="K21" s="20">
        <f t="shared" si="17"/>
        <v>120956</v>
      </c>
      <c r="L21" s="21">
        <f t="shared" si="17"/>
        <v>30591</v>
      </c>
      <c r="M21" s="20">
        <f t="shared" si="17"/>
        <v>30591</v>
      </c>
      <c r="N21" s="21">
        <f t="shared" si="17"/>
        <v>0</v>
      </c>
      <c r="O21" s="41">
        <f t="shared" si="2"/>
        <v>0</v>
      </c>
      <c r="P21" s="42">
        <f t="shared" ref="P21:AA21" si="18">SUM(P6:P20)</f>
        <v>149</v>
      </c>
      <c r="Q21" s="43">
        <f t="shared" si="18"/>
        <v>211</v>
      </c>
      <c r="R21" s="23">
        <f t="shared" si="18"/>
        <v>24</v>
      </c>
      <c r="S21" s="24">
        <f t="shared" si="18"/>
        <v>24</v>
      </c>
      <c r="T21" s="24">
        <f t="shared" si="18"/>
        <v>2</v>
      </c>
      <c r="U21" s="24">
        <f t="shared" si="18"/>
        <v>0</v>
      </c>
      <c r="V21" s="25">
        <f t="shared" si="18"/>
        <v>0</v>
      </c>
      <c r="W21" s="26">
        <f t="shared" si="18"/>
        <v>161</v>
      </c>
      <c r="X21" s="27">
        <f t="shared" si="18"/>
        <v>0</v>
      </c>
      <c r="Y21" s="27">
        <f t="shared" si="18"/>
        <v>0</v>
      </c>
      <c r="Z21" s="27">
        <f t="shared" si="18"/>
        <v>0</v>
      </c>
      <c r="AA21" s="27">
        <f t="shared" si="18"/>
        <v>0</v>
      </c>
      <c r="AB21" s="28">
        <f>SUM(AB6:AB20)/15</f>
        <v>0.53333333333333333</v>
      </c>
      <c r="AC21" s="4">
        <f>SUM(AC6:AC20)/15</f>
        <v>0.41388888888888886</v>
      </c>
      <c r="AD21" s="4">
        <f>SUM(AD6:AD20)/15</f>
        <v>0.41388888888888886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236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242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25" t="s">
        <v>46</v>
      </c>
      <c r="D50" s="125" t="s">
        <v>47</v>
      </c>
      <c r="E50" s="125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25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118</v>
      </c>
      <c r="B51" s="383"/>
      <c r="C51" s="127" t="s">
        <v>189</v>
      </c>
      <c r="D51" s="127" t="s">
        <v>218</v>
      </c>
      <c r="E51" s="127" t="s">
        <v>219</v>
      </c>
      <c r="F51" s="384" t="s">
        <v>174</v>
      </c>
      <c r="G51" s="385"/>
      <c r="H51" s="385"/>
      <c r="I51" s="385"/>
      <c r="J51" s="385"/>
      <c r="K51" s="385"/>
      <c r="L51" s="385"/>
      <c r="M51" s="386"/>
      <c r="N51" s="126" t="s">
        <v>114</v>
      </c>
      <c r="O51" s="135" t="s">
        <v>158</v>
      </c>
      <c r="P51" s="389" t="s">
        <v>133</v>
      </c>
      <c r="Q51" s="390"/>
      <c r="R51" s="383" t="s">
        <v>199</v>
      </c>
      <c r="S51" s="383"/>
      <c r="T51" s="383"/>
      <c r="U51" s="383"/>
      <c r="V51" s="387" t="s">
        <v>243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118</v>
      </c>
      <c r="B52" s="383"/>
      <c r="C52" s="127" t="s">
        <v>227</v>
      </c>
      <c r="D52" s="127" t="s">
        <v>209</v>
      </c>
      <c r="E52" s="127" t="s">
        <v>220</v>
      </c>
      <c r="F52" s="384" t="s">
        <v>174</v>
      </c>
      <c r="G52" s="385"/>
      <c r="H52" s="385"/>
      <c r="I52" s="385"/>
      <c r="J52" s="385"/>
      <c r="K52" s="385"/>
      <c r="L52" s="385"/>
      <c r="M52" s="386"/>
      <c r="N52" s="126" t="s">
        <v>114</v>
      </c>
      <c r="O52" s="135" t="s">
        <v>168</v>
      </c>
      <c r="P52" s="389" t="s">
        <v>133</v>
      </c>
      <c r="Q52" s="390"/>
      <c r="R52" s="383" t="s">
        <v>188</v>
      </c>
      <c r="S52" s="383"/>
      <c r="T52" s="383"/>
      <c r="U52" s="383"/>
      <c r="V52" s="387" t="s">
        <v>243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127" t="s">
        <v>176</v>
      </c>
      <c r="D53" s="127" t="s">
        <v>117</v>
      </c>
      <c r="E53" s="127" t="s">
        <v>228</v>
      </c>
      <c r="F53" s="384" t="s">
        <v>123</v>
      </c>
      <c r="G53" s="385"/>
      <c r="H53" s="385"/>
      <c r="I53" s="385"/>
      <c r="J53" s="385"/>
      <c r="K53" s="385"/>
      <c r="L53" s="385"/>
      <c r="M53" s="386"/>
      <c r="N53" s="126" t="s">
        <v>118</v>
      </c>
      <c r="O53" s="135" t="s">
        <v>227</v>
      </c>
      <c r="P53" s="389" t="s">
        <v>218</v>
      </c>
      <c r="Q53" s="390"/>
      <c r="R53" s="383" t="s">
        <v>244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233</v>
      </c>
      <c r="B54" s="383"/>
      <c r="C54" s="127" t="s">
        <v>237</v>
      </c>
      <c r="D54" s="127" t="s">
        <v>234</v>
      </c>
      <c r="E54" s="127" t="s">
        <v>235</v>
      </c>
      <c r="F54" s="384" t="s">
        <v>238</v>
      </c>
      <c r="G54" s="385"/>
      <c r="H54" s="385"/>
      <c r="I54" s="385"/>
      <c r="J54" s="385"/>
      <c r="K54" s="385"/>
      <c r="L54" s="385"/>
      <c r="M54" s="386"/>
      <c r="N54" s="126"/>
      <c r="O54" s="135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127"/>
      <c r="D55" s="127"/>
      <c r="E55" s="127"/>
      <c r="F55" s="384"/>
      <c r="G55" s="385"/>
      <c r="H55" s="385"/>
      <c r="I55" s="385"/>
      <c r="J55" s="385"/>
      <c r="K55" s="385"/>
      <c r="L55" s="385"/>
      <c r="M55" s="386"/>
      <c r="N55" s="126"/>
      <c r="O55" s="135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27"/>
      <c r="D56" s="127"/>
      <c r="E56" s="127"/>
      <c r="F56" s="384"/>
      <c r="G56" s="385"/>
      <c r="H56" s="385"/>
      <c r="I56" s="385"/>
      <c r="J56" s="385"/>
      <c r="K56" s="385"/>
      <c r="L56" s="385"/>
      <c r="M56" s="386"/>
      <c r="N56" s="126"/>
      <c r="O56" s="135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27"/>
      <c r="D57" s="127"/>
      <c r="E57" s="127"/>
      <c r="F57" s="384"/>
      <c r="G57" s="385"/>
      <c r="H57" s="385"/>
      <c r="I57" s="385"/>
      <c r="J57" s="385"/>
      <c r="K57" s="385"/>
      <c r="L57" s="385"/>
      <c r="M57" s="386"/>
      <c r="N57" s="126"/>
      <c r="O57" s="135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27"/>
      <c r="D58" s="127"/>
      <c r="E58" s="127"/>
      <c r="F58" s="384"/>
      <c r="G58" s="385"/>
      <c r="H58" s="385"/>
      <c r="I58" s="385"/>
      <c r="J58" s="385"/>
      <c r="K58" s="385"/>
      <c r="L58" s="385"/>
      <c r="M58" s="386"/>
      <c r="N58" s="126"/>
      <c r="O58" s="135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27"/>
      <c r="D59" s="127"/>
      <c r="E59" s="127"/>
      <c r="F59" s="384"/>
      <c r="G59" s="385"/>
      <c r="H59" s="385"/>
      <c r="I59" s="385"/>
      <c r="J59" s="385"/>
      <c r="K59" s="385"/>
      <c r="L59" s="385"/>
      <c r="M59" s="386"/>
      <c r="N59" s="126"/>
      <c r="O59" s="135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129"/>
      <c r="D60" s="129"/>
      <c r="E60" s="129"/>
      <c r="F60" s="393"/>
      <c r="G60" s="393"/>
      <c r="H60" s="393"/>
      <c r="I60" s="393"/>
      <c r="J60" s="393"/>
      <c r="K60" s="393"/>
      <c r="L60" s="393"/>
      <c r="M60" s="394"/>
      <c r="N60" s="128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239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130" t="s">
        <v>2</v>
      </c>
      <c r="D62" s="130" t="s">
        <v>37</v>
      </c>
      <c r="E62" s="130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130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233</v>
      </c>
      <c r="D63" s="133"/>
      <c r="E63" s="131" t="s">
        <v>234</v>
      </c>
      <c r="F63" s="406" t="s">
        <v>235</v>
      </c>
      <c r="G63" s="407"/>
      <c r="H63" s="407"/>
      <c r="I63" s="407"/>
      <c r="J63" s="407"/>
      <c r="K63" s="407">
        <v>8301</v>
      </c>
      <c r="L63" s="407"/>
      <c r="M63" s="51" t="s">
        <v>240</v>
      </c>
      <c r="N63" s="408" t="s">
        <v>237</v>
      </c>
      <c r="O63" s="408"/>
      <c r="P63" s="409">
        <v>20</v>
      </c>
      <c r="Q63" s="409"/>
      <c r="R63" s="387" t="s">
        <v>241</v>
      </c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133"/>
      <c r="E64" s="131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133"/>
      <c r="E65" s="13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245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132" t="s">
        <v>2</v>
      </c>
      <c r="D72" s="132" t="s">
        <v>37</v>
      </c>
      <c r="E72" s="132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134" t="s">
        <v>114</v>
      </c>
      <c r="D73" s="134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133"/>
      <c r="D74" s="133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9">A74+1</f>
        <v>3</v>
      </c>
      <c r="B75" s="419"/>
      <c r="C75" s="133"/>
      <c r="D75" s="133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9"/>
        <v>4</v>
      </c>
      <c r="B76" s="419"/>
      <c r="C76" s="133"/>
      <c r="D76" s="133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9"/>
        <v>5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9"/>
        <v>6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9"/>
        <v>7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9"/>
        <v>8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9"/>
        <v>9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246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984B-9E01-4E9E-818D-B9469C7BF3C9}">
  <sheetPr codeName="Sheet7"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247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0.4350057218878538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0.4350057218878538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248</v>
      </c>
      <c r="D8" s="52" t="s">
        <v>209</v>
      </c>
      <c r="E8" s="53" t="s">
        <v>249</v>
      </c>
      <c r="F8" s="30" t="s">
        <v>200</v>
      </c>
      <c r="G8" s="33">
        <v>2</v>
      </c>
      <c r="H8" s="35">
        <v>24</v>
      </c>
      <c r="I8" s="7">
        <v>500</v>
      </c>
      <c r="J8" s="5">
        <v>1812</v>
      </c>
      <c r="K8" s="15">
        <f>L8</f>
        <v>1812</v>
      </c>
      <c r="L8" s="15">
        <f>906*2</f>
        <v>1812</v>
      </c>
      <c r="M8" s="15">
        <f t="shared" si="1"/>
        <v>1812</v>
      </c>
      <c r="N8" s="15">
        <v>0</v>
      </c>
      <c r="O8" s="58">
        <f t="shared" si="2"/>
        <v>0</v>
      </c>
      <c r="P8" s="39">
        <f t="shared" si="3"/>
        <v>6</v>
      </c>
      <c r="Q8" s="40">
        <f t="shared" si="4"/>
        <v>18</v>
      </c>
      <c r="R8" s="7"/>
      <c r="S8" s="6"/>
      <c r="T8" s="16"/>
      <c r="U8" s="16"/>
      <c r="V8" s="17"/>
      <c r="W8" s="5">
        <v>18</v>
      </c>
      <c r="X8" s="16"/>
      <c r="Y8" s="16"/>
      <c r="Z8" s="16"/>
      <c r="AA8" s="18"/>
      <c r="AB8" s="8">
        <f t="shared" si="5"/>
        <v>1</v>
      </c>
      <c r="AC8" s="9">
        <f t="shared" si="6"/>
        <v>0.25</v>
      </c>
      <c r="AD8" s="10">
        <f t="shared" si="7"/>
        <v>0.25</v>
      </c>
      <c r="AE8" s="36">
        <f t="shared" si="8"/>
        <v>0.4350057218878538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3575</v>
      </c>
      <c r="K9" s="15">
        <f>L9+3704+6207+5519</f>
        <v>19005</v>
      </c>
      <c r="L9" s="15">
        <f>3165+410</f>
        <v>3575</v>
      </c>
      <c r="M9" s="15">
        <f t="shared" si="1"/>
        <v>3575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0.4350057218878538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118</v>
      </c>
      <c r="D10" s="52" t="s">
        <v>218</v>
      </c>
      <c r="E10" s="53" t="s">
        <v>244</v>
      </c>
      <c r="F10" s="30" t="s">
        <v>221</v>
      </c>
      <c r="G10" s="33">
        <v>1</v>
      </c>
      <c r="H10" s="35">
        <v>24</v>
      </c>
      <c r="I10" s="7">
        <v>3000</v>
      </c>
      <c r="J10" s="5">
        <v>2550</v>
      </c>
      <c r="K10" s="15">
        <f>L10</f>
        <v>2550</v>
      </c>
      <c r="L10" s="15">
        <v>2550</v>
      </c>
      <c r="M10" s="15">
        <f t="shared" si="1"/>
        <v>2550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/>
      <c r="T10" s="16"/>
      <c r="U10" s="16"/>
      <c r="V10" s="17"/>
      <c r="W10" s="5">
        <v>4</v>
      </c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 t="shared" si="8"/>
        <v>0.4350057218878538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0.4350057218878538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194</v>
      </c>
      <c r="F12" s="30" t="s">
        <v>126</v>
      </c>
      <c r="G12" s="33">
        <v>1</v>
      </c>
      <c r="H12" s="35">
        <v>20</v>
      </c>
      <c r="I12" s="7">
        <v>16000</v>
      </c>
      <c r="J12" s="14">
        <v>5630</v>
      </c>
      <c r="K12" s="15">
        <f>L12+3414+5630</f>
        <v>14582</v>
      </c>
      <c r="L12" s="15">
        <f>3067+2471</f>
        <v>5538</v>
      </c>
      <c r="M12" s="15">
        <f t="shared" si="1"/>
        <v>5538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0.98365896980461809</v>
      </c>
      <c r="AC12" s="9">
        <f t="shared" si="6"/>
        <v>1</v>
      </c>
      <c r="AD12" s="10">
        <f t="shared" si="7"/>
        <v>0.98365896980461809</v>
      </c>
      <c r="AE12" s="36">
        <f t="shared" si="8"/>
        <v>0.4350057218878538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133</v>
      </c>
      <c r="E13" s="53" t="s">
        <v>193</v>
      </c>
      <c r="F13" s="30" t="s">
        <v>136</v>
      </c>
      <c r="G13" s="33">
        <v>1</v>
      </c>
      <c r="H13" s="35">
        <v>24</v>
      </c>
      <c r="I13" s="7">
        <v>16000</v>
      </c>
      <c r="J13" s="14">
        <v>5693</v>
      </c>
      <c r="K13" s="15">
        <f>L13+4393+5801</f>
        <v>15887</v>
      </c>
      <c r="L13" s="15">
        <f>3200+2493</f>
        <v>5693</v>
      </c>
      <c r="M13" s="15">
        <f t="shared" si="1"/>
        <v>5693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0.4350057218878538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0.4350057218878538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 t="s">
        <v>234</v>
      </c>
      <c r="E15" s="53" t="s">
        <v>235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1221</v>
      </c>
      <c r="K15" s="15">
        <f>L15+1221</f>
        <v>1221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17</v>
      </c>
      <c r="R15" s="7"/>
      <c r="S15" s="6"/>
      <c r="T15" s="16"/>
      <c r="U15" s="16"/>
      <c r="V15" s="17"/>
      <c r="W15" s="5">
        <v>17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0.4350057218878538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118</v>
      </c>
      <c r="D16" s="52" t="s">
        <v>250</v>
      </c>
      <c r="E16" s="53" t="s">
        <v>251</v>
      </c>
      <c r="F16" s="12">
        <v>7301</v>
      </c>
      <c r="G16" s="12" t="s">
        <v>252</v>
      </c>
      <c r="H16" s="13">
        <v>24</v>
      </c>
      <c r="I16" s="7">
        <v>1000</v>
      </c>
      <c r="J16" s="14">
        <v>1175</v>
      </c>
      <c r="K16" s="15">
        <f>L16</f>
        <v>1175</v>
      </c>
      <c r="L16" s="15">
        <f>1175</f>
        <v>1175</v>
      </c>
      <c r="M16" s="15">
        <f t="shared" si="1"/>
        <v>1175</v>
      </c>
      <c r="N16" s="15">
        <v>0</v>
      </c>
      <c r="O16" s="58">
        <f t="shared" si="2"/>
        <v>0</v>
      </c>
      <c r="P16" s="39">
        <f t="shared" si="3"/>
        <v>12</v>
      </c>
      <c r="Q16" s="40">
        <f t="shared" si="4"/>
        <v>12</v>
      </c>
      <c r="R16" s="7"/>
      <c r="S16" s="6"/>
      <c r="T16" s="16"/>
      <c r="U16" s="16"/>
      <c r="V16" s="17"/>
      <c r="W16" s="5">
        <v>12</v>
      </c>
      <c r="X16" s="16"/>
      <c r="Y16" s="16"/>
      <c r="Z16" s="16"/>
      <c r="AA16" s="18"/>
      <c r="AB16" s="8">
        <f t="shared" si="5"/>
        <v>1</v>
      </c>
      <c r="AC16" s="9">
        <f t="shared" si="6"/>
        <v>0.5</v>
      </c>
      <c r="AD16" s="10">
        <f t="shared" si="7"/>
        <v>0.5</v>
      </c>
      <c r="AE16" s="36">
        <f t="shared" si="8"/>
        <v>0.4350057218878538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147</v>
      </c>
      <c r="F17" s="12">
        <v>8301</v>
      </c>
      <c r="G17" s="12">
        <v>1</v>
      </c>
      <c r="H17" s="13">
        <v>24</v>
      </c>
      <c r="I17" s="31">
        <v>600</v>
      </c>
      <c r="J17" s="14">
        <v>696</v>
      </c>
      <c r="K17" s="15">
        <f>L17+696</f>
        <v>696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0.4350057218878538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3475</v>
      </c>
      <c r="K18" s="15">
        <f>L18+4964+5623+5143</f>
        <v>19204</v>
      </c>
      <c r="L18" s="15">
        <f>1050+2424</f>
        <v>3474</v>
      </c>
      <c r="M18" s="15">
        <f t="shared" si="1"/>
        <v>3474</v>
      </c>
      <c r="N18" s="15">
        <v>0</v>
      </c>
      <c r="O18" s="58">
        <f t="shared" si="2"/>
        <v>0</v>
      </c>
      <c r="P18" s="39">
        <f t="shared" si="3"/>
        <v>20</v>
      </c>
      <c r="Q18" s="40">
        <f t="shared" si="4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0.99971223021582734</v>
      </c>
      <c r="AC18" s="9">
        <f t="shared" si="6"/>
        <v>0.83333333333333337</v>
      </c>
      <c r="AD18" s="10">
        <f>AC18*AB18*(1-O18)</f>
        <v>0.83309352517985613</v>
      </c>
      <c r="AE18" s="36">
        <f t="shared" si="8"/>
        <v>0.4350057218878538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v>48000</v>
      </c>
      <c r="J19" s="5">
        <v>5516</v>
      </c>
      <c r="K19" s="15">
        <f>L19+4490</f>
        <v>10006</v>
      </c>
      <c r="L19" s="15">
        <f>3046+2470</f>
        <v>5516</v>
      </c>
      <c r="M19" s="15">
        <f t="shared" si="1"/>
        <v>5516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0.4350057218878538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149</v>
      </c>
      <c r="F20" s="12" t="s">
        <v>116</v>
      </c>
      <c r="G20" s="12">
        <v>4</v>
      </c>
      <c r="H20" s="35">
        <v>20</v>
      </c>
      <c r="I20" s="7">
        <v>50000</v>
      </c>
      <c r="J20" s="14">
        <v>18080</v>
      </c>
      <c r="K20" s="15">
        <f>L20</f>
        <v>18080</v>
      </c>
      <c r="L20" s="15">
        <f>4520*4</f>
        <v>18080</v>
      </c>
      <c r="M20" s="15">
        <f t="shared" si="1"/>
        <v>18080</v>
      </c>
      <c r="N20" s="15">
        <v>0</v>
      </c>
      <c r="O20" s="58">
        <f t="shared" si="2"/>
        <v>0</v>
      </c>
      <c r="P20" s="39">
        <f t="shared" si="3"/>
        <v>9</v>
      </c>
      <c r="Q20" s="40">
        <f t="shared" si="4"/>
        <v>15</v>
      </c>
      <c r="R20" s="7"/>
      <c r="S20" s="6">
        <v>4</v>
      </c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0.375</v>
      </c>
      <c r="AD20" s="10">
        <f t="shared" si="7"/>
        <v>0.375</v>
      </c>
      <c r="AE20" s="36">
        <f t="shared" si="8"/>
        <v>0.4350057218878538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219100</v>
      </c>
      <c r="J21" s="19">
        <f t="shared" si="10"/>
        <v>50673</v>
      </c>
      <c r="K21" s="20">
        <f t="shared" si="10"/>
        <v>119076</v>
      </c>
      <c r="L21" s="21">
        <f t="shared" si="10"/>
        <v>47413</v>
      </c>
      <c r="M21" s="20">
        <f t="shared" si="10"/>
        <v>47413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157</v>
      </c>
      <c r="Q21" s="43">
        <f t="shared" si="11"/>
        <v>196</v>
      </c>
      <c r="R21" s="23">
        <f t="shared" si="11"/>
        <v>24</v>
      </c>
      <c r="S21" s="24">
        <f t="shared" si="11"/>
        <v>14</v>
      </c>
      <c r="T21" s="24">
        <f t="shared" si="11"/>
        <v>0</v>
      </c>
      <c r="U21" s="24">
        <f t="shared" si="11"/>
        <v>0</v>
      </c>
      <c r="V21" s="25">
        <f t="shared" si="11"/>
        <v>11</v>
      </c>
      <c r="W21" s="26">
        <f t="shared" si="11"/>
        <v>147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0.59889141333469642</v>
      </c>
      <c r="AC21" s="4">
        <f>SUM(AC6:AC20)/15</f>
        <v>0.43611111111111112</v>
      </c>
      <c r="AD21" s="4">
        <f>SUM(AD6:AD20)/15</f>
        <v>0.4350057218878538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253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257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25" t="s">
        <v>46</v>
      </c>
      <c r="D50" s="125" t="s">
        <v>47</v>
      </c>
      <c r="E50" s="125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25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118</v>
      </c>
      <c r="B51" s="383"/>
      <c r="C51" s="127" t="s">
        <v>189</v>
      </c>
      <c r="D51" s="127" t="s">
        <v>250</v>
      </c>
      <c r="E51" s="127" t="s">
        <v>251</v>
      </c>
      <c r="F51" s="384" t="s">
        <v>254</v>
      </c>
      <c r="G51" s="385"/>
      <c r="H51" s="385"/>
      <c r="I51" s="385"/>
      <c r="J51" s="385"/>
      <c r="K51" s="385"/>
      <c r="L51" s="385"/>
      <c r="M51" s="386"/>
      <c r="N51" s="126" t="s">
        <v>118</v>
      </c>
      <c r="O51" s="135" t="s">
        <v>168</v>
      </c>
      <c r="P51" s="389" t="s">
        <v>259</v>
      </c>
      <c r="Q51" s="390"/>
      <c r="R51" s="383" t="s">
        <v>258</v>
      </c>
      <c r="S51" s="383"/>
      <c r="T51" s="383"/>
      <c r="U51" s="383"/>
      <c r="V51" s="387" t="s">
        <v>123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118</v>
      </c>
      <c r="B52" s="383"/>
      <c r="C52" s="127" t="s">
        <v>227</v>
      </c>
      <c r="D52" s="127" t="s">
        <v>218</v>
      </c>
      <c r="E52" s="127" t="s">
        <v>244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26" t="s">
        <v>128</v>
      </c>
      <c r="O52" s="135" t="s">
        <v>139</v>
      </c>
      <c r="P52" s="389" t="s">
        <v>190</v>
      </c>
      <c r="Q52" s="390"/>
      <c r="R52" s="383" t="s">
        <v>260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127" t="s">
        <v>158</v>
      </c>
      <c r="D53" s="127" t="s">
        <v>133</v>
      </c>
      <c r="E53" s="127" t="s">
        <v>255</v>
      </c>
      <c r="F53" s="384" t="s">
        <v>243</v>
      </c>
      <c r="G53" s="385"/>
      <c r="H53" s="385"/>
      <c r="I53" s="385"/>
      <c r="J53" s="385"/>
      <c r="K53" s="385"/>
      <c r="L53" s="385"/>
      <c r="M53" s="386"/>
      <c r="N53" s="126"/>
      <c r="O53" s="135"/>
      <c r="P53" s="389"/>
      <c r="Q53" s="390"/>
      <c r="R53" s="383"/>
      <c r="S53" s="383"/>
      <c r="T53" s="383"/>
      <c r="U53" s="383"/>
      <c r="V53" s="387"/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127" t="s">
        <v>171</v>
      </c>
      <c r="D54" s="127" t="s">
        <v>133</v>
      </c>
      <c r="E54" s="127" t="s">
        <v>188</v>
      </c>
      <c r="F54" s="384" t="s">
        <v>243</v>
      </c>
      <c r="G54" s="385"/>
      <c r="H54" s="385"/>
      <c r="I54" s="385"/>
      <c r="J54" s="385"/>
      <c r="K54" s="385"/>
      <c r="L54" s="385"/>
      <c r="M54" s="386"/>
      <c r="N54" s="126"/>
      <c r="O54" s="135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115</v>
      </c>
      <c r="B55" s="383"/>
      <c r="C55" s="127" t="s">
        <v>179</v>
      </c>
      <c r="D55" s="127"/>
      <c r="E55" s="127" t="s">
        <v>256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126"/>
      <c r="O55" s="135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27"/>
      <c r="D56" s="127"/>
      <c r="E56" s="127"/>
      <c r="F56" s="384"/>
      <c r="G56" s="385"/>
      <c r="H56" s="385"/>
      <c r="I56" s="385"/>
      <c r="J56" s="385"/>
      <c r="K56" s="385"/>
      <c r="L56" s="385"/>
      <c r="M56" s="386"/>
      <c r="N56" s="126"/>
      <c r="O56" s="135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27"/>
      <c r="D57" s="127"/>
      <c r="E57" s="127"/>
      <c r="F57" s="384"/>
      <c r="G57" s="385"/>
      <c r="H57" s="385"/>
      <c r="I57" s="385"/>
      <c r="J57" s="385"/>
      <c r="K57" s="385"/>
      <c r="L57" s="385"/>
      <c r="M57" s="386"/>
      <c r="N57" s="126"/>
      <c r="O57" s="135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27"/>
      <c r="D58" s="127"/>
      <c r="E58" s="127"/>
      <c r="F58" s="384"/>
      <c r="G58" s="385"/>
      <c r="H58" s="385"/>
      <c r="I58" s="385"/>
      <c r="J58" s="385"/>
      <c r="K58" s="385"/>
      <c r="L58" s="385"/>
      <c r="M58" s="386"/>
      <c r="N58" s="126"/>
      <c r="O58" s="135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27"/>
      <c r="D59" s="127"/>
      <c r="E59" s="127"/>
      <c r="F59" s="384"/>
      <c r="G59" s="385"/>
      <c r="H59" s="385"/>
      <c r="I59" s="385"/>
      <c r="J59" s="385"/>
      <c r="K59" s="385"/>
      <c r="L59" s="385"/>
      <c r="M59" s="386"/>
      <c r="N59" s="126"/>
      <c r="O59" s="135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129"/>
      <c r="D60" s="129"/>
      <c r="E60" s="129"/>
      <c r="F60" s="393"/>
      <c r="G60" s="393"/>
      <c r="H60" s="393"/>
      <c r="I60" s="393"/>
      <c r="J60" s="393"/>
      <c r="K60" s="393"/>
      <c r="L60" s="393"/>
      <c r="M60" s="394"/>
      <c r="N60" s="128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261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130" t="s">
        <v>2</v>
      </c>
      <c r="D62" s="130" t="s">
        <v>37</v>
      </c>
      <c r="E62" s="130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130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233</v>
      </c>
      <c r="D63" s="133"/>
      <c r="E63" s="131" t="s">
        <v>262</v>
      </c>
      <c r="F63" s="406" t="s">
        <v>263</v>
      </c>
      <c r="G63" s="407"/>
      <c r="H63" s="407"/>
      <c r="I63" s="407"/>
      <c r="J63" s="407"/>
      <c r="K63" s="407">
        <v>8301</v>
      </c>
      <c r="L63" s="407"/>
      <c r="M63" s="51" t="s">
        <v>240</v>
      </c>
      <c r="N63" s="408" t="s">
        <v>237</v>
      </c>
      <c r="O63" s="408"/>
      <c r="P63" s="409">
        <v>20</v>
      </c>
      <c r="Q63" s="409"/>
      <c r="R63" s="387" t="s">
        <v>241</v>
      </c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133"/>
      <c r="E64" s="131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133"/>
      <c r="E65" s="13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264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132" t="s">
        <v>2</v>
      </c>
      <c r="D72" s="132" t="s">
        <v>37</v>
      </c>
      <c r="E72" s="132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134" t="s">
        <v>114</v>
      </c>
      <c r="D73" s="134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133"/>
      <c r="D74" s="133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133"/>
      <c r="D75" s="133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133"/>
      <c r="D76" s="133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265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C14C-0118-45B5-A5E2-8BD49CBC10C1}">
  <sheetPr codeName="Sheet8">
    <pageSetUpPr fitToPage="1"/>
  </sheetPr>
  <dimension ref="A1:AF86"/>
  <sheetViews>
    <sheetView zoomScale="72" zoomScaleNormal="72" zoomScaleSheetLayoutView="70" workbookViewId="0">
      <selection activeCell="F76" sqref="F76:J76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266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0.41944444444444445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0.41944444444444445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190</v>
      </c>
      <c r="E8" s="53" t="s">
        <v>260</v>
      </c>
      <c r="F8" s="30" t="s">
        <v>200</v>
      </c>
      <c r="G8" s="33">
        <v>1</v>
      </c>
      <c r="H8" s="35">
        <v>24</v>
      </c>
      <c r="I8" s="7">
        <v>3000</v>
      </c>
      <c r="J8" s="5">
        <v>3931</v>
      </c>
      <c r="K8" s="15">
        <f>L8</f>
        <v>3931</v>
      </c>
      <c r="L8" s="15">
        <f>1196+2735</f>
        <v>3931</v>
      </c>
      <c r="M8" s="15">
        <f t="shared" si="1"/>
        <v>3931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/>
      <c r="T8" s="16">
        <v>5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0.41944444444444445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5715</v>
      </c>
      <c r="K9" s="15">
        <f>L9+3704+6207+5519+3575</f>
        <v>24720</v>
      </c>
      <c r="L9" s="15">
        <f>2976+2739</f>
        <v>5715</v>
      </c>
      <c r="M9" s="15">
        <f t="shared" si="1"/>
        <v>5715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0.41944444444444445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267</v>
      </c>
      <c r="E10" s="53">
        <v>3152001</v>
      </c>
      <c r="F10" s="30" t="s">
        <v>268</v>
      </c>
      <c r="G10" s="33">
        <v>1</v>
      </c>
      <c r="H10" s="35">
        <v>24</v>
      </c>
      <c r="I10" s="7">
        <v>610</v>
      </c>
      <c r="J10" s="5">
        <v>1080</v>
      </c>
      <c r="K10" s="15">
        <f>L10</f>
        <v>1080</v>
      </c>
      <c r="L10" s="15">
        <v>1080</v>
      </c>
      <c r="M10" s="15">
        <f t="shared" si="1"/>
        <v>1080</v>
      </c>
      <c r="N10" s="15">
        <v>0</v>
      </c>
      <c r="O10" s="58">
        <f t="shared" si="2"/>
        <v>0</v>
      </c>
      <c r="P10" s="39">
        <f t="shared" si="3"/>
        <v>6</v>
      </c>
      <c r="Q10" s="40">
        <f t="shared" si="4"/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si="5"/>
        <v>1</v>
      </c>
      <c r="AC10" s="9">
        <f t="shared" si="6"/>
        <v>0.25</v>
      </c>
      <c r="AD10" s="10">
        <f>AC10*AB10*(1-O10)</f>
        <v>0.25</v>
      </c>
      <c r="AE10" s="36">
        <f t="shared" si="8"/>
        <v>0.41944444444444445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0.41944444444444445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194</v>
      </c>
      <c r="F12" s="30" t="s">
        <v>126</v>
      </c>
      <c r="G12" s="33">
        <v>1</v>
      </c>
      <c r="H12" s="35">
        <v>20</v>
      </c>
      <c r="I12" s="7">
        <v>16000</v>
      </c>
      <c r="J12" s="14">
        <v>5888</v>
      </c>
      <c r="K12" s="15">
        <f>L12+3414+5630+5538</f>
        <v>20470</v>
      </c>
      <c r="L12" s="15">
        <f>2735+3153</f>
        <v>5888</v>
      </c>
      <c r="M12" s="15">
        <f t="shared" si="1"/>
        <v>5888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0.41944444444444445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133</v>
      </c>
      <c r="E13" s="53" t="s">
        <v>193</v>
      </c>
      <c r="F13" s="30" t="s">
        <v>136</v>
      </c>
      <c r="G13" s="33">
        <v>1</v>
      </c>
      <c r="H13" s="35">
        <v>24</v>
      </c>
      <c r="I13" s="7">
        <v>16000</v>
      </c>
      <c r="J13" s="14">
        <v>5614</v>
      </c>
      <c r="K13" s="15">
        <f>L13+4393+5801+5693</f>
        <v>21501</v>
      </c>
      <c r="L13" s="15">
        <f>2854+2760</f>
        <v>5614</v>
      </c>
      <c r="M13" s="15">
        <f t="shared" si="1"/>
        <v>5614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0.41944444444444445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0.41944444444444445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 t="s">
        <v>234</v>
      </c>
      <c r="E15" s="53" t="s">
        <v>263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1085</v>
      </c>
      <c r="K15" s="15">
        <f>L15</f>
        <v>1085</v>
      </c>
      <c r="L15" s="15">
        <f>878+207</f>
        <v>1085</v>
      </c>
      <c r="M15" s="15">
        <f t="shared" si="1"/>
        <v>1085</v>
      </c>
      <c r="N15" s="15">
        <v>0</v>
      </c>
      <c r="O15" s="58">
        <f t="shared" si="2"/>
        <v>0</v>
      </c>
      <c r="P15" s="39">
        <f t="shared" si="3"/>
        <v>7</v>
      </c>
      <c r="Q15" s="40">
        <f t="shared" si="4"/>
        <v>17</v>
      </c>
      <c r="R15" s="7"/>
      <c r="S15" s="6"/>
      <c r="T15" s="16"/>
      <c r="U15" s="16"/>
      <c r="V15" s="17"/>
      <c r="W15" s="5">
        <v>17</v>
      </c>
      <c r="X15" s="16"/>
      <c r="Y15" s="16"/>
      <c r="Z15" s="16"/>
      <c r="AA15" s="18"/>
      <c r="AB15" s="8">
        <f t="shared" si="5"/>
        <v>1</v>
      </c>
      <c r="AC15" s="9">
        <f t="shared" si="6"/>
        <v>0.29166666666666669</v>
      </c>
      <c r="AD15" s="10">
        <f t="shared" si="7"/>
        <v>0.29166666666666669</v>
      </c>
      <c r="AE15" s="36">
        <f t="shared" si="8"/>
        <v>0.41944444444444445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118</v>
      </c>
      <c r="D16" s="52" t="s">
        <v>250</v>
      </c>
      <c r="E16" s="53" t="s">
        <v>251</v>
      </c>
      <c r="F16" s="12">
        <v>7301</v>
      </c>
      <c r="G16" s="12" t="s">
        <v>252</v>
      </c>
      <c r="H16" s="13">
        <v>24</v>
      </c>
      <c r="I16" s="7">
        <v>1000</v>
      </c>
      <c r="J16" s="14">
        <v>1175</v>
      </c>
      <c r="K16" s="15">
        <f>L16+1175</f>
        <v>1175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0.41944444444444445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118</v>
      </c>
      <c r="D17" s="52" t="s">
        <v>269</v>
      </c>
      <c r="E17" s="53" t="s">
        <v>258</v>
      </c>
      <c r="F17" s="12" t="s">
        <v>270</v>
      </c>
      <c r="G17" s="12">
        <v>6</v>
      </c>
      <c r="H17" s="13">
        <v>24</v>
      </c>
      <c r="I17" s="31">
        <v>5000</v>
      </c>
      <c r="J17" s="14">
        <v>12168</v>
      </c>
      <c r="K17" s="15">
        <f>L17</f>
        <v>12168</v>
      </c>
      <c r="L17" s="15">
        <f>2028*6</f>
        <v>12168</v>
      </c>
      <c r="M17" s="15">
        <f t="shared" si="1"/>
        <v>12168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0.41944444444444445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3475</v>
      </c>
      <c r="K18" s="15">
        <f>L18+4964+5623+5143+3474</f>
        <v>19204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0.41944444444444445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v>48000</v>
      </c>
      <c r="J19" s="5">
        <v>5079</v>
      </c>
      <c r="K19" s="15">
        <f>L19+4490+5516</f>
        <v>15085</v>
      </c>
      <c r="L19" s="15">
        <f>2358+2721</f>
        <v>5079</v>
      </c>
      <c r="M19" s="15">
        <f t="shared" si="1"/>
        <v>5079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0.41944444444444445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149</v>
      </c>
      <c r="F20" s="12" t="s">
        <v>116</v>
      </c>
      <c r="G20" s="12">
        <v>4</v>
      </c>
      <c r="H20" s="35">
        <v>20</v>
      </c>
      <c r="I20" s="7">
        <v>50000</v>
      </c>
      <c r="J20" s="14">
        <v>41184</v>
      </c>
      <c r="K20" s="15">
        <f>L20+18080</f>
        <v>59264</v>
      </c>
      <c r="L20" s="15">
        <f>10296*4</f>
        <v>41184</v>
      </c>
      <c r="M20" s="15">
        <f t="shared" si="1"/>
        <v>41184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0.41944444444444445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223610</v>
      </c>
      <c r="J21" s="19">
        <f t="shared" si="10"/>
        <v>87644</v>
      </c>
      <c r="K21" s="20">
        <f t="shared" si="10"/>
        <v>194541</v>
      </c>
      <c r="L21" s="21">
        <f t="shared" si="10"/>
        <v>81744</v>
      </c>
      <c r="M21" s="20">
        <f t="shared" si="10"/>
        <v>81744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151</v>
      </c>
      <c r="Q21" s="43">
        <f t="shared" si="11"/>
        <v>209</v>
      </c>
      <c r="R21" s="23">
        <f t="shared" si="11"/>
        <v>24</v>
      </c>
      <c r="S21" s="24">
        <f t="shared" si="11"/>
        <v>0</v>
      </c>
      <c r="T21" s="24">
        <f t="shared" si="11"/>
        <v>5</v>
      </c>
      <c r="U21" s="24">
        <f t="shared" si="11"/>
        <v>0</v>
      </c>
      <c r="V21" s="25">
        <f t="shared" si="11"/>
        <v>11</v>
      </c>
      <c r="W21" s="26">
        <f t="shared" si="11"/>
        <v>169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0.6</v>
      </c>
      <c r="AC21" s="4">
        <f>SUM(AC6:AC20)/15</f>
        <v>0.41944444444444445</v>
      </c>
      <c r="AD21" s="4">
        <f>SUM(AD6:AD20)/15</f>
        <v>0.41944444444444445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271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273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25" t="s">
        <v>46</v>
      </c>
      <c r="D50" s="125" t="s">
        <v>47</v>
      </c>
      <c r="E50" s="125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25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118</v>
      </c>
      <c r="B51" s="383"/>
      <c r="C51" s="127" t="s">
        <v>168</v>
      </c>
      <c r="D51" s="127" t="s">
        <v>269</v>
      </c>
      <c r="E51" s="127" t="s">
        <v>258</v>
      </c>
      <c r="F51" s="384" t="s">
        <v>123</v>
      </c>
      <c r="G51" s="385"/>
      <c r="H51" s="385"/>
      <c r="I51" s="385"/>
      <c r="J51" s="385"/>
      <c r="K51" s="385"/>
      <c r="L51" s="385"/>
      <c r="M51" s="386"/>
      <c r="N51" s="126" t="s">
        <v>128</v>
      </c>
      <c r="O51" s="135" t="s">
        <v>227</v>
      </c>
      <c r="P51" s="389" t="s">
        <v>120</v>
      </c>
      <c r="Q51" s="390"/>
      <c r="R51" s="383" t="s">
        <v>274</v>
      </c>
      <c r="S51" s="383"/>
      <c r="T51" s="383"/>
      <c r="U51" s="383"/>
      <c r="V51" s="387" t="s">
        <v>123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128</v>
      </c>
      <c r="B52" s="383"/>
      <c r="C52" s="127" t="s">
        <v>139</v>
      </c>
      <c r="D52" s="127" t="s">
        <v>190</v>
      </c>
      <c r="E52" s="127" t="s">
        <v>260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26" t="s">
        <v>114</v>
      </c>
      <c r="O52" s="135" t="s">
        <v>161</v>
      </c>
      <c r="P52" s="389" t="s">
        <v>276</v>
      </c>
      <c r="Q52" s="390"/>
      <c r="R52" s="383" t="s">
        <v>275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128</v>
      </c>
      <c r="B53" s="383"/>
      <c r="C53" s="127" t="s">
        <v>227</v>
      </c>
      <c r="D53" s="127" t="s">
        <v>267</v>
      </c>
      <c r="E53" s="127" t="s">
        <v>272</v>
      </c>
      <c r="F53" s="384" t="s">
        <v>123</v>
      </c>
      <c r="G53" s="385"/>
      <c r="H53" s="385"/>
      <c r="I53" s="385"/>
      <c r="J53" s="385"/>
      <c r="K53" s="385"/>
      <c r="L53" s="385"/>
      <c r="M53" s="386"/>
      <c r="N53" s="126" t="s">
        <v>114</v>
      </c>
      <c r="O53" s="135" t="s">
        <v>189</v>
      </c>
      <c r="P53" s="389" t="s">
        <v>120</v>
      </c>
      <c r="Q53" s="390"/>
      <c r="R53" s="383" t="s">
        <v>277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233</v>
      </c>
      <c r="B54" s="383"/>
      <c r="C54" s="127" t="s">
        <v>237</v>
      </c>
      <c r="D54" s="127" t="s">
        <v>250</v>
      </c>
      <c r="E54" s="127" t="s">
        <v>263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126" t="s">
        <v>114</v>
      </c>
      <c r="O54" s="135" t="s">
        <v>176</v>
      </c>
      <c r="P54" s="389" t="s">
        <v>120</v>
      </c>
      <c r="Q54" s="390"/>
      <c r="R54" s="383" t="s">
        <v>228</v>
      </c>
      <c r="S54" s="383"/>
      <c r="T54" s="383"/>
      <c r="U54" s="383"/>
      <c r="V54" s="387" t="s">
        <v>174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114</v>
      </c>
      <c r="B55" s="383"/>
      <c r="C55" s="127" t="s">
        <v>176</v>
      </c>
      <c r="D55" s="127" t="s">
        <v>120</v>
      </c>
      <c r="E55" s="127" t="s">
        <v>228</v>
      </c>
      <c r="F55" s="384" t="s">
        <v>278</v>
      </c>
      <c r="G55" s="385"/>
      <c r="H55" s="385"/>
      <c r="I55" s="385"/>
      <c r="J55" s="385"/>
      <c r="K55" s="385"/>
      <c r="L55" s="385"/>
      <c r="M55" s="386"/>
      <c r="N55" s="126"/>
      <c r="O55" s="135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27"/>
      <c r="D56" s="127"/>
      <c r="E56" s="127"/>
      <c r="F56" s="384"/>
      <c r="G56" s="385"/>
      <c r="H56" s="385"/>
      <c r="I56" s="385"/>
      <c r="J56" s="385"/>
      <c r="K56" s="385"/>
      <c r="L56" s="385"/>
      <c r="M56" s="386"/>
      <c r="N56" s="126"/>
      <c r="O56" s="135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27"/>
      <c r="D57" s="127"/>
      <c r="E57" s="127"/>
      <c r="F57" s="384"/>
      <c r="G57" s="385"/>
      <c r="H57" s="385"/>
      <c r="I57" s="385"/>
      <c r="J57" s="385"/>
      <c r="K57" s="385"/>
      <c r="L57" s="385"/>
      <c r="M57" s="386"/>
      <c r="N57" s="126"/>
      <c r="O57" s="135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27"/>
      <c r="D58" s="127"/>
      <c r="E58" s="127"/>
      <c r="F58" s="384"/>
      <c r="G58" s="385"/>
      <c r="H58" s="385"/>
      <c r="I58" s="385"/>
      <c r="J58" s="385"/>
      <c r="K58" s="385"/>
      <c r="L58" s="385"/>
      <c r="M58" s="386"/>
      <c r="N58" s="126"/>
      <c r="O58" s="135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27"/>
      <c r="D59" s="127"/>
      <c r="E59" s="127"/>
      <c r="F59" s="384"/>
      <c r="G59" s="385"/>
      <c r="H59" s="385"/>
      <c r="I59" s="385"/>
      <c r="J59" s="385"/>
      <c r="K59" s="385"/>
      <c r="L59" s="385"/>
      <c r="M59" s="386"/>
      <c r="N59" s="126"/>
      <c r="O59" s="135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129"/>
      <c r="D60" s="129"/>
      <c r="E60" s="129"/>
      <c r="F60" s="393"/>
      <c r="G60" s="393"/>
      <c r="H60" s="393"/>
      <c r="I60" s="393"/>
      <c r="J60" s="393"/>
      <c r="K60" s="393"/>
      <c r="L60" s="393"/>
      <c r="M60" s="394"/>
      <c r="N60" s="128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279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130" t="s">
        <v>2</v>
      </c>
      <c r="D62" s="130" t="s">
        <v>37</v>
      </c>
      <c r="E62" s="130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130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/>
      <c r="D63" s="133"/>
      <c r="E63" s="131"/>
      <c r="F63" s="406"/>
      <c r="G63" s="407"/>
      <c r="H63" s="407"/>
      <c r="I63" s="407"/>
      <c r="J63" s="407"/>
      <c r="K63" s="407"/>
      <c r="L63" s="407"/>
      <c r="M63" s="51"/>
      <c r="N63" s="408"/>
      <c r="O63" s="408"/>
      <c r="P63" s="409"/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133"/>
      <c r="E64" s="131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133"/>
      <c r="E65" s="13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133"/>
      <c r="E66" s="131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133"/>
      <c r="E67" s="1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133"/>
      <c r="E68" s="1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133"/>
      <c r="E69" s="1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133"/>
      <c r="E70" s="1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280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132" t="s">
        <v>2</v>
      </c>
      <c r="D72" s="132" t="s">
        <v>37</v>
      </c>
      <c r="E72" s="132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134" t="s">
        <v>114</v>
      </c>
      <c r="D73" s="134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133"/>
      <c r="D74" s="133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133"/>
      <c r="D75" s="133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133"/>
      <c r="D76" s="133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133"/>
      <c r="D77" s="133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133"/>
      <c r="D78" s="133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133"/>
      <c r="D79" s="133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133"/>
      <c r="D80" s="133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133"/>
      <c r="D81" s="133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281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0F4D-3369-4BA1-AE9A-295C87745EC5}">
  <sheetPr codeName="Sheet9">
    <pageSetUpPr fitToPage="1"/>
  </sheetPr>
  <dimension ref="A1:AF87"/>
  <sheetViews>
    <sheetView zoomScale="72" zoomScaleNormal="72" zoomScaleSheetLayoutView="70" workbookViewId="0">
      <selection activeCell="F66" sqref="F66:J66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282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0.45555555555555555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0.45555555555555555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190</v>
      </c>
      <c r="E8" s="53" t="s">
        <v>260</v>
      </c>
      <c r="F8" s="30" t="s">
        <v>200</v>
      </c>
      <c r="G8" s="33">
        <v>1</v>
      </c>
      <c r="H8" s="35">
        <v>24</v>
      </c>
      <c r="I8" s="7">
        <v>3000</v>
      </c>
      <c r="J8" s="5">
        <v>2013</v>
      </c>
      <c r="K8" s="15">
        <f>L8+3931</f>
        <v>5944</v>
      </c>
      <c r="L8" s="15">
        <v>2013</v>
      </c>
      <c r="M8" s="15">
        <f t="shared" si="1"/>
        <v>2013</v>
      </c>
      <c r="N8" s="15">
        <v>0</v>
      </c>
      <c r="O8" s="58">
        <f t="shared" si="2"/>
        <v>0</v>
      </c>
      <c r="P8" s="39">
        <f t="shared" si="3"/>
        <v>11</v>
      </c>
      <c r="Q8" s="40">
        <f t="shared" si="4"/>
        <v>13</v>
      </c>
      <c r="R8" s="7"/>
      <c r="S8" s="6"/>
      <c r="T8" s="16"/>
      <c r="U8" s="16"/>
      <c r="V8" s="17"/>
      <c r="W8" s="5">
        <v>13</v>
      </c>
      <c r="X8" s="16"/>
      <c r="Y8" s="16"/>
      <c r="Z8" s="16"/>
      <c r="AA8" s="18"/>
      <c r="AB8" s="8">
        <f t="shared" si="5"/>
        <v>1</v>
      </c>
      <c r="AC8" s="9">
        <f t="shared" si="6"/>
        <v>0.45833333333333331</v>
      </c>
      <c r="AD8" s="10">
        <f t="shared" si="7"/>
        <v>0.45833333333333331</v>
      </c>
      <c r="AE8" s="36">
        <f t="shared" si="8"/>
        <v>0.45555555555555555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4182</v>
      </c>
      <c r="K9" s="15">
        <f>L9+3704+6207+5519+3575+5715</f>
        <v>28902</v>
      </c>
      <c r="L9" s="15">
        <f>1830+2352</f>
        <v>4182</v>
      </c>
      <c r="M9" s="15">
        <f t="shared" si="1"/>
        <v>4182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0.45555555555555555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117</v>
      </c>
      <c r="E10" s="53">
        <v>3151001</v>
      </c>
      <c r="F10" s="30" t="s">
        <v>268</v>
      </c>
      <c r="G10" s="33">
        <v>1</v>
      </c>
      <c r="H10" s="35">
        <v>24</v>
      </c>
      <c r="I10" s="7">
        <v>650</v>
      </c>
      <c r="J10" s="5">
        <v>774</v>
      </c>
      <c r="K10" s="15">
        <f>L10</f>
        <v>774</v>
      </c>
      <c r="L10" s="15">
        <f>774</f>
        <v>774</v>
      </c>
      <c r="M10" s="15">
        <f t="shared" si="1"/>
        <v>774</v>
      </c>
      <c r="N10" s="15">
        <v>0</v>
      </c>
      <c r="O10" s="58">
        <f t="shared" si="2"/>
        <v>0</v>
      </c>
      <c r="P10" s="39">
        <f t="shared" si="3"/>
        <v>8</v>
      </c>
      <c r="Q10" s="40">
        <f t="shared" si="4"/>
        <v>16</v>
      </c>
      <c r="R10" s="7"/>
      <c r="S10" s="6"/>
      <c r="T10" s="16"/>
      <c r="U10" s="16"/>
      <c r="V10" s="17"/>
      <c r="W10" s="5">
        <v>16</v>
      </c>
      <c r="X10" s="16"/>
      <c r="Y10" s="16"/>
      <c r="Z10" s="16"/>
      <c r="AA10" s="18"/>
      <c r="AB10" s="8">
        <f t="shared" si="5"/>
        <v>1</v>
      </c>
      <c r="AC10" s="9">
        <f t="shared" si="6"/>
        <v>0.33333333333333331</v>
      </c>
      <c r="AD10" s="10">
        <f>AC10*AB10*(1-O10)</f>
        <v>0.33333333333333331</v>
      </c>
      <c r="AE10" s="36">
        <f t="shared" si="8"/>
        <v>0.45555555555555555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0.45555555555555555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276</v>
      </c>
      <c r="E12" s="53" t="s">
        <v>275</v>
      </c>
      <c r="F12" s="30" t="s">
        <v>126</v>
      </c>
      <c r="G12" s="33">
        <v>1</v>
      </c>
      <c r="H12" s="35">
        <v>20</v>
      </c>
      <c r="I12" s="7">
        <v>4000</v>
      </c>
      <c r="J12" s="14">
        <v>2901</v>
      </c>
      <c r="K12" s="15">
        <f>L12</f>
        <v>2901</v>
      </c>
      <c r="L12" s="15">
        <f>680+2221</f>
        <v>2901</v>
      </c>
      <c r="M12" s="15">
        <f t="shared" si="1"/>
        <v>2901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si="7"/>
        <v>0.75</v>
      </c>
      <c r="AE12" s="36">
        <f t="shared" si="8"/>
        <v>0.45555555555555555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133</v>
      </c>
      <c r="E13" s="53" t="s">
        <v>193</v>
      </c>
      <c r="F13" s="30" t="s">
        <v>136</v>
      </c>
      <c r="G13" s="33">
        <v>1</v>
      </c>
      <c r="H13" s="35">
        <v>24</v>
      </c>
      <c r="I13" s="7">
        <v>16000</v>
      </c>
      <c r="J13" s="14">
        <v>5614</v>
      </c>
      <c r="K13" s="15">
        <f>L13+4393+5801+5693+5614</f>
        <v>21501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0.45555555555555555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0.45555555555555555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</f>
        <v>1670</v>
      </c>
      <c r="L15" s="15">
        <v>1670</v>
      </c>
      <c r="M15" s="15">
        <f t="shared" si="1"/>
        <v>1670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8"/>
        <v>0.45555555555555555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114</v>
      </c>
      <c r="D16" s="52" t="s">
        <v>120</v>
      </c>
      <c r="E16" s="53" t="s">
        <v>277</v>
      </c>
      <c r="F16" s="12">
        <v>7301</v>
      </c>
      <c r="G16" s="12">
        <v>1</v>
      </c>
      <c r="H16" s="13">
        <v>24</v>
      </c>
      <c r="I16" s="7">
        <v>17000</v>
      </c>
      <c r="J16" s="14">
        <v>4340</v>
      </c>
      <c r="K16" s="15">
        <f>L16</f>
        <v>4340</v>
      </c>
      <c r="L16" s="15">
        <f>2171+2169</f>
        <v>4340</v>
      </c>
      <c r="M16" s="15">
        <f t="shared" si="1"/>
        <v>4340</v>
      </c>
      <c r="N16" s="15">
        <v>0</v>
      </c>
      <c r="O16" s="58">
        <f t="shared" si="2"/>
        <v>0</v>
      </c>
      <c r="P16" s="39">
        <f t="shared" si="3"/>
        <v>23</v>
      </c>
      <c r="Q16" s="40">
        <f t="shared" si="4"/>
        <v>1</v>
      </c>
      <c r="R16" s="7"/>
      <c r="S16" s="6"/>
      <c r="T16" s="16">
        <v>1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0.95833333333333337</v>
      </c>
      <c r="AD16" s="10">
        <f t="shared" si="7"/>
        <v>0.95833333333333337</v>
      </c>
      <c r="AE16" s="36">
        <f t="shared" si="8"/>
        <v>0.45555555555555555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286</v>
      </c>
      <c r="E17" s="53" t="s">
        <v>287</v>
      </c>
      <c r="F17" s="12" t="s">
        <v>288</v>
      </c>
      <c r="G17" s="12">
        <v>2</v>
      </c>
      <c r="H17" s="13">
        <v>24</v>
      </c>
      <c r="I17" s="31">
        <v>4000</v>
      </c>
      <c r="J17" s="14">
        <v>4482</v>
      </c>
      <c r="K17" s="15">
        <f>L17</f>
        <v>4482</v>
      </c>
      <c r="L17" s="15">
        <f>432*2+1809*2</f>
        <v>4482</v>
      </c>
      <c r="M17" s="15">
        <f t="shared" si="1"/>
        <v>4482</v>
      </c>
      <c r="N17" s="15">
        <v>0</v>
      </c>
      <c r="O17" s="58">
        <f t="shared" si="2"/>
        <v>0</v>
      </c>
      <c r="P17" s="39">
        <f t="shared" si="3"/>
        <v>18</v>
      </c>
      <c r="Q17" s="40">
        <f t="shared" si="4"/>
        <v>6</v>
      </c>
      <c r="R17" s="7"/>
      <c r="S17" s="6"/>
      <c r="T17" s="16">
        <v>6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0.75</v>
      </c>
      <c r="AD17" s="10">
        <f t="shared" si="7"/>
        <v>0.75</v>
      </c>
      <c r="AE17" s="36">
        <f t="shared" si="8"/>
        <v>0.45555555555555555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118</v>
      </c>
      <c r="D18" s="52" t="s">
        <v>290</v>
      </c>
      <c r="E18" s="53" t="s">
        <v>291</v>
      </c>
      <c r="F18" s="30" t="s">
        <v>200</v>
      </c>
      <c r="G18" s="33">
        <v>1</v>
      </c>
      <c r="H18" s="35">
        <v>24</v>
      </c>
      <c r="I18" s="7">
        <v>1150</v>
      </c>
      <c r="J18" s="5">
        <v>1230</v>
      </c>
      <c r="K18" s="15">
        <f>L18</f>
        <v>1230</v>
      </c>
      <c r="L18" s="15">
        <v>1230</v>
      </c>
      <c r="M18" s="15">
        <f t="shared" ref="M18" si="10">L18-N18</f>
        <v>1230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8</v>
      </c>
      <c r="Q18" s="40">
        <f t="shared" ref="Q18" si="13">SUM(R18:AA18)</f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0.33333333333333331</v>
      </c>
      <c r="AD18" s="10">
        <f>AC18*AB18*(1-O18)</f>
        <v>0.33333333333333331</v>
      </c>
      <c r="AE18" s="36">
        <f t="shared" si="8"/>
        <v>0.45555555555555555</v>
      </c>
      <c r="AF18" s="87">
        <f t="shared" ref="AF18" si="16">A18</f>
        <v>13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120</v>
      </c>
      <c r="E19" s="53" t="s">
        <v>289</v>
      </c>
      <c r="F19" s="30" t="s">
        <v>200</v>
      </c>
      <c r="G19" s="33">
        <v>1</v>
      </c>
      <c r="H19" s="35">
        <v>24</v>
      </c>
      <c r="I19" s="7">
        <v>2000</v>
      </c>
      <c r="J19" s="5">
        <v>2069</v>
      </c>
      <c r="K19" s="15">
        <f>L19</f>
        <v>2069</v>
      </c>
      <c r="L19" s="15">
        <v>2069</v>
      </c>
      <c r="M19" s="15">
        <f t="shared" si="1"/>
        <v>2069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/>
      <c r="T19" s="16"/>
      <c r="U19" s="16"/>
      <c r="V19" s="17"/>
      <c r="W19" s="5">
        <v>11</v>
      </c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>AC19*AB19*(1-O19)</f>
        <v>0.54166666666666663</v>
      </c>
      <c r="AE19" s="36">
        <f t="shared" si="8"/>
        <v>0.45555555555555555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114</v>
      </c>
      <c r="D20" s="52" t="s">
        <v>117</v>
      </c>
      <c r="E20" s="53" t="s">
        <v>228</v>
      </c>
      <c r="F20" s="30" t="s">
        <v>124</v>
      </c>
      <c r="G20" s="33">
        <v>1</v>
      </c>
      <c r="H20" s="35">
        <v>24</v>
      </c>
      <c r="I20" s="7">
        <v>48000</v>
      </c>
      <c r="J20" s="5">
        <v>4632</v>
      </c>
      <c r="K20" s="15">
        <f>L20+4490+5516+5079</f>
        <v>19717</v>
      </c>
      <c r="L20" s="15">
        <f>2929+1703</f>
        <v>4632</v>
      </c>
      <c r="M20" s="15">
        <f t="shared" si="1"/>
        <v>4632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>AC20*AB20*(1-O20)</f>
        <v>0.91666666666666663</v>
      </c>
      <c r="AE20" s="36">
        <f t="shared" si="8"/>
        <v>0.45555555555555555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149</v>
      </c>
      <c r="F21" s="12" t="s">
        <v>116</v>
      </c>
      <c r="G21" s="12">
        <v>4</v>
      </c>
      <c r="H21" s="35">
        <v>20</v>
      </c>
      <c r="I21" s="7">
        <v>50000</v>
      </c>
      <c r="J21" s="14">
        <v>32224</v>
      </c>
      <c r="K21" s="15">
        <f>L21+18080+41184</f>
        <v>91488</v>
      </c>
      <c r="L21" s="15">
        <f>8056*4</f>
        <v>32224</v>
      </c>
      <c r="M21" s="15">
        <f t="shared" si="1"/>
        <v>32224</v>
      </c>
      <c r="N21" s="15">
        <v>0</v>
      </c>
      <c r="O21" s="58">
        <f t="shared" si="2"/>
        <v>0</v>
      </c>
      <c r="P21" s="39">
        <f t="shared" si="3"/>
        <v>11</v>
      </c>
      <c r="Q21" s="40">
        <f t="shared" si="4"/>
        <v>13</v>
      </c>
      <c r="R21" s="7"/>
      <c r="S21" s="6"/>
      <c r="T21" s="16"/>
      <c r="U21" s="16"/>
      <c r="V21" s="17"/>
      <c r="W21" s="5">
        <v>13</v>
      </c>
      <c r="X21" s="16"/>
      <c r="Y21" s="16"/>
      <c r="Z21" s="16"/>
      <c r="AA21" s="18"/>
      <c r="AB21" s="8">
        <f t="shared" si="5"/>
        <v>1</v>
      </c>
      <c r="AC21" s="9">
        <f t="shared" si="6"/>
        <v>0.45833333333333331</v>
      </c>
      <c r="AD21" s="10">
        <f t="shared" si="7"/>
        <v>0.45833333333333331</v>
      </c>
      <c r="AE21" s="36">
        <f t="shared" si="8"/>
        <v>0.45555555555555555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7">SUM(I6:I21)</f>
        <v>209800</v>
      </c>
      <c r="J22" s="19">
        <f t="shared" si="17"/>
        <v>67381</v>
      </c>
      <c r="K22" s="20">
        <f t="shared" si="17"/>
        <v>199876</v>
      </c>
      <c r="L22" s="21">
        <f t="shared" si="17"/>
        <v>60517</v>
      </c>
      <c r="M22" s="20">
        <f t="shared" si="17"/>
        <v>60517</v>
      </c>
      <c r="N22" s="21">
        <f t="shared" si="17"/>
        <v>0</v>
      </c>
      <c r="O22" s="41">
        <f t="shared" si="2"/>
        <v>0</v>
      </c>
      <c r="P22" s="42">
        <f t="shared" ref="P22:AA22" si="18">SUM(P6:P21)</f>
        <v>164</v>
      </c>
      <c r="Q22" s="43">
        <f t="shared" si="18"/>
        <v>220</v>
      </c>
      <c r="R22" s="23">
        <f t="shared" si="18"/>
        <v>24</v>
      </c>
      <c r="S22" s="24">
        <f t="shared" si="18"/>
        <v>10</v>
      </c>
      <c r="T22" s="24">
        <f t="shared" si="18"/>
        <v>7</v>
      </c>
      <c r="U22" s="24">
        <f t="shared" si="18"/>
        <v>0</v>
      </c>
      <c r="V22" s="25">
        <f t="shared" si="18"/>
        <v>0</v>
      </c>
      <c r="W22" s="26">
        <f t="shared" si="18"/>
        <v>179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0</v>
      </c>
      <c r="AB22" s="28">
        <f>SUM(AB6:AB21)/15</f>
        <v>0.73333333333333328</v>
      </c>
      <c r="AC22" s="4">
        <f>SUM(AC6:AC21)/15</f>
        <v>0.45555555555555555</v>
      </c>
      <c r="AD22" s="4">
        <f>SUM(AD6:AD21)/15</f>
        <v>0.45555555555555555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292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297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146" t="s">
        <v>46</v>
      </c>
      <c r="D51" s="146" t="s">
        <v>47</v>
      </c>
      <c r="E51" s="146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146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283</v>
      </c>
      <c r="B52" s="383"/>
      <c r="C52" s="143" t="s">
        <v>237</v>
      </c>
      <c r="D52" s="143" t="s">
        <v>250</v>
      </c>
      <c r="E52" s="143" t="s">
        <v>285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42" t="s">
        <v>114</v>
      </c>
      <c r="O52" s="140" t="s">
        <v>227</v>
      </c>
      <c r="P52" s="389" t="s">
        <v>209</v>
      </c>
      <c r="Q52" s="390"/>
      <c r="R52" s="383" t="s">
        <v>298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143" t="s">
        <v>158</v>
      </c>
      <c r="D53" s="143" t="s">
        <v>133</v>
      </c>
      <c r="E53" s="143" t="s">
        <v>199</v>
      </c>
      <c r="F53" s="384" t="s">
        <v>293</v>
      </c>
      <c r="G53" s="385"/>
      <c r="H53" s="385"/>
      <c r="I53" s="385"/>
      <c r="J53" s="385"/>
      <c r="K53" s="385"/>
      <c r="L53" s="385"/>
      <c r="M53" s="386"/>
      <c r="N53" s="142" t="s">
        <v>114</v>
      </c>
      <c r="O53" s="140" t="s">
        <v>171</v>
      </c>
      <c r="P53" s="389" t="s">
        <v>190</v>
      </c>
      <c r="Q53" s="390"/>
      <c r="R53" s="383" t="s">
        <v>191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143" t="s">
        <v>161</v>
      </c>
      <c r="D54" s="143" t="s">
        <v>276</v>
      </c>
      <c r="E54" s="143" t="s">
        <v>275</v>
      </c>
      <c r="F54" s="384" t="s">
        <v>294</v>
      </c>
      <c r="G54" s="385"/>
      <c r="H54" s="385"/>
      <c r="I54" s="385"/>
      <c r="J54" s="385"/>
      <c r="K54" s="385"/>
      <c r="L54" s="385"/>
      <c r="M54" s="386"/>
      <c r="N54" s="142" t="s">
        <v>114</v>
      </c>
      <c r="O54" s="140" t="s">
        <v>129</v>
      </c>
      <c r="P54" s="389" t="s">
        <v>138</v>
      </c>
      <c r="Q54" s="390"/>
      <c r="R54" s="383" t="s">
        <v>299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118</v>
      </c>
      <c r="B55" s="383"/>
      <c r="C55" s="143" t="s">
        <v>171</v>
      </c>
      <c r="D55" s="143" t="s">
        <v>290</v>
      </c>
      <c r="E55" s="143" t="s">
        <v>295</v>
      </c>
      <c r="F55" s="384" t="s">
        <v>296</v>
      </c>
      <c r="G55" s="385"/>
      <c r="H55" s="385"/>
      <c r="I55" s="385"/>
      <c r="J55" s="385"/>
      <c r="K55" s="385"/>
      <c r="L55" s="385"/>
      <c r="M55" s="386"/>
      <c r="N55" s="142" t="s">
        <v>114</v>
      </c>
      <c r="O55" s="140" t="s">
        <v>168</v>
      </c>
      <c r="P55" s="389" t="s">
        <v>127</v>
      </c>
      <c r="Q55" s="390"/>
      <c r="R55" s="383" t="s">
        <v>300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114</v>
      </c>
      <c r="B56" s="383"/>
      <c r="C56" s="143" t="s">
        <v>171</v>
      </c>
      <c r="D56" s="143" t="s">
        <v>120</v>
      </c>
      <c r="E56" s="143" t="s">
        <v>289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142" t="s">
        <v>115</v>
      </c>
      <c r="O56" s="140" t="s">
        <v>179</v>
      </c>
      <c r="P56" s="389"/>
      <c r="Q56" s="390"/>
      <c r="R56" s="383" t="s">
        <v>134</v>
      </c>
      <c r="S56" s="383"/>
      <c r="T56" s="383"/>
      <c r="U56" s="383"/>
      <c r="V56" s="387" t="s">
        <v>123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114</v>
      </c>
      <c r="B57" s="383"/>
      <c r="C57" s="143" t="s">
        <v>176</v>
      </c>
      <c r="D57" s="143" t="s">
        <v>117</v>
      </c>
      <c r="E57" s="143" t="s">
        <v>228</v>
      </c>
      <c r="F57" s="384" t="s">
        <v>174</v>
      </c>
      <c r="G57" s="385"/>
      <c r="H57" s="385"/>
      <c r="I57" s="385"/>
      <c r="J57" s="385"/>
      <c r="K57" s="385"/>
      <c r="L57" s="385"/>
      <c r="M57" s="386"/>
      <c r="N57" s="142"/>
      <c r="O57" s="140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43"/>
      <c r="D58" s="143"/>
      <c r="E58" s="143"/>
      <c r="F58" s="384"/>
      <c r="G58" s="385"/>
      <c r="H58" s="385"/>
      <c r="I58" s="385"/>
      <c r="J58" s="385"/>
      <c r="K58" s="385"/>
      <c r="L58" s="385"/>
      <c r="M58" s="386"/>
      <c r="N58" s="142"/>
      <c r="O58" s="140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43"/>
      <c r="D59" s="143"/>
      <c r="E59" s="143"/>
      <c r="F59" s="384"/>
      <c r="G59" s="385"/>
      <c r="H59" s="385"/>
      <c r="I59" s="385"/>
      <c r="J59" s="385"/>
      <c r="K59" s="385"/>
      <c r="L59" s="385"/>
      <c r="M59" s="386"/>
      <c r="N59" s="142"/>
      <c r="O59" s="140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143"/>
      <c r="D60" s="143"/>
      <c r="E60" s="143"/>
      <c r="F60" s="384"/>
      <c r="G60" s="385"/>
      <c r="H60" s="385"/>
      <c r="I60" s="385"/>
      <c r="J60" s="385"/>
      <c r="K60" s="385"/>
      <c r="L60" s="385"/>
      <c r="M60" s="386"/>
      <c r="N60" s="142"/>
      <c r="O60" s="140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145"/>
      <c r="D61" s="145"/>
      <c r="E61" s="145"/>
      <c r="F61" s="393"/>
      <c r="G61" s="393"/>
      <c r="H61" s="393"/>
      <c r="I61" s="393"/>
      <c r="J61" s="393"/>
      <c r="K61" s="393"/>
      <c r="L61" s="393"/>
      <c r="M61" s="394"/>
      <c r="N61" s="144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301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141" t="s">
        <v>2</v>
      </c>
      <c r="D63" s="141" t="s">
        <v>37</v>
      </c>
      <c r="E63" s="141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141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310</v>
      </c>
      <c r="D64" s="136"/>
      <c r="E64" s="139"/>
      <c r="F64" s="406" t="s">
        <v>304</v>
      </c>
      <c r="G64" s="407"/>
      <c r="H64" s="407"/>
      <c r="I64" s="407"/>
      <c r="J64" s="407"/>
      <c r="K64" s="407" t="s">
        <v>305</v>
      </c>
      <c r="L64" s="407"/>
      <c r="M64" s="51" t="s">
        <v>306</v>
      </c>
      <c r="N64" s="408" t="s">
        <v>307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 t="s">
        <v>310</v>
      </c>
      <c r="D65" s="136"/>
      <c r="E65" s="139"/>
      <c r="F65" s="406" t="s">
        <v>308</v>
      </c>
      <c r="G65" s="407"/>
      <c r="H65" s="407"/>
      <c r="I65" s="407"/>
      <c r="J65" s="407"/>
      <c r="K65" s="407" t="s">
        <v>309</v>
      </c>
      <c r="L65" s="407"/>
      <c r="M65" s="51" t="s">
        <v>306</v>
      </c>
      <c r="N65" s="408" t="s">
        <v>307</v>
      </c>
      <c r="O65" s="408"/>
      <c r="P65" s="409">
        <v>50</v>
      </c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136"/>
      <c r="E66" s="139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136"/>
      <c r="E67" s="139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136"/>
      <c r="E68" s="139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136"/>
      <c r="E69" s="139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136"/>
      <c r="E70" s="139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136"/>
      <c r="E71" s="139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302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138" t="s">
        <v>2</v>
      </c>
      <c r="D73" s="138" t="s">
        <v>37</v>
      </c>
      <c r="E73" s="138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137" t="s">
        <v>114</v>
      </c>
      <c r="D74" s="137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136"/>
      <c r="D75" s="136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19">A75+1</f>
        <v>3</v>
      </c>
      <c r="B76" s="419"/>
      <c r="C76" s="136"/>
      <c r="D76" s="136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9"/>
        <v>4</v>
      </c>
      <c r="B77" s="419"/>
      <c r="C77" s="136"/>
      <c r="D77" s="136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9"/>
        <v>5</v>
      </c>
      <c r="B78" s="419"/>
      <c r="C78" s="136"/>
      <c r="D78" s="136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9"/>
        <v>6</v>
      </c>
      <c r="B79" s="419"/>
      <c r="C79" s="136"/>
      <c r="D79" s="136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9"/>
        <v>7</v>
      </c>
      <c r="B80" s="419"/>
      <c r="C80" s="136"/>
      <c r="D80" s="136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9"/>
        <v>8</v>
      </c>
      <c r="B81" s="419"/>
      <c r="C81" s="136"/>
      <c r="D81" s="136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19"/>
        <v>9</v>
      </c>
      <c r="B82" s="419"/>
      <c r="C82" s="136"/>
      <c r="D82" s="136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303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6F64-E21F-45BF-B195-29826BB74197}">
  <sheetPr codeName="Sheet10">
    <pageSetUpPr fitToPage="1"/>
  </sheetPr>
  <dimension ref="A1:AF87"/>
  <sheetViews>
    <sheetView zoomScale="72" zoomScaleNormal="72" zoomScaleSheetLayoutView="70" workbookViewId="0">
      <selection activeCell="T16" sqref="T16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311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0.42222222222222228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0.42222222222222228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190</v>
      </c>
      <c r="E8" s="53" t="s">
        <v>260</v>
      </c>
      <c r="F8" s="30" t="s">
        <v>200</v>
      </c>
      <c r="G8" s="33">
        <v>1</v>
      </c>
      <c r="H8" s="35">
        <v>24</v>
      </c>
      <c r="I8" s="7">
        <v>3000</v>
      </c>
      <c r="J8" s="5">
        <v>2013</v>
      </c>
      <c r="K8" s="15">
        <f>L8+3931+2013</f>
        <v>5944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0.42222222222222228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2518</v>
      </c>
      <c r="K9" s="15">
        <f>L9+3704+6207+5519+3575+5715+4182</f>
        <v>31420</v>
      </c>
      <c r="L9" s="15">
        <v>2518</v>
      </c>
      <c r="M9" s="15">
        <f t="shared" si="1"/>
        <v>2518</v>
      </c>
      <c r="N9" s="15">
        <v>0</v>
      </c>
      <c r="O9" s="58">
        <f t="shared" si="2"/>
        <v>0</v>
      </c>
      <c r="P9" s="39">
        <f t="shared" si="3"/>
        <v>14</v>
      </c>
      <c r="Q9" s="40">
        <f t="shared" si="4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0.58333333333333337</v>
      </c>
      <c r="AD9" s="10">
        <f t="shared" si="7"/>
        <v>0.58333333333333337</v>
      </c>
      <c r="AE9" s="36">
        <f t="shared" si="8"/>
        <v>0.42222222222222228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209</v>
      </c>
      <c r="E10" s="53" t="s">
        <v>298</v>
      </c>
      <c r="F10" s="30" t="s">
        <v>200</v>
      </c>
      <c r="G10" s="33">
        <v>2</v>
      </c>
      <c r="H10" s="35">
        <v>24</v>
      </c>
      <c r="I10" s="7">
        <v>6000</v>
      </c>
      <c r="J10" s="5">
        <v>6924</v>
      </c>
      <c r="K10" s="15">
        <f>L10</f>
        <v>6924</v>
      </c>
      <c r="L10" s="15">
        <f>1873*2+1589*2</f>
        <v>6924</v>
      </c>
      <c r="M10" s="15">
        <f t="shared" si="1"/>
        <v>6924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/>
      <c r="T10" s="16"/>
      <c r="U10" s="16"/>
      <c r="V10" s="17"/>
      <c r="W10" s="5">
        <v>4</v>
      </c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 t="shared" si="8"/>
        <v>0.42222222222222228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0.42222222222222228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276</v>
      </c>
      <c r="E12" s="53" t="s">
        <v>275</v>
      </c>
      <c r="F12" s="30" t="s">
        <v>126</v>
      </c>
      <c r="G12" s="33">
        <v>1</v>
      </c>
      <c r="H12" s="35">
        <v>20</v>
      </c>
      <c r="I12" s="7">
        <v>4000</v>
      </c>
      <c r="J12" s="14">
        <v>1517</v>
      </c>
      <c r="K12" s="15">
        <f>L12+2901</f>
        <v>4418</v>
      </c>
      <c r="L12" s="15">
        <v>1517</v>
      </c>
      <c r="M12" s="15">
        <f t="shared" si="1"/>
        <v>1517</v>
      </c>
      <c r="N12" s="15">
        <v>0</v>
      </c>
      <c r="O12" s="58">
        <f t="shared" si="2"/>
        <v>0</v>
      </c>
      <c r="P12" s="39">
        <f t="shared" si="3"/>
        <v>8</v>
      </c>
      <c r="Q12" s="40">
        <f t="shared" si="4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0.33333333333333331</v>
      </c>
      <c r="AD12" s="10">
        <f t="shared" si="7"/>
        <v>0.33333333333333331</v>
      </c>
      <c r="AE12" s="36">
        <f t="shared" si="8"/>
        <v>0.42222222222222228</v>
      </c>
      <c r="AF12" s="87">
        <f t="shared" si="9"/>
        <v>7</v>
      </c>
    </row>
    <row r="13" spans="1:32" ht="27" customHeight="1">
      <c r="A13" s="103">
        <v>7</v>
      </c>
      <c r="B13" s="11" t="s">
        <v>57</v>
      </c>
      <c r="C13" s="11" t="s">
        <v>118</v>
      </c>
      <c r="D13" s="52" t="s">
        <v>267</v>
      </c>
      <c r="E13" s="53" t="s">
        <v>312</v>
      </c>
      <c r="F13" s="30" t="s">
        <v>126</v>
      </c>
      <c r="G13" s="33">
        <v>1</v>
      </c>
      <c r="H13" s="35">
        <v>20</v>
      </c>
      <c r="I13" s="7">
        <v>1000</v>
      </c>
      <c r="J13" s="14">
        <v>1695</v>
      </c>
      <c r="K13" s="15">
        <f>L13</f>
        <v>1695</v>
      </c>
      <c r="L13" s="15">
        <f>564+1131</f>
        <v>1695</v>
      </c>
      <c r="M13" s="15">
        <f t="shared" ref="M13" si="10">L13-N13</f>
        <v>1695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14</v>
      </c>
      <c r="Q13" s="40">
        <f t="shared" ref="Q13" si="13">SUM(R13:AA13)</f>
        <v>10</v>
      </c>
      <c r="R13" s="7"/>
      <c r="S13" s="6"/>
      <c r="T13" s="16"/>
      <c r="U13" s="16"/>
      <c r="V13" s="17"/>
      <c r="W13" s="5">
        <v>10</v>
      </c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0.58333333333333337</v>
      </c>
      <c r="AD13" s="10">
        <f t="shared" ref="AD13" si="16">AC13*AB13*(1-O13)</f>
        <v>0.58333333333333337</v>
      </c>
      <c r="AE13" s="36">
        <f t="shared" si="8"/>
        <v>0.42222222222222228</v>
      </c>
      <c r="AF13" s="87">
        <f t="shared" ref="AF13" si="17">A13</f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138</v>
      </c>
      <c r="E14" s="53" t="s">
        <v>299</v>
      </c>
      <c r="F14" s="30" t="s">
        <v>126</v>
      </c>
      <c r="G14" s="33">
        <v>1</v>
      </c>
      <c r="H14" s="35">
        <v>24</v>
      </c>
      <c r="I14" s="7">
        <v>1500</v>
      </c>
      <c r="J14" s="14">
        <v>1674</v>
      </c>
      <c r="K14" s="15">
        <f>L14</f>
        <v>1674</v>
      </c>
      <c r="L14" s="15">
        <v>1674</v>
      </c>
      <c r="M14" s="15">
        <f t="shared" si="1"/>
        <v>1674</v>
      </c>
      <c r="N14" s="15">
        <v>0</v>
      </c>
      <c r="O14" s="58">
        <f t="shared" si="2"/>
        <v>0</v>
      </c>
      <c r="P14" s="39">
        <f t="shared" si="3"/>
        <v>9</v>
      </c>
      <c r="Q14" s="40">
        <f t="shared" si="4"/>
        <v>15</v>
      </c>
      <c r="R14" s="7"/>
      <c r="S14" s="6"/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si="5"/>
        <v>1</v>
      </c>
      <c r="AC14" s="9">
        <f t="shared" si="6"/>
        <v>0.375</v>
      </c>
      <c r="AD14" s="10">
        <f t="shared" si="7"/>
        <v>0.375</v>
      </c>
      <c r="AE14" s="36">
        <f t="shared" si="8"/>
        <v>0.42222222222222228</v>
      </c>
      <c r="AF14" s="87">
        <f t="shared" si="9"/>
        <v>8</v>
      </c>
    </row>
    <row r="15" spans="1:32" ht="27" customHeight="1">
      <c r="A15" s="118">
        <v>9</v>
      </c>
      <c r="B15" s="11"/>
      <c r="C15" s="34"/>
      <c r="D15" s="52"/>
      <c r="E15" s="53"/>
      <c r="F15" s="30"/>
      <c r="G15" s="33"/>
      <c r="H15" s="35"/>
      <c r="I15" s="7"/>
      <c r="J15" s="5"/>
      <c r="K15" s="15"/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0.42222222222222228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283</v>
      </c>
      <c r="D16" s="52" t="s">
        <v>284</v>
      </c>
      <c r="E16" s="53" t="s">
        <v>285</v>
      </c>
      <c r="F16" s="12">
        <v>8301</v>
      </c>
      <c r="G16" s="12" t="s">
        <v>204</v>
      </c>
      <c r="H16" s="13">
        <v>24</v>
      </c>
      <c r="I16" s="31">
        <v>1000</v>
      </c>
      <c r="J16" s="14">
        <v>1670</v>
      </c>
      <c r="K16" s="15">
        <f>L16+1670</f>
        <v>1670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0.42222222222222228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114</v>
      </c>
      <c r="D17" s="52" t="s">
        <v>120</v>
      </c>
      <c r="E17" s="53" t="s">
        <v>277</v>
      </c>
      <c r="F17" s="12">
        <v>7301</v>
      </c>
      <c r="G17" s="12">
        <v>1</v>
      </c>
      <c r="H17" s="13">
        <v>24</v>
      </c>
      <c r="I17" s="7">
        <v>17000</v>
      </c>
      <c r="J17" s="14">
        <v>4892</v>
      </c>
      <c r="K17" s="15">
        <f>L17+4340</f>
        <v>9232</v>
      </c>
      <c r="L17" s="15">
        <f>2689+2203</f>
        <v>4892</v>
      </c>
      <c r="M17" s="15">
        <f t="shared" si="1"/>
        <v>4892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0.42222222222222228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127</v>
      </c>
      <c r="E18" s="53" t="s">
        <v>300</v>
      </c>
      <c r="F18" s="12" t="s">
        <v>313</v>
      </c>
      <c r="G18" s="12">
        <v>1</v>
      </c>
      <c r="H18" s="13">
        <v>24</v>
      </c>
      <c r="I18" s="31">
        <v>2000</v>
      </c>
      <c r="J18" s="14">
        <v>2173</v>
      </c>
      <c r="K18" s="15">
        <f>L18</f>
        <v>2173</v>
      </c>
      <c r="L18" s="15">
        <f>2173</f>
        <v>2173</v>
      </c>
      <c r="M18" s="15">
        <f t="shared" si="1"/>
        <v>2173</v>
      </c>
      <c r="N18" s="15">
        <v>0</v>
      </c>
      <c r="O18" s="58">
        <f t="shared" si="2"/>
        <v>0</v>
      </c>
      <c r="P18" s="39">
        <f t="shared" si="3"/>
        <v>13</v>
      </c>
      <c r="Q18" s="40">
        <f t="shared" si="4"/>
        <v>11</v>
      </c>
      <c r="R18" s="7"/>
      <c r="S18" s="6"/>
      <c r="T18" s="16"/>
      <c r="U18" s="16"/>
      <c r="V18" s="17"/>
      <c r="W18" s="5">
        <v>11</v>
      </c>
      <c r="X18" s="16"/>
      <c r="Y18" s="16"/>
      <c r="Z18" s="16"/>
      <c r="AA18" s="18"/>
      <c r="AB18" s="8">
        <f t="shared" si="5"/>
        <v>1</v>
      </c>
      <c r="AC18" s="9">
        <f t="shared" si="6"/>
        <v>0.54166666666666663</v>
      </c>
      <c r="AD18" s="10">
        <f t="shared" si="7"/>
        <v>0.54166666666666663</v>
      </c>
      <c r="AE18" s="36">
        <f t="shared" si="8"/>
        <v>0.42222222222222228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190</v>
      </c>
      <c r="E19" s="53" t="s">
        <v>191</v>
      </c>
      <c r="F19" s="30" t="s">
        <v>200</v>
      </c>
      <c r="G19" s="33">
        <v>1</v>
      </c>
      <c r="H19" s="35">
        <v>24</v>
      </c>
      <c r="I19" s="7">
        <v>2000</v>
      </c>
      <c r="J19" s="5">
        <v>2149</v>
      </c>
      <c r="K19" s="15">
        <f>L19</f>
        <v>2149</v>
      </c>
      <c r="L19" s="15">
        <v>2149</v>
      </c>
      <c r="M19" s="15">
        <f t="shared" si="1"/>
        <v>2149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/>
      <c r="T19" s="16"/>
      <c r="U19" s="16"/>
      <c r="V19" s="17"/>
      <c r="W19" s="5">
        <v>11</v>
      </c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>AC19*AB19*(1-O19)</f>
        <v>0.54166666666666663</v>
      </c>
      <c r="AE19" s="36">
        <f t="shared" si="8"/>
        <v>0.42222222222222228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114</v>
      </c>
      <c r="D20" s="52" t="s">
        <v>117</v>
      </c>
      <c r="E20" s="53" t="s">
        <v>228</v>
      </c>
      <c r="F20" s="30" t="s">
        <v>124</v>
      </c>
      <c r="G20" s="33">
        <v>1</v>
      </c>
      <c r="H20" s="35">
        <v>24</v>
      </c>
      <c r="I20" s="7">
        <v>48000</v>
      </c>
      <c r="J20" s="5">
        <v>5428</v>
      </c>
      <c r="K20" s="15">
        <f>L20+4490+5516+5079+4632</f>
        <v>25145</v>
      </c>
      <c r="L20" s="15">
        <f>2994+2434</f>
        <v>5428</v>
      </c>
      <c r="M20" s="15">
        <f t="shared" si="1"/>
        <v>5428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0.42222222222222228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134</v>
      </c>
      <c r="F21" s="12" t="s">
        <v>116</v>
      </c>
      <c r="G21" s="12">
        <v>4</v>
      </c>
      <c r="H21" s="35">
        <v>20</v>
      </c>
      <c r="I21" s="7">
        <v>120000</v>
      </c>
      <c r="J21" s="14">
        <v>41804</v>
      </c>
      <c r="K21" s="15">
        <f>L21</f>
        <v>41804</v>
      </c>
      <c r="L21" s="15">
        <f>10451*4</f>
        <v>41804</v>
      </c>
      <c r="M21" s="15">
        <f t="shared" si="1"/>
        <v>41804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 t="shared" si="8"/>
        <v>0.42222222222222228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8">SUM(I6:I21)</f>
        <v>268500</v>
      </c>
      <c r="J22" s="19">
        <f t="shared" si="18"/>
        <v>75707</v>
      </c>
      <c r="K22" s="20">
        <f t="shared" si="18"/>
        <v>149106</v>
      </c>
      <c r="L22" s="21">
        <f t="shared" si="18"/>
        <v>70774</v>
      </c>
      <c r="M22" s="20">
        <f t="shared" si="18"/>
        <v>70774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152</v>
      </c>
      <c r="Q22" s="43">
        <f t="shared" si="19"/>
        <v>232</v>
      </c>
      <c r="R22" s="23">
        <f t="shared" si="19"/>
        <v>24</v>
      </c>
      <c r="S22" s="24">
        <f t="shared" si="19"/>
        <v>26</v>
      </c>
      <c r="T22" s="24">
        <f t="shared" si="19"/>
        <v>0</v>
      </c>
      <c r="U22" s="24">
        <f t="shared" si="19"/>
        <v>0</v>
      </c>
      <c r="V22" s="25">
        <f t="shared" si="19"/>
        <v>11</v>
      </c>
      <c r="W22" s="26">
        <f t="shared" si="19"/>
        <v>171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0.66666666666666663</v>
      </c>
      <c r="AC22" s="4">
        <f>SUM(AC6:AC21)/15</f>
        <v>0.42222222222222228</v>
      </c>
      <c r="AD22" s="4">
        <f>SUM(AD6:AD21)/15</f>
        <v>0.42222222222222228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314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317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158" t="s">
        <v>46</v>
      </c>
      <c r="D51" s="158" t="s">
        <v>47</v>
      </c>
      <c r="E51" s="158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158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114</v>
      </c>
      <c r="B52" s="383"/>
      <c r="C52" s="155" t="s">
        <v>129</v>
      </c>
      <c r="D52" s="155" t="s">
        <v>315</v>
      </c>
      <c r="E52" s="155" t="s">
        <v>299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54" t="s">
        <v>118</v>
      </c>
      <c r="O52" s="152" t="s">
        <v>161</v>
      </c>
      <c r="P52" s="389" t="s">
        <v>319</v>
      </c>
      <c r="Q52" s="390"/>
      <c r="R52" s="383" t="s">
        <v>318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155" t="s">
        <v>168</v>
      </c>
      <c r="D53" s="155" t="s">
        <v>127</v>
      </c>
      <c r="E53" s="155" t="s">
        <v>300</v>
      </c>
      <c r="F53" s="384" t="s">
        <v>123</v>
      </c>
      <c r="G53" s="385"/>
      <c r="H53" s="385"/>
      <c r="I53" s="385"/>
      <c r="J53" s="385"/>
      <c r="K53" s="385"/>
      <c r="L53" s="385"/>
      <c r="M53" s="386"/>
      <c r="N53" s="154" t="s">
        <v>114</v>
      </c>
      <c r="O53" s="152" t="s">
        <v>158</v>
      </c>
      <c r="P53" s="389" t="s">
        <v>133</v>
      </c>
      <c r="Q53" s="390"/>
      <c r="R53" s="383" t="s">
        <v>199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155" t="s">
        <v>227</v>
      </c>
      <c r="D54" s="155" t="s">
        <v>209</v>
      </c>
      <c r="E54" s="155" t="s">
        <v>298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154"/>
      <c r="O54" s="152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114</v>
      </c>
      <c r="B55" s="383"/>
      <c r="C55" s="155" t="s">
        <v>171</v>
      </c>
      <c r="D55" s="155" t="s">
        <v>190</v>
      </c>
      <c r="E55" s="155" t="s">
        <v>191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154"/>
      <c r="O55" s="152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118</v>
      </c>
      <c r="B56" s="383"/>
      <c r="C56" s="155" t="s">
        <v>161</v>
      </c>
      <c r="D56" s="155" t="s">
        <v>267</v>
      </c>
      <c r="E56" s="155" t="s">
        <v>312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154"/>
      <c r="O56" s="152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114</v>
      </c>
      <c r="B57" s="383"/>
      <c r="C57" s="155" t="s">
        <v>158</v>
      </c>
      <c r="D57" s="155" t="s">
        <v>133</v>
      </c>
      <c r="E57" s="155" t="s">
        <v>255</v>
      </c>
      <c r="F57" s="384" t="s">
        <v>316</v>
      </c>
      <c r="G57" s="385"/>
      <c r="H57" s="385"/>
      <c r="I57" s="385"/>
      <c r="J57" s="385"/>
      <c r="K57" s="385"/>
      <c r="L57" s="385"/>
      <c r="M57" s="386"/>
      <c r="N57" s="154"/>
      <c r="O57" s="152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115</v>
      </c>
      <c r="B58" s="383"/>
      <c r="C58" s="155" t="s">
        <v>179</v>
      </c>
      <c r="D58" s="155"/>
      <c r="E58" s="155" t="s">
        <v>134</v>
      </c>
      <c r="F58" s="384" t="s">
        <v>123</v>
      </c>
      <c r="G58" s="385"/>
      <c r="H58" s="385"/>
      <c r="I58" s="385"/>
      <c r="J58" s="385"/>
      <c r="K58" s="385"/>
      <c r="L58" s="385"/>
      <c r="M58" s="386"/>
      <c r="N58" s="154"/>
      <c r="O58" s="152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55"/>
      <c r="D59" s="155"/>
      <c r="E59" s="155"/>
      <c r="F59" s="384"/>
      <c r="G59" s="385"/>
      <c r="H59" s="385"/>
      <c r="I59" s="385"/>
      <c r="J59" s="385"/>
      <c r="K59" s="385"/>
      <c r="L59" s="385"/>
      <c r="M59" s="386"/>
      <c r="N59" s="154"/>
      <c r="O59" s="152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155"/>
      <c r="D60" s="155"/>
      <c r="E60" s="155"/>
      <c r="F60" s="384"/>
      <c r="G60" s="385"/>
      <c r="H60" s="385"/>
      <c r="I60" s="385"/>
      <c r="J60" s="385"/>
      <c r="K60" s="385"/>
      <c r="L60" s="385"/>
      <c r="M60" s="386"/>
      <c r="N60" s="154"/>
      <c r="O60" s="152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157"/>
      <c r="D61" s="157"/>
      <c r="E61" s="157"/>
      <c r="F61" s="393"/>
      <c r="G61" s="393"/>
      <c r="H61" s="393"/>
      <c r="I61" s="393"/>
      <c r="J61" s="393"/>
      <c r="K61" s="393"/>
      <c r="L61" s="393"/>
      <c r="M61" s="394"/>
      <c r="N61" s="156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320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153" t="s">
        <v>2</v>
      </c>
      <c r="D63" s="153" t="s">
        <v>37</v>
      </c>
      <c r="E63" s="153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153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114</v>
      </c>
      <c r="D64" s="148"/>
      <c r="E64" s="151" t="s">
        <v>120</v>
      </c>
      <c r="F64" s="406" t="s">
        <v>321</v>
      </c>
      <c r="G64" s="407"/>
      <c r="H64" s="407"/>
      <c r="I64" s="407"/>
      <c r="J64" s="407"/>
      <c r="K64" s="407" t="s">
        <v>322</v>
      </c>
      <c r="L64" s="407"/>
      <c r="M64" s="51" t="s">
        <v>323</v>
      </c>
      <c r="N64" s="408" t="s">
        <v>129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/>
      <c r="D65" s="148"/>
      <c r="E65" s="151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148"/>
      <c r="E66" s="151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148"/>
      <c r="E67" s="15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148"/>
      <c r="E68" s="15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148"/>
      <c r="E69" s="15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148"/>
      <c r="E70" s="15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148"/>
      <c r="E71" s="151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324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150" t="s">
        <v>2</v>
      </c>
      <c r="D73" s="150" t="s">
        <v>37</v>
      </c>
      <c r="E73" s="150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149" t="s">
        <v>114</v>
      </c>
      <c r="D74" s="149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148"/>
      <c r="D75" s="148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20">A75+1</f>
        <v>3</v>
      </c>
      <c r="B76" s="419"/>
      <c r="C76" s="148"/>
      <c r="D76" s="148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20"/>
        <v>4</v>
      </c>
      <c r="B77" s="419"/>
      <c r="C77" s="148"/>
      <c r="D77" s="148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0"/>
        <v>5</v>
      </c>
      <c r="B78" s="419"/>
      <c r="C78" s="148"/>
      <c r="D78" s="148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0"/>
        <v>6</v>
      </c>
      <c r="B79" s="419"/>
      <c r="C79" s="148"/>
      <c r="D79" s="148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0"/>
        <v>7</v>
      </c>
      <c r="B80" s="419"/>
      <c r="C80" s="148"/>
      <c r="D80" s="148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0"/>
        <v>8</v>
      </c>
      <c r="B81" s="419"/>
      <c r="C81" s="148"/>
      <c r="D81" s="148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0"/>
        <v>9</v>
      </c>
      <c r="B82" s="419"/>
      <c r="C82" s="148"/>
      <c r="D82" s="148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325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9D30-9577-429D-824A-32208BBB2F95}">
  <sheetPr codeName="Sheet11">
    <pageSetUpPr fitToPage="1"/>
  </sheetPr>
  <dimension ref="A1:AF86"/>
  <sheetViews>
    <sheetView zoomScale="72" zoomScaleNormal="72" zoomScaleSheetLayoutView="70" workbookViewId="0">
      <selection activeCell="E10" sqref="E10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326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60" t="s">
        <v>17</v>
      </c>
      <c r="L5" s="160" t="s">
        <v>18</v>
      </c>
      <c r="M5" s="160" t="s">
        <v>19</v>
      </c>
      <c r="N5" s="1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0.29722222222222222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0.29722222222222222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190</v>
      </c>
      <c r="E8" s="53" t="s">
        <v>260</v>
      </c>
      <c r="F8" s="30" t="s">
        <v>200</v>
      </c>
      <c r="G8" s="33">
        <v>1</v>
      </c>
      <c r="H8" s="35">
        <v>24</v>
      </c>
      <c r="I8" s="7">
        <v>3000</v>
      </c>
      <c r="J8" s="5">
        <v>2013</v>
      </c>
      <c r="K8" s="15">
        <f>L8+3931+2013</f>
        <v>5944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0.29722222222222222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3416</v>
      </c>
      <c r="K9" s="15">
        <f>L9+3704+6207+5519+3575+5715+4182+2518</f>
        <v>34836</v>
      </c>
      <c r="L9" s="15">
        <v>3416</v>
      </c>
      <c r="M9" s="15">
        <f t="shared" si="1"/>
        <v>3416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0.29722222222222222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209</v>
      </c>
      <c r="E10" s="53" t="s">
        <v>298</v>
      </c>
      <c r="F10" s="30" t="s">
        <v>200</v>
      </c>
      <c r="G10" s="33">
        <v>2</v>
      </c>
      <c r="H10" s="35">
        <v>24</v>
      </c>
      <c r="I10" s="7">
        <v>6000</v>
      </c>
      <c r="J10" s="5">
        <v>6924</v>
      </c>
      <c r="K10" s="15">
        <f>L10+6924</f>
        <v>6924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0.29722222222222222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0.29722222222222222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118</v>
      </c>
      <c r="D12" s="52" t="s">
        <v>319</v>
      </c>
      <c r="E12" s="53" t="s">
        <v>318</v>
      </c>
      <c r="F12" s="30" t="s">
        <v>116</v>
      </c>
      <c r="G12" s="33">
        <v>1</v>
      </c>
      <c r="H12" s="35">
        <v>20</v>
      </c>
      <c r="I12" s="7">
        <v>15000</v>
      </c>
      <c r="J12" s="14">
        <v>5229</v>
      </c>
      <c r="K12" s="15">
        <f>L12</f>
        <v>5229</v>
      </c>
      <c r="L12" s="15">
        <f>2100+3129</f>
        <v>5229</v>
      </c>
      <c r="M12" s="15">
        <f t="shared" si="1"/>
        <v>5229</v>
      </c>
      <c r="N12" s="15">
        <v>0</v>
      </c>
      <c r="O12" s="58">
        <f t="shared" si="2"/>
        <v>0</v>
      </c>
      <c r="P12" s="39">
        <f t="shared" si="3"/>
        <v>22</v>
      </c>
      <c r="Q12" s="40">
        <f t="shared" si="4"/>
        <v>2</v>
      </c>
      <c r="R12" s="7"/>
      <c r="S12" s="6"/>
      <c r="T12" s="16">
        <v>2</v>
      </c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0.91666666666666663</v>
      </c>
      <c r="AD12" s="10">
        <f t="shared" si="7"/>
        <v>0.91666666666666663</v>
      </c>
      <c r="AE12" s="36">
        <f t="shared" si="8"/>
        <v>0.29722222222222222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310</v>
      </c>
      <c r="D13" s="52" t="s">
        <v>327</v>
      </c>
      <c r="E13" s="53" t="s">
        <v>308</v>
      </c>
      <c r="F13" s="30" t="s">
        <v>124</v>
      </c>
      <c r="G13" s="33">
        <v>1</v>
      </c>
      <c r="H13" s="35">
        <v>24</v>
      </c>
      <c r="I13" s="7">
        <v>1200</v>
      </c>
      <c r="J13" s="14">
        <v>1292</v>
      </c>
      <c r="K13" s="15">
        <f>L13</f>
        <v>1292</v>
      </c>
      <c r="L13" s="15">
        <v>1292</v>
      </c>
      <c r="M13" s="15">
        <f t="shared" si="1"/>
        <v>1292</v>
      </c>
      <c r="N13" s="15">
        <v>0</v>
      </c>
      <c r="O13" s="58">
        <f t="shared" si="2"/>
        <v>0</v>
      </c>
      <c r="P13" s="39">
        <f t="shared" si="3"/>
        <v>8</v>
      </c>
      <c r="Q13" s="40">
        <f t="shared" si="4"/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si="5"/>
        <v>1</v>
      </c>
      <c r="AC13" s="9">
        <f t="shared" si="6"/>
        <v>0.33333333333333331</v>
      </c>
      <c r="AD13" s="10">
        <f t="shared" si="7"/>
        <v>0.33333333333333331</v>
      </c>
      <c r="AE13" s="36">
        <f t="shared" si="8"/>
        <v>0.29722222222222222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0.29722222222222222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0.29722222222222222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114</v>
      </c>
      <c r="D16" s="52" t="s">
        <v>120</v>
      </c>
      <c r="E16" s="53" t="s">
        <v>277</v>
      </c>
      <c r="F16" s="12">
        <v>7301</v>
      </c>
      <c r="G16" s="12">
        <v>1</v>
      </c>
      <c r="H16" s="13">
        <v>24</v>
      </c>
      <c r="I16" s="7">
        <v>17000</v>
      </c>
      <c r="J16" s="14">
        <v>5103</v>
      </c>
      <c r="K16" s="15">
        <f>L16+4340+4892</f>
        <v>14335</v>
      </c>
      <c r="L16" s="15">
        <f>2737+2366</f>
        <v>5103</v>
      </c>
      <c r="M16" s="15">
        <f t="shared" si="1"/>
        <v>5103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0.29722222222222222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0.29722222222222222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190</v>
      </c>
      <c r="E18" s="53" t="s">
        <v>191</v>
      </c>
      <c r="F18" s="30" t="s">
        <v>200</v>
      </c>
      <c r="G18" s="33">
        <v>1</v>
      </c>
      <c r="H18" s="35">
        <v>24</v>
      </c>
      <c r="I18" s="7">
        <v>2000</v>
      </c>
      <c r="J18" s="5">
        <v>2149</v>
      </c>
      <c r="K18" s="15">
        <f>L18+2149</f>
        <v>2149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0.29722222222222222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v>48000</v>
      </c>
      <c r="J19" s="5">
        <v>5727</v>
      </c>
      <c r="K19" s="15">
        <f>L19+4490+5516+5079+4632+5428</f>
        <v>30872</v>
      </c>
      <c r="L19" s="15">
        <f>3109+2618</f>
        <v>5727</v>
      </c>
      <c r="M19" s="15">
        <f t="shared" si="1"/>
        <v>5727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0.29722222222222222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120000</v>
      </c>
      <c r="J20" s="14">
        <v>44516</v>
      </c>
      <c r="K20" s="15">
        <f>L20+41804</f>
        <v>86320</v>
      </c>
      <c r="L20" s="15">
        <f>11129*4</f>
        <v>44516</v>
      </c>
      <c r="M20" s="15">
        <f t="shared" si="1"/>
        <v>44516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0.29722222222222222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278200</v>
      </c>
      <c r="J21" s="19">
        <f t="shared" si="10"/>
        <v>81462</v>
      </c>
      <c r="K21" s="20">
        <f t="shared" si="10"/>
        <v>206602</v>
      </c>
      <c r="L21" s="21">
        <f t="shared" si="10"/>
        <v>65283</v>
      </c>
      <c r="M21" s="20">
        <f t="shared" si="10"/>
        <v>65283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107</v>
      </c>
      <c r="Q21" s="43">
        <f t="shared" si="11"/>
        <v>253</v>
      </c>
      <c r="R21" s="23">
        <f t="shared" si="11"/>
        <v>24</v>
      </c>
      <c r="S21" s="24">
        <f t="shared" si="11"/>
        <v>9</v>
      </c>
      <c r="T21" s="24">
        <f t="shared" si="11"/>
        <v>2</v>
      </c>
      <c r="U21" s="24">
        <f t="shared" si="11"/>
        <v>0</v>
      </c>
      <c r="V21" s="25">
        <f t="shared" si="11"/>
        <v>10</v>
      </c>
      <c r="W21" s="26">
        <f t="shared" si="11"/>
        <v>208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0.4</v>
      </c>
      <c r="AC21" s="4">
        <f>SUM(AC6:AC20)/15</f>
        <v>0.29722222222222222</v>
      </c>
      <c r="AD21" s="4">
        <f>SUM(AD6:AD20)/15</f>
        <v>0.29722222222222222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328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330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61" t="s">
        <v>46</v>
      </c>
      <c r="D50" s="161" t="s">
        <v>47</v>
      </c>
      <c r="E50" s="161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61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310</v>
      </c>
      <c r="B51" s="383"/>
      <c r="C51" s="163" t="s">
        <v>129</v>
      </c>
      <c r="D51" s="163" t="s">
        <v>327</v>
      </c>
      <c r="E51" s="163" t="s">
        <v>308</v>
      </c>
      <c r="F51" s="384" t="s">
        <v>329</v>
      </c>
      <c r="G51" s="385"/>
      <c r="H51" s="385"/>
      <c r="I51" s="385"/>
      <c r="J51" s="385"/>
      <c r="K51" s="385"/>
      <c r="L51" s="385"/>
      <c r="M51" s="386"/>
      <c r="N51" s="162" t="s">
        <v>310</v>
      </c>
      <c r="O51" s="168" t="s">
        <v>227</v>
      </c>
      <c r="P51" s="389" t="s">
        <v>331</v>
      </c>
      <c r="Q51" s="390"/>
      <c r="R51" s="383" t="s">
        <v>332</v>
      </c>
      <c r="S51" s="383"/>
      <c r="T51" s="383"/>
      <c r="U51" s="383"/>
      <c r="V51" s="387" t="s">
        <v>123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118</v>
      </c>
      <c r="B52" s="383"/>
      <c r="C52" s="163" t="s">
        <v>161</v>
      </c>
      <c r="D52" s="163" t="s">
        <v>319</v>
      </c>
      <c r="E52" s="163" t="s">
        <v>318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62" t="s">
        <v>310</v>
      </c>
      <c r="O52" s="168" t="s">
        <v>129</v>
      </c>
      <c r="P52" s="389" t="s">
        <v>117</v>
      </c>
      <c r="Q52" s="390"/>
      <c r="R52" s="383" t="s">
        <v>304</v>
      </c>
      <c r="S52" s="383"/>
      <c r="T52" s="383"/>
      <c r="U52" s="383"/>
      <c r="V52" s="387" t="s">
        <v>329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163" t="s">
        <v>158</v>
      </c>
      <c r="D53" s="163" t="s">
        <v>133</v>
      </c>
      <c r="E53" s="163" t="s">
        <v>255</v>
      </c>
      <c r="F53" s="384" t="s">
        <v>174</v>
      </c>
      <c r="G53" s="385"/>
      <c r="H53" s="385"/>
      <c r="I53" s="385"/>
      <c r="J53" s="385"/>
      <c r="K53" s="385"/>
      <c r="L53" s="385"/>
      <c r="M53" s="386"/>
      <c r="N53" s="162" t="s">
        <v>310</v>
      </c>
      <c r="O53" s="168" t="s">
        <v>189</v>
      </c>
      <c r="P53" s="389" t="s">
        <v>117</v>
      </c>
      <c r="Q53" s="390"/>
      <c r="R53" s="383" t="s">
        <v>333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/>
      <c r="B54" s="383"/>
      <c r="C54" s="163"/>
      <c r="D54" s="163"/>
      <c r="E54" s="163"/>
      <c r="F54" s="384"/>
      <c r="G54" s="385"/>
      <c r="H54" s="385"/>
      <c r="I54" s="385"/>
      <c r="J54" s="385"/>
      <c r="K54" s="385"/>
      <c r="L54" s="385"/>
      <c r="M54" s="386"/>
      <c r="N54" s="162"/>
      <c r="O54" s="168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163"/>
      <c r="D55" s="163"/>
      <c r="E55" s="163"/>
      <c r="F55" s="384"/>
      <c r="G55" s="385"/>
      <c r="H55" s="385"/>
      <c r="I55" s="385"/>
      <c r="J55" s="385"/>
      <c r="K55" s="385"/>
      <c r="L55" s="385"/>
      <c r="M55" s="386"/>
      <c r="N55" s="162"/>
      <c r="O55" s="168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63"/>
      <c r="D56" s="163"/>
      <c r="E56" s="163"/>
      <c r="F56" s="384"/>
      <c r="G56" s="385"/>
      <c r="H56" s="385"/>
      <c r="I56" s="385"/>
      <c r="J56" s="385"/>
      <c r="K56" s="385"/>
      <c r="L56" s="385"/>
      <c r="M56" s="386"/>
      <c r="N56" s="162"/>
      <c r="O56" s="168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63"/>
      <c r="D57" s="163"/>
      <c r="E57" s="163"/>
      <c r="F57" s="384"/>
      <c r="G57" s="385"/>
      <c r="H57" s="385"/>
      <c r="I57" s="385"/>
      <c r="J57" s="385"/>
      <c r="K57" s="385"/>
      <c r="L57" s="385"/>
      <c r="M57" s="386"/>
      <c r="N57" s="162"/>
      <c r="O57" s="168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63"/>
      <c r="D58" s="163"/>
      <c r="E58" s="163"/>
      <c r="F58" s="384"/>
      <c r="G58" s="385"/>
      <c r="H58" s="385"/>
      <c r="I58" s="385"/>
      <c r="J58" s="385"/>
      <c r="K58" s="385"/>
      <c r="L58" s="385"/>
      <c r="M58" s="386"/>
      <c r="N58" s="162"/>
      <c r="O58" s="168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63"/>
      <c r="D59" s="163"/>
      <c r="E59" s="163"/>
      <c r="F59" s="384"/>
      <c r="G59" s="385"/>
      <c r="H59" s="385"/>
      <c r="I59" s="385"/>
      <c r="J59" s="385"/>
      <c r="K59" s="385"/>
      <c r="L59" s="385"/>
      <c r="M59" s="386"/>
      <c r="N59" s="162"/>
      <c r="O59" s="168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165"/>
      <c r="D60" s="165"/>
      <c r="E60" s="165"/>
      <c r="F60" s="393"/>
      <c r="G60" s="393"/>
      <c r="H60" s="393"/>
      <c r="I60" s="393"/>
      <c r="J60" s="393"/>
      <c r="K60" s="393"/>
      <c r="L60" s="393"/>
      <c r="M60" s="394"/>
      <c r="N60" s="164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334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166" t="s">
        <v>2</v>
      </c>
      <c r="D62" s="166" t="s">
        <v>37</v>
      </c>
      <c r="E62" s="166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166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114</v>
      </c>
      <c r="D63" s="170"/>
      <c r="E63" s="167" t="s">
        <v>120</v>
      </c>
      <c r="F63" s="406" t="s">
        <v>321</v>
      </c>
      <c r="G63" s="407"/>
      <c r="H63" s="407"/>
      <c r="I63" s="407"/>
      <c r="J63" s="407"/>
      <c r="K63" s="407" t="s">
        <v>322</v>
      </c>
      <c r="L63" s="407"/>
      <c r="M63" s="51" t="s">
        <v>323</v>
      </c>
      <c r="N63" s="408" t="s">
        <v>129</v>
      </c>
      <c r="O63" s="408"/>
      <c r="P63" s="409">
        <v>50</v>
      </c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 t="s">
        <v>310</v>
      </c>
      <c r="D64" s="170"/>
      <c r="E64" s="167" t="s">
        <v>327</v>
      </c>
      <c r="F64" s="406" t="s">
        <v>308</v>
      </c>
      <c r="G64" s="407"/>
      <c r="H64" s="407"/>
      <c r="I64" s="407"/>
      <c r="J64" s="407"/>
      <c r="K64" s="407" t="s">
        <v>124</v>
      </c>
      <c r="L64" s="407"/>
      <c r="M64" s="51" t="s">
        <v>323</v>
      </c>
      <c r="N64" s="408" t="s">
        <v>129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 t="s">
        <v>114</v>
      </c>
      <c r="D65" s="170"/>
      <c r="E65" s="167" t="s">
        <v>190</v>
      </c>
      <c r="F65" s="406" t="s">
        <v>335</v>
      </c>
      <c r="G65" s="407"/>
      <c r="H65" s="407"/>
      <c r="I65" s="407"/>
      <c r="J65" s="407"/>
      <c r="K65" s="407" t="s">
        <v>200</v>
      </c>
      <c r="L65" s="407"/>
      <c r="M65" s="51" t="s">
        <v>336</v>
      </c>
      <c r="N65" s="408" t="s">
        <v>129</v>
      </c>
      <c r="O65" s="408"/>
      <c r="P65" s="409">
        <v>50</v>
      </c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170"/>
      <c r="E66" s="167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170"/>
      <c r="E67" s="167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170"/>
      <c r="E68" s="167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170"/>
      <c r="E69" s="167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170"/>
      <c r="E70" s="167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337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169" t="s">
        <v>2</v>
      </c>
      <c r="D72" s="169" t="s">
        <v>37</v>
      </c>
      <c r="E72" s="169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171" t="s">
        <v>114</v>
      </c>
      <c r="D73" s="171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170"/>
      <c r="D74" s="170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170"/>
      <c r="D75" s="170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170"/>
      <c r="D76" s="170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170"/>
      <c r="D77" s="170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170"/>
      <c r="D78" s="170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170"/>
      <c r="D79" s="170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170"/>
      <c r="D80" s="170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170"/>
      <c r="D81" s="170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338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0435-8A35-41F3-9C7B-27632C8F0594}">
  <sheetPr codeName="Sheet12">
    <pageSetUpPr fitToPage="1"/>
  </sheetPr>
  <dimension ref="A1:AF87"/>
  <sheetViews>
    <sheetView zoomScale="72" zoomScaleNormal="72" zoomScaleSheetLayoutView="70" workbookViewId="0">
      <selection activeCell="F58" sqref="F58:M58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339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72" t="s">
        <v>17</v>
      </c>
      <c r="L5" s="172" t="s">
        <v>18</v>
      </c>
      <c r="M5" s="172" t="s">
        <v>19</v>
      </c>
      <c r="N5" s="1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0.32222222222222219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0.32222222222222219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190</v>
      </c>
      <c r="E8" s="53" t="s">
        <v>260</v>
      </c>
      <c r="F8" s="30" t="s">
        <v>200</v>
      </c>
      <c r="G8" s="33">
        <v>1</v>
      </c>
      <c r="H8" s="35">
        <v>24</v>
      </c>
      <c r="I8" s="7">
        <v>3000</v>
      </c>
      <c r="J8" s="5">
        <v>2013</v>
      </c>
      <c r="K8" s="15">
        <f>L8+3931+2013</f>
        <v>5944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0.32222222222222219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5111</v>
      </c>
      <c r="K9" s="15">
        <f>L9+3704+6207+5519+3575+5715+4182+2518+3416</f>
        <v>39947</v>
      </c>
      <c r="L9" s="15">
        <f>2730+2381</f>
        <v>5111</v>
      </c>
      <c r="M9" s="15">
        <f t="shared" si="1"/>
        <v>5111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0.32222222222222219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2</v>
      </c>
      <c r="H10" s="35">
        <v>24</v>
      </c>
      <c r="I10" s="7">
        <v>75000</v>
      </c>
      <c r="J10" s="5">
        <v>6924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0.32222222222222219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0.32222222222222219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118</v>
      </c>
      <c r="D12" s="52" t="s">
        <v>319</v>
      </c>
      <c r="E12" s="53" t="s">
        <v>318</v>
      </c>
      <c r="F12" s="30" t="s">
        <v>116</v>
      </c>
      <c r="G12" s="33">
        <v>1</v>
      </c>
      <c r="H12" s="35">
        <v>20</v>
      </c>
      <c r="I12" s="7">
        <v>15000</v>
      </c>
      <c r="J12" s="14">
        <v>4986</v>
      </c>
      <c r="K12" s="15">
        <f>L12+5229</f>
        <v>10215</v>
      </c>
      <c r="L12" s="15">
        <f>2106+2880</f>
        <v>4986</v>
      </c>
      <c r="M12" s="15">
        <f t="shared" si="1"/>
        <v>4986</v>
      </c>
      <c r="N12" s="15">
        <v>0</v>
      </c>
      <c r="O12" s="58">
        <f t="shared" si="2"/>
        <v>0</v>
      </c>
      <c r="P12" s="39">
        <f t="shared" si="3"/>
        <v>22</v>
      </c>
      <c r="Q12" s="40">
        <f t="shared" si="4"/>
        <v>2</v>
      </c>
      <c r="R12" s="7">
        <v>2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0.91666666666666663</v>
      </c>
      <c r="AD12" s="10">
        <f t="shared" si="7"/>
        <v>0.91666666666666663</v>
      </c>
      <c r="AE12" s="36">
        <f t="shared" si="8"/>
        <v>0.32222222222222219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310</v>
      </c>
      <c r="D13" s="52" t="s">
        <v>117</v>
      </c>
      <c r="E13" s="53" t="s">
        <v>304</v>
      </c>
      <c r="F13" s="30" t="s">
        <v>124</v>
      </c>
      <c r="G13" s="33">
        <v>1</v>
      </c>
      <c r="H13" s="35">
        <v>24</v>
      </c>
      <c r="I13" s="7">
        <v>1200</v>
      </c>
      <c r="J13" s="14">
        <v>1462</v>
      </c>
      <c r="K13" s="15">
        <f>L13</f>
        <v>1462</v>
      </c>
      <c r="L13" s="15">
        <f>514+948</f>
        <v>1462</v>
      </c>
      <c r="M13" s="15">
        <f t="shared" si="1"/>
        <v>1462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0.32222222222222219</v>
      </c>
      <c r="AF13" s="87">
        <f t="shared" si="9"/>
        <v>8</v>
      </c>
    </row>
    <row r="14" spans="1:32" ht="27" customHeight="1">
      <c r="A14" s="118">
        <v>9</v>
      </c>
      <c r="B14" s="11"/>
      <c r="C14" s="34"/>
      <c r="D14" s="52"/>
      <c r="E14" s="53"/>
      <c r="F14" s="30"/>
      <c r="G14" s="33"/>
      <c r="H14" s="35"/>
      <c r="I14" s="7"/>
      <c r="J14" s="5"/>
      <c r="K14" s="15"/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0.32222222222222219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0.32222222222222219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114</v>
      </c>
      <c r="D16" s="52" t="s">
        <v>120</v>
      </c>
      <c r="E16" s="53" t="s">
        <v>277</v>
      </c>
      <c r="F16" s="12">
        <v>7301</v>
      </c>
      <c r="G16" s="12">
        <v>1</v>
      </c>
      <c r="H16" s="13">
        <v>24</v>
      </c>
      <c r="I16" s="7">
        <v>17000</v>
      </c>
      <c r="J16" s="14">
        <v>280</v>
      </c>
      <c r="K16" s="15">
        <f>L16+4340+4892+5103</f>
        <v>14615</v>
      </c>
      <c r="L16" s="15">
        <v>280</v>
      </c>
      <c r="M16" s="15">
        <f t="shared" si="1"/>
        <v>280</v>
      </c>
      <c r="N16" s="15">
        <v>0</v>
      </c>
      <c r="O16" s="58">
        <f t="shared" si="2"/>
        <v>0</v>
      </c>
      <c r="P16" s="39">
        <f t="shared" si="3"/>
        <v>2</v>
      </c>
      <c r="Q16" s="40">
        <f t="shared" si="4"/>
        <v>22</v>
      </c>
      <c r="R16" s="7"/>
      <c r="S16" s="6"/>
      <c r="T16" s="16"/>
      <c r="U16" s="16"/>
      <c r="V16" s="17"/>
      <c r="W16" s="5">
        <v>22</v>
      </c>
      <c r="X16" s="16"/>
      <c r="Y16" s="16"/>
      <c r="Z16" s="16"/>
      <c r="AA16" s="18"/>
      <c r="AB16" s="8">
        <f t="shared" si="5"/>
        <v>1</v>
      </c>
      <c r="AC16" s="9">
        <f t="shared" si="6"/>
        <v>8.3333333333333329E-2</v>
      </c>
      <c r="AD16" s="10">
        <f t="shared" si="7"/>
        <v>8.3333333333333329E-2</v>
      </c>
      <c r="AE16" s="36">
        <f t="shared" si="8"/>
        <v>0.32222222222222219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11" t="s">
        <v>310</v>
      </c>
      <c r="D17" s="52" t="s">
        <v>120</v>
      </c>
      <c r="E17" s="53" t="s">
        <v>333</v>
      </c>
      <c r="F17" s="12" t="s">
        <v>340</v>
      </c>
      <c r="G17" s="12">
        <v>1</v>
      </c>
      <c r="H17" s="13">
        <v>24</v>
      </c>
      <c r="I17" s="7">
        <v>12000</v>
      </c>
      <c r="J17" s="14">
        <v>4488</v>
      </c>
      <c r="K17" s="15">
        <f>L17</f>
        <v>4488</v>
      </c>
      <c r="L17" s="15">
        <f>1965+2523</f>
        <v>4488</v>
      </c>
      <c r="M17" s="15">
        <f t="shared" ref="M17" si="10">L17-N17</f>
        <v>4488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20</v>
      </c>
      <c r="Q17" s="40">
        <f t="shared" ref="Q17" si="13">SUM(R17:AA17)</f>
        <v>4</v>
      </c>
      <c r="R17" s="7"/>
      <c r="S17" s="6"/>
      <c r="T17" s="16">
        <v>4</v>
      </c>
      <c r="U17" s="16"/>
      <c r="V17" s="17"/>
      <c r="W17" s="5"/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0.83333333333333337</v>
      </c>
      <c r="AD17" s="10">
        <f t="shared" ref="AD17" si="16">AC17*AB17*(1-O17)</f>
        <v>0.83333333333333337</v>
      </c>
      <c r="AE17" s="36">
        <f t="shared" si="8"/>
        <v>0.32222222222222219</v>
      </c>
      <c r="AF17" s="87">
        <f t="shared" ref="AF17" si="17">A17</f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127</v>
      </c>
      <c r="E18" s="53" t="s">
        <v>300</v>
      </c>
      <c r="F18" s="12" t="s">
        <v>313</v>
      </c>
      <c r="G18" s="12">
        <v>1</v>
      </c>
      <c r="H18" s="13">
        <v>24</v>
      </c>
      <c r="I18" s="31">
        <v>2000</v>
      </c>
      <c r="J18" s="14">
        <v>2173</v>
      </c>
      <c r="K18" s="15">
        <f>L18+2173</f>
        <v>2173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0.32222222222222219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190</v>
      </c>
      <c r="E19" s="53" t="s">
        <v>191</v>
      </c>
      <c r="F19" s="30" t="s">
        <v>200</v>
      </c>
      <c r="G19" s="33">
        <v>1</v>
      </c>
      <c r="H19" s="35">
        <v>24</v>
      </c>
      <c r="I19" s="7">
        <v>2000</v>
      </c>
      <c r="J19" s="5">
        <v>2149</v>
      </c>
      <c r="K19" s="15">
        <f>L19+2149</f>
        <v>2149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0.32222222222222219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114</v>
      </c>
      <c r="D20" s="52" t="s">
        <v>117</v>
      </c>
      <c r="E20" s="53" t="s">
        <v>228</v>
      </c>
      <c r="F20" s="30" t="s">
        <v>124</v>
      </c>
      <c r="G20" s="33">
        <v>1</v>
      </c>
      <c r="H20" s="35">
        <v>24</v>
      </c>
      <c r="I20" s="7">
        <v>48000</v>
      </c>
      <c r="J20" s="5">
        <v>5954</v>
      </c>
      <c r="K20" s="15">
        <f>L20+4490+5516+5079+4632+5428+5727</f>
        <v>36826</v>
      </c>
      <c r="L20" s="15">
        <f>2779+446+2729</f>
        <v>5954</v>
      </c>
      <c r="M20" s="15">
        <f t="shared" si="1"/>
        <v>5954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0.32222222222222219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134</v>
      </c>
      <c r="F21" s="12" t="s">
        <v>116</v>
      </c>
      <c r="G21" s="12">
        <v>4</v>
      </c>
      <c r="H21" s="35">
        <v>20</v>
      </c>
      <c r="I21" s="7">
        <v>120000</v>
      </c>
      <c r="J21" s="14">
        <v>40768</v>
      </c>
      <c r="K21" s="15">
        <f>L21+41804+44516</f>
        <v>127088</v>
      </c>
      <c r="L21" s="15">
        <f>10192*4</f>
        <v>40768</v>
      </c>
      <c r="M21" s="15">
        <f t="shared" si="1"/>
        <v>40768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8"/>
        <v>0.32222222222222219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8">SUM(I6:I21)</f>
        <v>359200</v>
      </c>
      <c r="J22" s="19">
        <f t="shared" si="18"/>
        <v>79228</v>
      </c>
      <c r="K22" s="20">
        <f t="shared" si="18"/>
        <v>261435</v>
      </c>
      <c r="L22" s="21">
        <f t="shared" si="18"/>
        <v>63049</v>
      </c>
      <c r="M22" s="20">
        <f t="shared" si="18"/>
        <v>63049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116</v>
      </c>
      <c r="Q22" s="43">
        <f t="shared" si="19"/>
        <v>268</v>
      </c>
      <c r="R22" s="23">
        <f t="shared" si="19"/>
        <v>26</v>
      </c>
      <c r="S22" s="24">
        <f t="shared" si="19"/>
        <v>24</v>
      </c>
      <c r="T22" s="24">
        <f t="shared" si="19"/>
        <v>4</v>
      </c>
      <c r="U22" s="24">
        <f t="shared" si="19"/>
        <v>0</v>
      </c>
      <c r="V22" s="25">
        <f t="shared" si="19"/>
        <v>10</v>
      </c>
      <c r="W22" s="26">
        <f t="shared" si="19"/>
        <v>204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0.46666666666666667</v>
      </c>
      <c r="AC22" s="4">
        <f>SUM(AC6:AC21)/15</f>
        <v>0.32222222222222219</v>
      </c>
      <c r="AD22" s="4">
        <f>SUM(AD6:AD21)/15</f>
        <v>0.32222222222222219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341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345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173" t="s">
        <v>46</v>
      </c>
      <c r="D51" s="173" t="s">
        <v>47</v>
      </c>
      <c r="E51" s="173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173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310</v>
      </c>
      <c r="B52" s="383"/>
      <c r="C52" s="175" t="s">
        <v>129</v>
      </c>
      <c r="D52" s="175" t="s">
        <v>117</v>
      </c>
      <c r="E52" s="175" t="s">
        <v>304</v>
      </c>
      <c r="F52" s="384" t="s">
        <v>329</v>
      </c>
      <c r="G52" s="385"/>
      <c r="H52" s="385"/>
      <c r="I52" s="385"/>
      <c r="J52" s="385"/>
      <c r="K52" s="385"/>
      <c r="L52" s="385"/>
      <c r="M52" s="386"/>
      <c r="N52" s="174" t="s">
        <v>310</v>
      </c>
      <c r="O52" s="180" t="s">
        <v>227</v>
      </c>
      <c r="P52" s="389" t="s">
        <v>331</v>
      </c>
      <c r="Q52" s="390"/>
      <c r="R52" s="383" t="s">
        <v>332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310</v>
      </c>
      <c r="B53" s="383"/>
      <c r="C53" s="175" t="s">
        <v>227</v>
      </c>
      <c r="D53" s="175" t="s">
        <v>331</v>
      </c>
      <c r="E53" s="175" t="s">
        <v>332</v>
      </c>
      <c r="F53" s="384" t="s">
        <v>342</v>
      </c>
      <c r="G53" s="385"/>
      <c r="H53" s="385"/>
      <c r="I53" s="385"/>
      <c r="J53" s="385"/>
      <c r="K53" s="385"/>
      <c r="L53" s="385"/>
      <c r="M53" s="386"/>
      <c r="N53" s="174" t="s">
        <v>114</v>
      </c>
      <c r="O53" s="180" t="s">
        <v>176</v>
      </c>
      <c r="P53" s="389" t="s">
        <v>117</v>
      </c>
      <c r="Q53" s="390"/>
      <c r="R53" s="383" t="s">
        <v>228</v>
      </c>
      <c r="S53" s="383"/>
      <c r="T53" s="383"/>
      <c r="U53" s="383"/>
      <c r="V53" s="387" t="s">
        <v>243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310</v>
      </c>
      <c r="B54" s="383"/>
      <c r="C54" s="175" t="s">
        <v>189</v>
      </c>
      <c r="D54" s="175" t="s">
        <v>120</v>
      </c>
      <c r="E54" s="175" t="s">
        <v>333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174" t="s">
        <v>114</v>
      </c>
      <c r="O54" s="180" t="s">
        <v>171</v>
      </c>
      <c r="P54" s="389" t="s">
        <v>117</v>
      </c>
      <c r="Q54" s="390"/>
      <c r="R54" s="383" t="s">
        <v>346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175"/>
      <c r="D55" s="175"/>
      <c r="E55" s="175"/>
      <c r="F55" s="384"/>
      <c r="G55" s="385"/>
      <c r="H55" s="385"/>
      <c r="I55" s="385"/>
      <c r="J55" s="385"/>
      <c r="K55" s="385"/>
      <c r="L55" s="385"/>
      <c r="M55" s="386"/>
      <c r="N55" s="174"/>
      <c r="O55" s="180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75"/>
      <c r="D56" s="175"/>
      <c r="E56" s="175"/>
      <c r="F56" s="384"/>
      <c r="G56" s="385"/>
      <c r="H56" s="385"/>
      <c r="I56" s="385"/>
      <c r="J56" s="385"/>
      <c r="K56" s="385"/>
      <c r="L56" s="385"/>
      <c r="M56" s="386"/>
      <c r="N56" s="174"/>
      <c r="O56" s="180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75"/>
      <c r="D57" s="175"/>
      <c r="E57" s="175"/>
      <c r="F57" s="384"/>
      <c r="G57" s="385"/>
      <c r="H57" s="385"/>
      <c r="I57" s="385"/>
      <c r="J57" s="385"/>
      <c r="K57" s="385"/>
      <c r="L57" s="385"/>
      <c r="M57" s="386"/>
      <c r="N57" s="174"/>
      <c r="O57" s="180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75"/>
      <c r="D58" s="175"/>
      <c r="E58" s="175"/>
      <c r="F58" s="384"/>
      <c r="G58" s="385"/>
      <c r="H58" s="385"/>
      <c r="I58" s="385"/>
      <c r="J58" s="385"/>
      <c r="K58" s="385"/>
      <c r="L58" s="385"/>
      <c r="M58" s="386"/>
      <c r="N58" s="174"/>
      <c r="O58" s="180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75"/>
      <c r="D59" s="175"/>
      <c r="E59" s="175"/>
      <c r="F59" s="384"/>
      <c r="G59" s="385"/>
      <c r="H59" s="385"/>
      <c r="I59" s="385"/>
      <c r="J59" s="385"/>
      <c r="K59" s="385"/>
      <c r="L59" s="385"/>
      <c r="M59" s="386"/>
      <c r="N59" s="174"/>
      <c r="O59" s="180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175"/>
      <c r="D60" s="175"/>
      <c r="E60" s="175"/>
      <c r="F60" s="384"/>
      <c r="G60" s="385"/>
      <c r="H60" s="385"/>
      <c r="I60" s="385"/>
      <c r="J60" s="385"/>
      <c r="K60" s="385"/>
      <c r="L60" s="385"/>
      <c r="M60" s="386"/>
      <c r="N60" s="174"/>
      <c r="O60" s="180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177"/>
      <c r="D61" s="177"/>
      <c r="E61" s="177"/>
      <c r="F61" s="393"/>
      <c r="G61" s="393"/>
      <c r="H61" s="393"/>
      <c r="I61" s="393"/>
      <c r="J61" s="393"/>
      <c r="K61" s="393"/>
      <c r="L61" s="393"/>
      <c r="M61" s="394"/>
      <c r="N61" s="176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344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178" t="s">
        <v>2</v>
      </c>
      <c r="D63" s="178" t="s">
        <v>37</v>
      </c>
      <c r="E63" s="178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178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118</v>
      </c>
      <c r="D64" s="182"/>
      <c r="E64" s="179" t="s">
        <v>267</v>
      </c>
      <c r="F64" s="406" t="s">
        <v>343</v>
      </c>
      <c r="G64" s="407"/>
      <c r="H64" s="407"/>
      <c r="I64" s="407"/>
      <c r="J64" s="407"/>
      <c r="K64" s="407">
        <v>7301</v>
      </c>
      <c r="L64" s="407"/>
      <c r="M64" s="51" t="s">
        <v>323</v>
      </c>
      <c r="N64" s="408" t="s">
        <v>171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/>
      <c r="D65" s="182"/>
      <c r="E65" s="179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182"/>
      <c r="E66" s="179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182"/>
      <c r="E67" s="179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182"/>
      <c r="E68" s="179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182"/>
      <c r="E69" s="179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182"/>
      <c r="E70" s="179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182"/>
      <c r="E71" s="179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347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181" t="s">
        <v>2</v>
      </c>
      <c r="D73" s="181" t="s">
        <v>37</v>
      </c>
      <c r="E73" s="181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183" t="s">
        <v>114</v>
      </c>
      <c r="D74" s="183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182"/>
      <c r="D75" s="182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20">A75+1</f>
        <v>3</v>
      </c>
      <c r="B76" s="419"/>
      <c r="C76" s="182"/>
      <c r="D76" s="182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20"/>
        <v>4</v>
      </c>
      <c r="B77" s="419"/>
      <c r="C77" s="182"/>
      <c r="D77" s="182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0"/>
        <v>5</v>
      </c>
      <c r="B78" s="419"/>
      <c r="C78" s="182"/>
      <c r="D78" s="182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0"/>
        <v>6</v>
      </c>
      <c r="B79" s="419"/>
      <c r="C79" s="182"/>
      <c r="D79" s="182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0"/>
        <v>7</v>
      </c>
      <c r="B80" s="419"/>
      <c r="C80" s="182"/>
      <c r="D80" s="182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0"/>
        <v>8</v>
      </c>
      <c r="B81" s="419"/>
      <c r="C81" s="182"/>
      <c r="D81" s="182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0"/>
        <v>9</v>
      </c>
      <c r="B82" s="419"/>
      <c r="C82" s="182"/>
      <c r="D82" s="182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348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47C6-6DAE-4292-981D-857DB2FE368F}">
  <sheetPr codeName="Sheet13">
    <pageSetUpPr fitToPage="1"/>
  </sheetPr>
  <dimension ref="A1:AF86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349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95" t="s">
        <v>17</v>
      </c>
      <c r="L5" s="195" t="s">
        <v>18</v>
      </c>
      <c r="M5" s="195" t="s">
        <v>19</v>
      </c>
      <c r="N5" s="19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0.36666666666666659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0.36666666666666659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190</v>
      </c>
      <c r="E8" s="53" t="s">
        <v>260</v>
      </c>
      <c r="F8" s="30" t="s">
        <v>200</v>
      </c>
      <c r="G8" s="33">
        <v>1</v>
      </c>
      <c r="H8" s="35">
        <v>24</v>
      </c>
      <c r="I8" s="7">
        <v>3000</v>
      </c>
      <c r="J8" s="5">
        <v>5524</v>
      </c>
      <c r="K8" s="15">
        <f>L8+3931+2013</f>
        <v>5944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0.36666666666666659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133</v>
      </c>
      <c r="E9" s="53" t="s">
        <v>199</v>
      </c>
      <c r="F9" s="30" t="s">
        <v>124</v>
      </c>
      <c r="G9" s="33">
        <v>1</v>
      </c>
      <c r="H9" s="35">
        <v>24</v>
      </c>
      <c r="I9" s="7">
        <v>48000</v>
      </c>
      <c r="J9" s="14">
        <v>5524</v>
      </c>
      <c r="K9" s="15">
        <f>L9+3704+6207+5519+3575+5715+4182+2518+3416+5111</f>
        <v>45471</v>
      </c>
      <c r="L9" s="15">
        <f>2902+2622</f>
        <v>5524</v>
      </c>
      <c r="M9" s="15">
        <f t="shared" si="1"/>
        <v>5524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0.36666666666666659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2</v>
      </c>
      <c r="H10" s="35">
        <v>24</v>
      </c>
      <c r="I10" s="7">
        <v>75000</v>
      </c>
      <c r="J10" s="5">
        <v>6924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0.36666666666666659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0.36666666666666659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118</v>
      </c>
      <c r="D12" s="52" t="s">
        <v>319</v>
      </c>
      <c r="E12" s="53" t="s">
        <v>318</v>
      </c>
      <c r="F12" s="30" t="s">
        <v>116</v>
      </c>
      <c r="G12" s="33">
        <v>1</v>
      </c>
      <c r="H12" s="35">
        <v>20</v>
      </c>
      <c r="I12" s="7">
        <v>15000</v>
      </c>
      <c r="J12" s="14">
        <v>6080</v>
      </c>
      <c r="K12" s="15">
        <f>L12+5229+4986</f>
        <v>16295</v>
      </c>
      <c r="L12" s="15">
        <f>2928+3152</f>
        <v>6080</v>
      </c>
      <c r="M12" s="15">
        <f t="shared" si="1"/>
        <v>6080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0.36666666666666659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310</v>
      </c>
      <c r="D13" s="52" t="s">
        <v>117</v>
      </c>
      <c r="E13" s="53" t="s">
        <v>304</v>
      </c>
      <c r="F13" s="30" t="s">
        <v>124</v>
      </c>
      <c r="G13" s="33">
        <v>1</v>
      </c>
      <c r="H13" s="35">
        <v>24</v>
      </c>
      <c r="I13" s="7">
        <v>1200</v>
      </c>
      <c r="J13" s="14">
        <v>1300</v>
      </c>
      <c r="K13" s="15">
        <f>L13+1462</f>
        <v>2762</v>
      </c>
      <c r="L13" s="15">
        <f>643+657</f>
        <v>1300</v>
      </c>
      <c r="M13" s="15">
        <f t="shared" si="1"/>
        <v>1300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0.36666666666666659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151</v>
      </c>
      <c r="K14" s="15">
        <f>L14</f>
        <v>151</v>
      </c>
      <c r="L14" s="15">
        <v>151</v>
      </c>
      <c r="M14" s="15">
        <f t="shared" si="1"/>
        <v>151</v>
      </c>
      <c r="N14" s="15">
        <v>0</v>
      </c>
      <c r="O14" s="58">
        <f t="shared" si="2"/>
        <v>0</v>
      </c>
      <c r="P14" s="39">
        <f t="shared" si="3"/>
        <v>5</v>
      </c>
      <c r="Q14" s="40">
        <f t="shared" si="4"/>
        <v>19</v>
      </c>
      <c r="R14" s="7"/>
      <c r="S14" s="6">
        <v>6</v>
      </c>
      <c r="T14" s="16"/>
      <c r="U14" s="16"/>
      <c r="V14" s="17">
        <v>13</v>
      </c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0.20833333333333334</v>
      </c>
      <c r="AD14" s="10">
        <f t="shared" si="7"/>
        <v>0.20833333333333334</v>
      </c>
      <c r="AE14" s="36">
        <f t="shared" si="8"/>
        <v>0.36666666666666659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0.36666666666666659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310</v>
      </c>
      <c r="D16" s="52" t="s">
        <v>120</v>
      </c>
      <c r="E16" s="53" t="s">
        <v>333</v>
      </c>
      <c r="F16" s="12" t="s">
        <v>340</v>
      </c>
      <c r="G16" s="12">
        <v>1</v>
      </c>
      <c r="H16" s="13">
        <v>24</v>
      </c>
      <c r="I16" s="7">
        <v>12000</v>
      </c>
      <c r="J16" s="14">
        <v>4858</v>
      </c>
      <c r="K16" s="15">
        <f>L16+4488</f>
        <v>9346</v>
      </c>
      <c r="L16" s="15">
        <f>2328+2530</f>
        <v>4858</v>
      </c>
      <c r="M16" s="15">
        <f t="shared" si="1"/>
        <v>4858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0.36666666666666659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0.36666666666666659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346</v>
      </c>
      <c r="F18" s="30" t="s">
        <v>126</v>
      </c>
      <c r="G18" s="33">
        <v>1</v>
      </c>
      <c r="H18" s="35">
        <v>24</v>
      </c>
      <c r="I18" s="7">
        <v>500</v>
      </c>
      <c r="J18" s="5">
        <v>621</v>
      </c>
      <c r="K18" s="15">
        <f>L18</f>
        <v>621</v>
      </c>
      <c r="L18" s="15">
        <f>621</f>
        <v>621</v>
      </c>
      <c r="M18" s="15">
        <f t="shared" si="1"/>
        <v>621</v>
      </c>
      <c r="N18" s="15">
        <v>0</v>
      </c>
      <c r="O18" s="58">
        <f t="shared" si="2"/>
        <v>0</v>
      </c>
      <c r="P18" s="39">
        <f t="shared" si="3"/>
        <v>11</v>
      </c>
      <c r="Q18" s="40">
        <f t="shared" si="4"/>
        <v>13</v>
      </c>
      <c r="R18" s="7"/>
      <c r="S18" s="6"/>
      <c r="T18" s="16"/>
      <c r="U18" s="16"/>
      <c r="V18" s="17"/>
      <c r="W18" s="5">
        <v>13</v>
      </c>
      <c r="X18" s="16"/>
      <c r="Y18" s="16"/>
      <c r="Z18" s="16"/>
      <c r="AA18" s="18"/>
      <c r="AB18" s="8">
        <f t="shared" si="5"/>
        <v>1</v>
      </c>
      <c r="AC18" s="9">
        <f t="shared" si="6"/>
        <v>0.45833333333333331</v>
      </c>
      <c r="AD18" s="10">
        <f>AC18*AB18*(1-O18)</f>
        <v>0.45833333333333331</v>
      </c>
      <c r="AE18" s="36">
        <f t="shared" si="8"/>
        <v>0.36666666666666659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v>48000</v>
      </c>
      <c r="J19" s="5">
        <v>3807</v>
      </c>
      <c r="K19" s="15">
        <f>L19+4490+5516+5079+4632+5428+5727+5954</f>
        <v>40633</v>
      </c>
      <c r="L19" s="15">
        <f>801+3006</f>
        <v>3807</v>
      </c>
      <c r="M19" s="15">
        <f t="shared" si="1"/>
        <v>3807</v>
      </c>
      <c r="N19" s="15">
        <v>0</v>
      </c>
      <c r="O19" s="58">
        <f t="shared" si="2"/>
        <v>0</v>
      </c>
      <c r="P19" s="39">
        <f t="shared" si="3"/>
        <v>20</v>
      </c>
      <c r="Q19" s="40">
        <f t="shared" si="4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0.83333333333333337</v>
      </c>
      <c r="AD19" s="10">
        <f>AC19*AB19*(1-O19)</f>
        <v>0.83333333333333337</v>
      </c>
      <c r="AE19" s="36">
        <f t="shared" si="8"/>
        <v>0.36666666666666659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120000</v>
      </c>
      <c r="J20" s="14">
        <v>40652</v>
      </c>
      <c r="K20" s="15">
        <f>L20+41804+44516+40768</f>
        <v>167740</v>
      </c>
      <c r="L20" s="15">
        <f>10163*4</f>
        <v>40652</v>
      </c>
      <c r="M20" s="15">
        <f t="shared" si="1"/>
        <v>40652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0.36666666666666659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341050</v>
      </c>
      <c r="J21" s="19">
        <f t="shared" si="10"/>
        <v>80534</v>
      </c>
      <c r="K21" s="20">
        <f t="shared" si="10"/>
        <v>307664</v>
      </c>
      <c r="L21" s="21">
        <f t="shared" si="10"/>
        <v>62993</v>
      </c>
      <c r="M21" s="20">
        <f t="shared" si="10"/>
        <v>62993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132</v>
      </c>
      <c r="Q21" s="43">
        <f t="shared" si="11"/>
        <v>228</v>
      </c>
      <c r="R21" s="23">
        <f t="shared" si="11"/>
        <v>24</v>
      </c>
      <c r="S21" s="24">
        <f t="shared" si="11"/>
        <v>34</v>
      </c>
      <c r="T21" s="24">
        <f t="shared" si="11"/>
        <v>0</v>
      </c>
      <c r="U21" s="24">
        <f t="shared" si="11"/>
        <v>0</v>
      </c>
      <c r="V21" s="25">
        <f t="shared" si="11"/>
        <v>23</v>
      </c>
      <c r="W21" s="26">
        <f t="shared" si="11"/>
        <v>147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0.53333333333333333</v>
      </c>
      <c r="AC21" s="4">
        <f>SUM(AC6:AC20)/15</f>
        <v>0.36666666666666659</v>
      </c>
      <c r="AD21" s="4">
        <f>SUM(AD6:AD20)/15</f>
        <v>0.36666666666666659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352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355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94" t="s">
        <v>46</v>
      </c>
      <c r="D50" s="194" t="s">
        <v>47</v>
      </c>
      <c r="E50" s="194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94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310</v>
      </c>
      <c r="B51" s="383"/>
      <c r="C51" s="191" t="s">
        <v>129</v>
      </c>
      <c r="D51" s="191" t="s">
        <v>117</v>
      </c>
      <c r="E51" s="191" t="s">
        <v>304</v>
      </c>
      <c r="F51" s="384" t="s">
        <v>353</v>
      </c>
      <c r="G51" s="385"/>
      <c r="H51" s="385"/>
      <c r="I51" s="385"/>
      <c r="J51" s="385"/>
      <c r="K51" s="385"/>
      <c r="L51" s="385"/>
      <c r="M51" s="386"/>
      <c r="N51" s="190" t="s">
        <v>310</v>
      </c>
      <c r="O51" s="188" t="s">
        <v>227</v>
      </c>
      <c r="P51" s="389" t="s">
        <v>331</v>
      </c>
      <c r="Q51" s="390"/>
      <c r="R51" s="383" t="s">
        <v>332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114</v>
      </c>
      <c r="B52" s="383"/>
      <c r="C52" s="191" t="s">
        <v>354</v>
      </c>
      <c r="D52" s="191" t="s">
        <v>117</v>
      </c>
      <c r="E52" s="191" t="s">
        <v>350</v>
      </c>
      <c r="F52" s="384" t="s">
        <v>353</v>
      </c>
      <c r="G52" s="385"/>
      <c r="H52" s="385"/>
      <c r="I52" s="385"/>
      <c r="J52" s="385"/>
      <c r="K52" s="385"/>
      <c r="L52" s="385"/>
      <c r="M52" s="386"/>
      <c r="N52" s="190" t="s">
        <v>310</v>
      </c>
      <c r="O52" s="188" t="s">
        <v>161</v>
      </c>
      <c r="P52" s="389" t="s">
        <v>356</v>
      </c>
      <c r="Q52" s="390"/>
      <c r="R52" s="383" t="s">
        <v>357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191" t="s">
        <v>171</v>
      </c>
      <c r="D53" s="191" t="s">
        <v>117</v>
      </c>
      <c r="E53" s="191" t="s">
        <v>346</v>
      </c>
      <c r="F53" s="384" t="s">
        <v>123</v>
      </c>
      <c r="G53" s="385"/>
      <c r="H53" s="385"/>
      <c r="I53" s="385"/>
      <c r="J53" s="385"/>
      <c r="K53" s="385"/>
      <c r="L53" s="385"/>
      <c r="M53" s="386"/>
      <c r="N53" s="190" t="s">
        <v>128</v>
      </c>
      <c r="O53" s="188" t="s">
        <v>139</v>
      </c>
      <c r="P53" s="389" t="s">
        <v>125</v>
      </c>
      <c r="Q53" s="390"/>
      <c r="R53" s="383" t="s">
        <v>358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191" t="s">
        <v>176</v>
      </c>
      <c r="D54" s="191" t="s">
        <v>117</v>
      </c>
      <c r="E54" s="191" t="s">
        <v>228</v>
      </c>
      <c r="F54" s="384" t="s">
        <v>243</v>
      </c>
      <c r="G54" s="385"/>
      <c r="H54" s="385"/>
      <c r="I54" s="385"/>
      <c r="J54" s="385"/>
      <c r="K54" s="385"/>
      <c r="L54" s="385"/>
      <c r="M54" s="386"/>
      <c r="N54" s="190" t="s">
        <v>128</v>
      </c>
      <c r="O54" s="188" t="s">
        <v>158</v>
      </c>
      <c r="P54" s="389" t="s">
        <v>327</v>
      </c>
      <c r="Q54" s="390"/>
      <c r="R54" s="383" t="s">
        <v>359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191"/>
      <c r="D55" s="191"/>
      <c r="E55" s="191"/>
      <c r="F55" s="384"/>
      <c r="G55" s="385"/>
      <c r="H55" s="385"/>
      <c r="I55" s="385"/>
      <c r="J55" s="385"/>
      <c r="K55" s="385"/>
      <c r="L55" s="385"/>
      <c r="M55" s="386"/>
      <c r="N55" s="190" t="s">
        <v>114</v>
      </c>
      <c r="O55" s="188" t="s">
        <v>171</v>
      </c>
      <c r="P55" s="389" t="s">
        <v>133</v>
      </c>
      <c r="Q55" s="390"/>
      <c r="R55" s="383" t="s">
        <v>188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91"/>
      <c r="D56" s="191"/>
      <c r="E56" s="191"/>
      <c r="F56" s="384"/>
      <c r="G56" s="385"/>
      <c r="H56" s="385"/>
      <c r="I56" s="385"/>
      <c r="J56" s="385"/>
      <c r="K56" s="385"/>
      <c r="L56" s="385"/>
      <c r="M56" s="386"/>
      <c r="N56" s="190"/>
      <c r="O56" s="188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91"/>
      <c r="D57" s="191"/>
      <c r="E57" s="191"/>
      <c r="F57" s="384"/>
      <c r="G57" s="385"/>
      <c r="H57" s="385"/>
      <c r="I57" s="385"/>
      <c r="J57" s="385"/>
      <c r="K57" s="385"/>
      <c r="L57" s="385"/>
      <c r="M57" s="386"/>
      <c r="N57" s="190"/>
      <c r="O57" s="188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91"/>
      <c r="D58" s="191"/>
      <c r="E58" s="191"/>
      <c r="F58" s="384"/>
      <c r="G58" s="385"/>
      <c r="H58" s="385"/>
      <c r="I58" s="385"/>
      <c r="J58" s="385"/>
      <c r="K58" s="385"/>
      <c r="L58" s="385"/>
      <c r="M58" s="386"/>
      <c r="N58" s="190"/>
      <c r="O58" s="188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91"/>
      <c r="D59" s="191"/>
      <c r="E59" s="191"/>
      <c r="F59" s="384"/>
      <c r="G59" s="385"/>
      <c r="H59" s="385"/>
      <c r="I59" s="385"/>
      <c r="J59" s="385"/>
      <c r="K59" s="385"/>
      <c r="L59" s="385"/>
      <c r="M59" s="386"/>
      <c r="N59" s="190"/>
      <c r="O59" s="188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193"/>
      <c r="D60" s="193"/>
      <c r="E60" s="193"/>
      <c r="F60" s="393"/>
      <c r="G60" s="393"/>
      <c r="H60" s="393"/>
      <c r="I60" s="393"/>
      <c r="J60" s="393"/>
      <c r="K60" s="393"/>
      <c r="L60" s="393"/>
      <c r="M60" s="394"/>
      <c r="N60" s="192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360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189" t="s">
        <v>2</v>
      </c>
      <c r="D62" s="189" t="s">
        <v>37</v>
      </c>
      <c r="E62" s="189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189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114</v>
      </c>
      <c r="D63" s="184"/>
      <c r="E63" s="187" t="s">
        <v>127</v>
      </c>
      <c r="F63" s="406" t="s">
        <v>361</v>
      </c>
      <c r="G63" s="407"/>
      <c r="H63" s="407"/>
      <c r="I63" s="407"/>
      <c r="J63" s="407"/>
      <c r="K63" s="407" t="s">
        <v>313</v>
      </c>
      <c r="L63" s="407"/>
      <c r="M63" s="51" t="s">
        <v>323</v>
      </c>
      <c r="N63" s="408" t="s">
        <v>168</v>
      </c>
      <c r="O63" s="408"/>
      <c r="P63" s="409">
        <v>50</v>
      </c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184"/>
      <c r="E64" s="187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184"/>
      <c r="E65" s="187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184"/>
      <c r="E66" s="187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184"/>
      <c r="E67" s="187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184"/>
      <c r="E68" s="187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184"/>
      <c r="E69" s="187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184"/>
      <c r="E70" s="187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362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186" t="s">
        <v>2</v>
      </c>
      <c r="D72" s="186" t="s">
        <v>37</v>
      </c>
      <c r="E72" s="186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185" t="s">
        <v>114</v>
      </c>
      <c r="D73" s="185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184"/>
      <c r="D74" s="184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184"/>
      <c r="D75" s="184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184"/>
      <c r="D76" s="184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184"/>
      <c r="D77" s="184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184"/>
      <c r="D78" s="184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184"/>
      <c r="D79" s="184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184"/>
      <c r="D80" s="184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184"/>
      <c r="D81" s="184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363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6C7-6605-434C-BF94-D42F75F26D8B}">
  <sheetPr codeName="Sheet14">
    <pageSetUpPr fitToPage="1"/>
  </sheetPr>
  <dimension ref="A1:AF86"/>
  <sheetViews>
    <sheetView topLeftCell="A40" zoomScale="72" zoomScaleNormal="72" zoomScaleSheetLayoutView="70" workbookViewId="0">
      <selection activeCell="C63" sqref="C63:Q6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364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196" t="s">
        <v>17</v>
      </c>
      <c r="L5" s="196" t="s">
        <v>18</v>
      </c>
      <c r="M5" s="196" t="s">
        <v>19</v>
      </c>
      <c r="N5" s="19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0.39166666666666666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0.39166666666666666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358</v>
      </c>
      <c r="F8" s="30" t="s">
        <v>126</v>
      </c>
      <c r="G8" s="33">
        <v>1</v>
      </c>
      <c r="H8" s="35">
        <v>24</v>
      </c>
      <c r="I8" s="7">
        <v>62000</v>
      </c>
      <c r="J8" s="5">
        <v>3980</v>
      </c>
      <c r="K8" s="15">
        <f>L8</f>
        <v>3980</v>
      </c>
      <c r="L8" s="15">
        <f>1087+2893</f>
        <v>3980</v>
      </c>
      <c r="M8" s="15">
        <f t="shared" si="1"/>
        <v>3980</v>
      </c>
      <c r="N8" s="15">
        <v>0</v>
      </c>
      <c r="O8" s="58">
        <f t="shared" si="2"/>
        <v>0</v>
      </c>
      <c r="P8" s="39">
        <f t="shared" si="3"/>
        <v>20</v>
      </c>
      <c r="Q8" s="40">
        <f t="shared" si="4"/>
        <v>4</v>
      </c>
      <c r="R8" s="7"/>
      <c r="S8" s="6"/>
      <c r="T8" s="16">
        <v>4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0.83333333333333337</v>
      </c>
      <c r="AD8" s="10">
        <f t="shared" si="7"/>
        <v>0.83333333333333337</v>
      </c>
      <c r="AE8" s="36">
        <f t="shared" si="8"/>
        <v>0.39166666666666666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2483</v>
      </c>
      <c r="K9" s="15">
        <f>L9</f>
        <v>2483</v>
      </c>
      <c r="L9" s="15">
        <f>2483</f>
        <v>2483</v>
      </c>
      <c r="M9" s="15">
        <f t="shared" si="1"/>
        <v>2483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/>
      <c r="T9" s="16">
        <v>6</v>
      </c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0.39166666666666666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2</v>
      </c>
      <c r="H10" s="35">
        <v>24</v>
      </c>
      <c r="I10" s="7">
        <v>75000</v>
      </c>
      <c r="J10" s="5">
        <v>6924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0.39166666666666666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0.39166666666666666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2858</v>
      </c>
      <c r="K12" s="15">
        <f>L12</f>
        <v>2858</v>
      </c>
      <c r="L12" s="15">
        <f>1094+1764</f>
        <v>2858</v>
      </c>
      <c r="M12" s="15">
        <f t="shared" si="1"/>
        <v>2858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si="7"/>
        <v>0.75</v>
      </c>
      <c r="AE12" s="36">
        <f t="shared" si="8"/>
        <v>0.39166666666666666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310</v>
      </c>
      <c r="D13" s="52" t="s">
        <v>117</v>
      </c>
      <c r="E13" s="53" t="s">
        <v>304</v>
      </c>
      <c r="F13" s="30" t="s">
        <v>124</v>
      </c>
      <c r="G13" s="33">
        <v>1</v>
      </c>
      <c r="H13" s="35">
        <v>24</v>
      </c>
      <c r="I13" s="7">
        <v>1200</v>
      </c>
      <c r="J13" s="14">
        <v>1300</v>
      </c>
      <c r="K13" s="15">
        <f>L13+1462+1300+500</f>
        <v>3262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0.39166666666666666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399</v>
      </c>
      <c r="K14" s="15">
        <f>L14</f>
        <v>399</v>
      </c>
      <c r="L14" s="15">
        <v>399</v>
      </c>
      <c r="M14" s="15">
        <f t="shared" si="1"/>
        <v>399</v>
      </c>
      <c r="N14" s="15">
        <v>0</v>
      </c>
      <c r="O14" s="58">
        <f t="shared" si="2"/>
        <v>0</v>
      </c>
      <c r="P14" s="39">
        <f t="shared" si="3"/>
        <v>20</v>
      </c>
      <c r="Q14" s="40">
        <f t="shared" si="4"/>
        <v>4</v>
      </c>
      <c r="R14" s="7"/>
      <c r="S14" s="6">
        <v>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0.83333333333333337</v>
      </c>
      <c r="AD14" s="10">
        <f t="shared" si="7"/>
        <v>0.83333333333333337</v>
      </c>
      <c r="AE14" s="36">
        <f t="shared" si="8"/>
        <v>0.39166666666666666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0.39166666666666666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310</v>
      </c>
      <c r="D16" s="52" t="s">
        <v>120</v>
      </c>
      <c r="E16" s="53" t="s">
        <v>333</v>
      </c>
      <c r="F16" s="12" t="s">
        <v>340</v>
      </c>
      <c r="G16" s="12">
        <v>1</v>
      </c>
      <c r="H16" s="13">
        <v>24</v>
      </c>
      <c r="I16" s="7">
        <v>12000</v>
      </c>
      <c r="J16" s="14">
        <v>3496</v>
      </c>
      <c r="K16" s="15">
        <f>L16+4488+4858</f>
        <v>12842</v>
      </c>
      <c r="L16" s="15">
        <f>989+2507</f>
        <v>3496</v>
      </c>
      <c r="M16" s="15">
        <f t="shared" si="1"/>
        <v>3496</v>
      </c>
      <c r="N16" s="15">
        <v>0</v>
      </c>
      <c r="O16" s="58">
        <f t="shared" si="2"/>
        <v>0</v>
      </c>
      <c r="P16" s="39">
        <f t="shared" si="3"/>
        <v>19</v>
      </c>
      <c r="Q16" s="40">
        <f t="shared" si="4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0.79166666666666663</v>
      </c>
      <c r="AD16" s="10">
        <f t="shared" si="7"/>
        <v>0.79166666666666663</v>
      </c>
      <c r="AE16" s="36">
        <f t="shared" si="8"/>
        <v>0.39166666666666666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0.39166666666666666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4136</v>
      </c>
      <c r="K18" s="15">
        <f>L18</f>
        <v>4136</v>
      </c>
      <c r="L18" s="15">
        <f>1315+2821</f>
        <v>4136</v>
      </c>
      <c r="M18" s="15">
        <f t="shared" si="1"/>
        <v>4136</v>
      </c>
      <c r="N18" s="15">
        <v>0</v>
      </c>
      <c r="O18" s="58">
        <f t="shared" si="2"/>
        <v>0</v>
      </c>
      <c r="P18" s="39">
        <f t="shared" si="3"/>
        <v>22</v>
      </c>
      <c r="Q18" s="40">
        <f t="shared" si="4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0.91666666666666663</v>
      </c>
      <c r="AD18" s="10">
        <f>AC18*AB18*(1-O18)</f>
        <v>0.91666666666666663</v>
      </c>
      <c r="AE18" s="36">
        <f t="shared" si="8"/>
        <v>0.39166666666666666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v>48000</v>
      </c>
      <c r="J19" s="5">
        <v>5671</v>
      </c>
      <c r="K19" s="15">
        <f>L19+4490+5516+5079+4632+5428+5727+5954+3807</f>
        <v>46304</v>
      </c>
      <c r="L19" s="15">
        <f>2674+2997</f>
        <v>5671</v>
      </c>
      <c r="M19" s="15">
        <f t="shared" si="1"/>
        <v>5671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0.39166666666666666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120000</v>
      </c>
      <c r="J20" s="14">
        <v>40652</v>
      </c>
      <c r="K20" s="15">
        <f>L20+41804+44516+40768+40652</f>
        <v>167740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0.39166666666666666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440550</v>
      </c>
      <c r="J21" s="19">
        <f t="shared" si="10"/>
        <v>76992</v>
      </c>
      <c r="K21" s="20">
        <f t="shared" si="10"/>
        <v>262705</v>
      </c>
      <c r="L21" s="21">
        <f t="shared" si="10"/>
        <v>23023</v>
      </c>
      <c r="M21" s="20">
        <f t="shared" si="10"/>
        <v>23023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141</v>
      </c>
      <c r="Q21" s="43">
        <f t="shared" si="11"/>
        <v>219</v>
      </c>
      <c r="R21" s="23">
        <f t="shared" si="11"/>
        <v>24</v>
      </c>
      <c r="S21" s="24">
        <f t="shared" si="11"/>
        <v>39</v>
      </c>
      <c r="T21" s="24">
        <f t="shared" si="11"/>
        <v>12</v>
      </c>
      <c r="U21" s="24">
        <f t="shared" si="11"/>
        <v>0</v>
      </c>
      <c r="V21" s="25">
        <f t="shared" si="11"/>
        <v>0</v>
      </c>
      <c r="W21" s="26">
        <f t="shared" si="11"/>
        <v>144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0.46666666666666667</v>
      </c>
      <c r="AC21" s="4">
        <f>SUM(AC6:AC20)/15</f>
        <v>0.39166666666666666</v>
      </c>
      <c r="AD21" s="4">
        <f>SUM(AD6:AD20)/15</f>
        <v>0.39166666666666666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367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369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197" t="s">
        <v>46</v>
      </c>
      <c r="D50" s="197" t="s">
        <v>47</v>
      </c>
      <c r="E50" s="197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197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310</v>
      </c>
      <c r="B51" s="383"/>
      <c r="C51" s="199" t="s">
        <v>227</v>
      </c>
      <c r="D51" s="199" t="s">
        <v>331</v>
      </c>
      <c r="E51" s="199" t="s">
        <v>332</v>
      </c>
      <c r="F51" s="384" t="s">
        <v>368</v>
      </c>
      <c r="G51" s="385"/>
      <c r="H51" s="385"/>
      <c r="I51" s="385"/>
      <c r="J51" s="385"/>
      <c r="K51" s="385"/>
      <c r="L51" s="385"/>
      <c r="M51" s="386"/>
      <c r="N51" s="198" t="s">
        <v>310</v>
      </c>
      <c r="O51" s="204" t="s">
        <v>227</v>
      </c>
      <c r="P51" s="389" t="s">
        <v>331</v>
      </c>
      <c r="Q51" s="390"/>
      <c r="R51" s="383" t="s">
        <v>332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128</v>
      </c>
      <c r="B52" s="383"/>
      <c r="C52" s="199" t="s">
        <v>139</v>
      </c>
      <c r="D52" s="199" t="s">
        <v>125</v>
      </c>
      <c r="E52" s="199" t="s">
        <v>358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198" t="s">
        <v>128</v>
      </c>
      <c r="O52" s="204" t="s">
        <v>158</v>
      </c>
      <c r="P52" s="389" t="s">
        <v>327</v>
      </c>
      <c r="Q52" s="390"/>
      <c r="R52" s="383" t="s">
        <v>359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128</v>
      </c>
      <c r="B53" s="383"/>
      <c r="C53" s="199" t="s">
        <v>158</v>
      </c>
      <c r="D53" s="199" t="s">
        <v>327</v>
      </c>
      <c r="E53" s="199" t="s">
        <v>359</v>
      </c>
      <c r="F53" s="384" t="s">
        <v>342</v>
      </c>
      <c r="G53" s="385"/>
      <c r="H53" s="385"/>
      <c r="I53" s="385"/>
      <c r="J53" s="385"/>
      <c r="K53" s="385"/>
      <c r="L53" s="385"/>
      <c r="M53" s="386"/>
      <c r="N53" s="198" t="s">
        <v>114</v>
      </c>
      <c r="O53" s="204" t="s">
        <v>129</v>
      </c>
      <c r="P53" s="389" t="s">
        <v>190</v>
      </c>
      <c r="Q53" s="390"/>
      <c r="R53" s="383" t="s">
        <v>191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199" t="s">
        <v>171</v>
      </c>
      <c r="D54" s="199" t="s">
        <v>133</v>
      </c>
      <c r="E54" s="199" t="s">
        <v>188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198"/>
      <c r="O54" s="204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310</v>
      </c>
      <c r="B55" s="383"/>
      <c r="C55" s="199" t="s">
        <v>161</v>
      </c>
      <c r="D55" s="199" t="s">
        <v>366</v>
      </c>
      <c r="E55" s="199" t="s">
        <v>357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198"/>
      <c r="O55" s="204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199"/>
      <c r="D56" s="199"/>
      <c r="E56" s="199"/>
      <c r="F56" s="384"/>
      <c r="G56" s="385"/>
      <c r="H56" s="385"/>
      <c r="I56" s="385"/>
      <c r="J56" s="385"/>
      <c r="K56" s="385"/>
      <c r="L56" s="385"/>
      <c r="M56" s="386"/>
      <c r="N56" s="198"/>
      <c r="O56" s="204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199"/>
      <c r="D57" s="199"/>
      <c r="E57" s="199"/>
      <c r="F57" s="384"/>
      <c r="G57" s="385"/>
      <c r="H57" s="385"/>
      <c r="I57" s="385"/>
      <c r="J57" s="385"/>
      <c r="K57" s="385"/>
      <c r="L57" s="385"/>
      <c r="M57" s="386"/>
      <c r="N57" s="198"/>
      <c r="O57" s="204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199"/>
      <c r="D58" s="199"/>
      <c r="E58" s="199"/>
      <c r="F58" s="384"/>
      <c r="G58" s="385"/>
      <c r="H58" s="385"/>
      <c r="I58" s="385"/>
      <c r="J58" s="385"/>
      <c r="K58" s="385"/>
      <c r="L58" s="385"/>
      <c r="M58" s="386"/>
      <c r="N58" s="198"/>
      <c r="O58" s="204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199"/>
      <c r="D59" s="199"/>
      <c r="E59" s="199"/>
      <c r="F59" s="384"/>
      <c r="G59" s="385"/>
      <c r="H59" s="385"/>
      <c r="I59" s="385"/>
      <c r="J59" s="385"/>
      <c r="K59" s="385"/>
      <c r="L59" s="385"/>
      <c r="M59" s="386"/>
      <c r="N59" s="198"/>
      <c r="O59" s="204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201"/>
      <c r="D60" s="201"/>
      <c r="E60" s="201"/>
      <c r="F60" s="393"/>
      <c r="G60" s="393"/>
      <c r="H60" s="393"/>
      <c r="I60" s="393"/>
      <c r="J60" s="393"/>
      <c r="K60" s="393"/>
      <c r="L60" s="393"/>
      <c r="M60" s="394"/>
      <c r="N60" s="200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370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202" t="s">
        <v>2</v>
      </c>
      <c r="D62" s="202" t="s">
        <v>37</v>
      </c>
      <c r="E62" s="202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202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233</v>
      </c>
      <c r="D63" s="206"/>
      <c r="E63" s="203" t="s">
        <v>234</v>
      </c>
      <c r="F63" s="406" t="s">
        <v>371</v>
      </c>
      <c r="G63" s="407"/>
      <c r="H63" s="407"/>
      <c r="I63" s="407"/>
      <c r="J63" s="407"/>
      <c r="K63" s="407">
        <v>8301</v>
      </c>
      <c r="L63" s="407"/>
      <c r="M63" s="51" t="s">
        <v>240</v>
      </c>
      <c r="N63" s="408" t="s">
        <v>168</v>
      </c>
      <c r="O63" s="408"/>
      <c r="P63" s="409">
        <v>30</v>
      </c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 t="s">
        <v>114</v>
      </c>
      <c r="D64" s="206"/>
      <c r="E64" s="203" t="s">
        <v>190</v>
      </c>
      <c r="F64" s="406" t="s">
        <v>335</v>
      </c>
      <c r="G64" s="407"/>
      <c r="H64" s="407"/>
      <c r="I64" s="407"/>
      <c r="J64" s="407"/>
      <c r="K64" s="407" t="s">
        <v>200</v>
      </c>
      <c r="L64" s="407"/>
      <c r="M64" s="51" t="s">
        <v>323</v>
      </c>
      <c r="N64" s="408" t="s">
        <v>129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206"/>
      <c r="E65" s="203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206"/>
      <c r="E66" s="203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206"/>
      <c r="E67" s="203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206"/>
      <c r="E68" s="203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206"/>
      <c r="E69" s="203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206"/>
      <c r="E70" s="203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372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205" t="s">
        <v>2</v>
      </c>
      <c r="D72" s="205" t="s">
        <v>37</v>
      </c>
      <c r="E72" s="205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207" t="s">
        <v>114</v>
      </c>
      <c r="D73" s="207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206"/>
      <c r="D74" s="206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206"/>
      <c r="D75" s="206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206"/>
      <c r="D76" s="206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206"/>
      <c r="D77" s="206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206"/>
      <c r="D78" s="206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206"/>
      <c r="D79" s="206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206"/>
      <c r="D80" s="206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206"/>
      <c r="D81" s="206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373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D452-A8C5-4ECB-BB36-6374CC52D337}">
  <sheetPr>
    <pageSetUpPr fitToPage="1"/>
  </sheetPr>
  <dimension ref="A1:AF86"/>
  <sheetViews>
    <sheetView zoomScale="72" zoomScaleNormal="72" zoomScaleSheetLayoutView="70" workbookViewId="0">
      <selection activeCell="T13" sqref="T1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374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19" t="s">
        <v>17</v>
      </c>
      <c r="L5" s="219" t="s">
        <v>18</v>
      </c>
      <c r="M5" s="219" t="s">
        <v>19</v>
      </c>
      <c r="N5" s="2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0.3888888888888889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0.3888888888888889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358</v>
      </c>
      <c r="F8" s="30" t="s">
        <v>126</v>
      </c>
      <c r="G8" s="33">
        <v>1</v>
      </c>
      <c r="H8" s="35">
        <v>24</v>
      </c>
      <c r="I8" s="7">
        <v>62000</v>
      </c>
      <c r="J8" s="5">
        <v>5675</v>
      </c>
      <c r="K8" s="15">
        <f>L8+3980</f>
        <v>9655</v>
      </c>
      <c r="L8" s="15">
        <f>2693+2982</f>
        <v>5675</v>
      </c>
      <c r="M8" s="15">
        <f t="shared" si="1"/>
        <v>5675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0.3888888888888889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2720</v>
      </c>
      <c r="K9" s="15">
        <f>L9+2483</f>
        <v>5203</v>
      </c>
      <c r="L9" s="15">
        <f>235+2485</f>
        <v>2720</v>
      </c>
      <c r="M9" s="15">
        <f t="shared" si="1"/>
        <v>2720</v>
      </c>
      <c r="N9" s="15">
        <v>0</v>
      </c>
      <c r="O9" s="58">
        <f t="shared" si="2"/>
        <v>0</v>
      </c>
      <c r="P9" s="39">
        <f t="shared" si="3"/>
        <v>17</v>
      </c>
      <c r="Q9" s="40">
        <f t="shared" si="4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0.70833333333333337</v>
      </c>
      <c r="AD9" s="10">
        <f t="shared" si="7"/>
        <v>0.70833333333333337</v>
      </c>
      <c r="AE9" s="36">
        <f t="shared" si="8"/>
        <v>0.3888888888888889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2</v>
      </c>
      <c r="H10" s="35">
        <v>24</v>
      </c>
      <c r="I10" s="7">
        <v>75000</v>
      </c>
      <c r="J10" s="5">
        <v>4000</v>
      </c>
      <c r="K10" s="15">
        <f>L10</f>
        <v>4000</v>
      </c>
      <c r="L10" s="15">
        <f>4000</f>
        <v>4000</v>
      </c>
      <c r="M10" s="15">
        <f t="shared" si="1"/>
        <v>4000</v>
      </c>
      <c r="N10" s="15">
        <v>0</v>
      </c>
      <c r="O10" s="58">
        <f t="shared" si="2"/>
        <v>0</v>
      </c>
      <c r="P10" s="39">
        <f t="shared" si="3"/>
        <v>5</v>
      </c>
      <c r="Q10" s="40">
        <f t="shared" si="4"/>
        <v>19</v>
      </c>
      <c r="R10" s="7"/>
      <c r="S10" s="6">
        <v>19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0.20833333333333334</v>
      </c>
      <c r="AD10" s="10">
        <f>AC10*AB10*(1-O10)</f>
        <v>0.20833333333333334</v>
      </c>
      <c r="AE10" s="36">
        <f t="shared" si="8"/>
        <v>0.3888888888888889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0.3888888888888889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3260</v>
      </c>
      <c r="K12" s="15">
        <f>L12+2858</f>
        <v>6118</v>
      </c>
      <c r="L12" s="15">
        <f>2445+815</f>
        <v>3260</v>
      </c>
      <c r="M12" s="15">
        <f t="shared" si="1"/>
        <v>3260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si="7"/>
        <v>0.75</v>
      </c>
      <c r="AE12" s="36">
        <f t="shared" si="8"/>
        <v>0.3888888888888889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190</v>
      </c>
      <c r="E13" s="53" t="s">
        <v>191</v>
      </c>
      <c r="F13" s="30" t="s">
        <v>200</v>
      </c>
      <c r="G13" s="33">
        <v>1</v>
      </c>
      <c r="H13" s="35">
        <v>24</v>
      </c>
      <c r="I13" s="7">
        <v>1200</v>
      </c>
      <c r="J13" s="14">
        <v>1682</v>
      </c>
      <c r="K13" s="15">
        <f>L13</f>
        <v>1682</v>
      </c>
      <c r="L13" s="15">
        <f>1682</f>
        <v>1682</v>
      </c>
      <c r="M13" s="15">
        <f t="shared" si="1"/>
        <v>1682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0.3888888888888889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399</v>
      </c>
      <c r="K14" s="15">
        <f>L14+399</f>
        <v>399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0.3888888888888889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0.3888888888888889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310</v>
      </c>
      <c r="D16" s="52" t="s">
        <v>120</v>
      </c>
      <c r="E16" s="53" t="s">
        <v>333</v>
      </c>
      <c r="F16" s="12" t="s">
        <v>340</v>
      </c>
      <c r="G16" s="12">
        <v>1</v>
      </c>
      <c r="H16" s="13">
        <v>24</v>
      </c>
      <c r="I16" s="7">
        <v>12000</v>
      </c>
      <c r="J16" s="14">
        <v>547</v>
      </c>
      <c r="K16" s="15">
        <f>L16+4488+4858+3496</f>
        <v>13389</v>
      </c>
      <c r="L16" s="15">
        <v>547</v>
      </c>
      <c r="M16" s="15">
        <f t="shared" si="1"/>
        <v>547</v>
      </c>
      <c r="N16" s="15">
        <v>0</v>
      </c>
      <c r="O16" s="58">
        <f t="shared" si="2"/>
        <v>0</v>
      </c>
      <c r="P16" s="39">
        <f t="shared" si="3"/>
        <v>4</v>
      </c>
      <c r="Q16" s="40">
        <f t="shared" si="4"/>
        <v>20</v>
      </c>
      <c r="R16" s="7"/>
      <c r="S16" s="6"/>
      <c r="T16" s="16"/>
      <c r="U16" s="16"/>
      <c r="V16" s="17"/>
      <c r="W16" s="5">
        <v>20</v>
      </c>
      <c r="X16" s="16"/>
      <c r="Y16" s="16"/>
      <c r="Z16" s="16"/>
      <c r="AA16" s="18"/>
      <c r="AB16" s="8">
        <f t="shared" si="5"/>
        <v>1</v>
      </c>
      <c r="AC16" s="9">
        <f t="shared" si="6"/>
        <v>0.16666666666666666</v>
      </c>
      <c r="AD16" s="10">
        <f t="shared" si="7"/>
        <v>0.16666666666666666</v>
      </c>
      <c r="AE16" s="36">
        <f t="shared" si="8"/>
        <v>0.3888888888888889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0.3888888888888889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5310</v>
      </c>
      <c r="K18" s="15">
        <f>L18+4136</f>
        <v>9446</v>
      </c>
      <c r="L18" s="15">
        <f>2551+2759</f>
        <v>5310</v>
      </c>
      <c r="M18" s="15">
        <f t="shared" si="1"/>
        <v>5310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0.3888888888888889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f>48000+42000</f>
        <v>90000</v>
      </c>
      <c r="J19" s="5">
        <v>5681</v>
      </c>
      <c r="K19" s="15">
        <f>L19+4490+5516+5079+4632+5428+5727+5954+3807+5671</f>
        <v>51985</v>
      </c>
      <c r="L19" s="15">
        <f>2717+2964</f>
        <v>5681</v>
      </c>
      <c r="M19" s="15">
        <f t="shared" si="1"/>
        <v>5681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0.3888888888888889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200000</v>
      </c>
      <c r="J20" s="14">
        <v>42368</v>
      </c>
      <c r="K20" s="15">
        <f>L20</f>
        <v>42368</v>
      </c>
      <c r="L20" s="15">
        <f>10592*4</f>
        <v>42368</v>
      </c>
      <c r="M20" s="15">
        <f t="shared" si="1"/>
        <v>42368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0.3888888888888889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562550</v>
      </c>
      <c r="J21" s="19">
        <f t="shared" si="10"/>
        <v>76735</v>
      </c>
      <c r="K21" s="20">
        <f t="shared" si="10"/>
        <v>162946</v>
      </c>
      <c r="L21" s="21">
        <f t="shared" si="10"/>
        <v>71243</v>
      </c>
      <c r="M21" s="20">
        <f t="shared" si="10"/>
        <v>71243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140</v>
      </c>
      <c r="Q21" s="43">
        <f t="shared" si="11"/>
        <v>220</v>
      </c>
      <c r="R21" s="23">
        <f t="shared" si="11"/>
        <v>24</v>
      </c>
      <c r="S21" s="24">
        <f t="shared" si="11"/>
        <v>32</v>
      </c>
      <c r="T21" s="24">
        <f t="shared" si="11"/>
        <v>0</v>
      </c>
      <c r="U21" s="24">
        <f t="shared" si="11"/>
        <v>0</v>
      </c>
      <c r="V21" s="25">
        <f t="shared" si="11"/>
        <v>10</v>
      </c>
      <c r="W21" s="26">
        <f t="shared" si="11"/>
        <v>154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0.6</v>
      </c>
      <c r="AC21" s="4">
        <f>SUM(AC6:AC20)/15</f>
        <v>0.3888888888888889</v>
      </c>
      <c r="AD21" s="4">
        <f>SUM(AD6:AD20)/15</f>
        <v>0.3888888888888889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375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379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218" t="s">
        <v>46</v>
      </c>
      <c r="D50" s="218" t="s">
        <v>47</v>
      </c>
      <c r="E50" s="218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218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310</v>
      </c>
      <c r="B51" s="383"/>
      <c r="C51" s="215" t="s">
        <v>227</v>
      </c>
      <c r="D51" s="215" t="s">
        <v>331</v>
      </c>
      <c r="E51" s="215" t="s">
        <v>332</v>
      </c>
      <c r="F51" s="384" t="s">
        <v>376</v>
      </c>
      <c r="G51" s="385"/>
      <c r="H51" s="385"/>
      <c r="I51" s="385"/>
      <c r="J51" s="385"/>
      <c r="K51" s="385"/>
      <c r="L51" s="385"/>
      <c r="M51" s="386"/>
      <c r="N51" s="214" t="s">
        <v>310</v>
      </c>
      <c r="O51" s="212" t="s">
        <v>227</v>
      </c>
      <c r="P51" s="389" t="s">
        <v>331</v>
      </c>
      <c r="Q51" s="390"/>
      <c r="R51" s="383" t="s">
        <v>332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128</v>
      </c>
      <c r="B52" s="383"/>
      <c r="C52" s="215" t="s">
        <v>158</v>
      </c>
      <c r="D52" s="215" t="s">
        <v>327</v>
      </c>
      <c r="E52" s="215" t="s">
        <v>359</v>
      </c>
      <c r="F52" s="384" t="s">
        <v>174</v>
      </c>
      <c r="G52" s="385"/>
      <c r="H52" s="385"/>
      <c r="I52" s="385"/>
      <c r="J52" s="385"/>
      <c r="K52" s="385"/>
      <c r="L52" s="385"/>
      <c r="M52" s="386"/>
      <c r="N52" s="214" t="s">
        <v>310</v>
      </c>
      <c r="O52" s="212" t="s">
        <v>161</v>
      </c>
      <c r="P52" s="389" t="s">
        <v>366</v>
      </c>
      <c r="Q52" s="390"/>
      <c r="R52" s="383" t="s">
        <v>357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310</v>
      </c>
      <c r="B53" s="383"/>
      <c r="C53" s="215" t="s">
        <v>161</v>
      </c>
      <c r="D53" s="215" t="s">
        <v>366</v>
      </c>
      <c r="E53" s="215" t="s">
        <v>357</v>
      </c>
      <c r="F53" s="384" t="s">
        <v>377</v>
      </c>
      <c r="G53" s="385"/>
      <c r="H53" s="385"/>
      <c r="I53" s="385"/>
      <c r="J53" s="385"/>
      <c r="K53" s="385"/>
      <c r="L53" s="385"/>
      <c r="M53" s="386"/>
      <c r="N53" s="214" t="s">
        <v>128</v>
      </c>
      <c r="O53" s="212" t="s">
        <v>189</v>
      </c>
      <c r="P53" s="389" t="s">
        <v>190</v>
      </c>
      <c r="Q53" s="390"/>
      <c r="R53" s="383" t="s">
        <v>380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215" t="s">
        <v>129</v>
      </c>
      <c r="D54" s="215" t="s">
        <v>190</v>
      </c>
      <c r="E54" s="215" t="s">
        <v>191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214"/>
      <c r="O54" s="212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115</v>
      </c>
      <c r="B55" s="383"/>
      <c r="C55" s="215" t="s">
        <v>179</v>
      </c>
      <c r="D55" s="215"/>
      <c r="E55" s="215" t="s">
        <v>378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214"/>
      <c r="O55" s="212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215"/>
      <c r="D56" s="215"/>
      <c r="E56" s="215"/>
      <c r="F56" s="384"/>
      <c r="G56" s="385"/>
      <c r="H56" s="385"/>
      <c r="I56" s="385"/>
      <c r="J56" s="385"/>
      <c r="K56" s="385"/>
      <c r="L56" s="385"/>
      <c r="M56" s="386"/>
      <c r="N56" s="214"/>
      <c r="O56" s="212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215"/>
      <c r="D57" s="215"/>
      <c r="E57" s="215"/>
      <c r="F57" s="384"/>
      <c r="G57" s="385"/>
      <c r="H57" s="385"/>
      <c r="I57" s="385"/>
      <c r="J57" s="385"/>
      <c r="K57" s="385"/>
      <c r="L57" s="385"/>
      <c r="M57" s="386"/>
      <c r="N57" s="214"/>
      <c r="O57" s="212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215"/>
      <c r="D58" s="215"/>
      <c r="E58" s="215"/>
      <c r="F58" s="384"/>
      <c r="G58" s="385"/>
      <c r="H58" s="385"/>
      <c r="I58" s="385"/>
      <c r="J58" s="385"/>
      <c r="K58" s="385"/>
      <c r="L58" s="385"/>
      <c r="M58" s="386"/>
      <c r="N58" s="214"/>
      <c r="O58" s="212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215"/>
      <c r="D59" s="215"/>
      <c r="E59" s="215"/>
      <c r="F59" s="384"/>
      <c r="G59" s="385"/>
      <c r="H59" s="385"/>
      <c r="I59" s="385"/>
      <c r="J59" s="385"/>
      <c r="K59" s="385"/>
      <c r="L59" s="385"/>
      <c r="M59" s="386"/>
      <c r="N59" s="214"/>
      <c r="O59" s="212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217"/>
      <c r="D60" s="217"/>
      <c r="E60" s="217"/>
      <c r="F60" s="393"/>
      <c r="G60" s="393"/>
      <c r="H60" s="393"/>
      <c r="I60" s="393"/>
      <c r="J60" s="393"/>
      <c r="K60" s="393"/>
      <c r="L60" s="393"/>
      <c r="M60" s="394"/>
      <c r="N60" s="216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381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213" t="s">
        <v>2</v>
      </c>
      <c r="D62" s="213" t="s">
        <v>37</v>
      </c>
      <c r="E62" s="213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213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233</v>
      </c>
      <c r="D63" s="208"/>
      <c r="E63" s="211"/>
      <c r="F63" s="406" t="s">
        <v>211</v>
      </c>
      <c r="G63" s="407"/>
      <c r="H63" s="407"/>
      <c r="I63" s="407"/>
      <c r="J63" s="407"/>
      <c r="K63" s="407">
        <v>8301</v>
      </c>
      <c r="L63" s="407"/>
      <c r="M63" s="51" t="s">
        <v>240</v>
      </c>
      <c r="N63" s="408" t="s">
        <v>237</v>
      </c>
      <c r="O63" s="408"/>
      <c r="P63" s="409">
        <v>30</v>
      </c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 t="s">
        <v>233</v>
      </c>
      <c r="D64" s="208"/>
      <c r="E64" s="211"/>
      <c r="F64" s="406" t="s">
        <v>382</v>
      </c>
      <c r="G64" s="407"/>
      <c r="H64" s="407"/>
      <c r="I64" s="407"/>
      <c r="J64" s="407"/>
      <c r="K64" s="407">
        <v>8301</v>
      </c>
      <c r="L64" s="407"/>
      <c r="M64" s="51" t="s">
        <v>240</v>
      </c>
      <c r="N64" s="408" t="s">
        <v>237</v>
      </c>
      <c r="O64" s="408"/>
      <c r="P64" s="409">
        <v>30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 t="s">
        <v>114</v>
      </c>
      <c r="D65" s="208"/>
      <c r="E65" s="211" t="s">
        <v>383</v>
      </c>
      <c r="F65" s="406" t="s">
        <v>384</v>
      </c>
      <c r="G65" s="407"/>
      <c r="H65" s="407"/>
      <c r="I65" s="407"/>
      <c r="J65" s="407"/>
      <c r="K65" s="407" t="s">
        <v>385</v>
      </c>
      <c r="L65" s="407"/>
      <c r="M65" s="51" t="s">
        <v>240</v>
      </c>
      <c r="N65" s="408" t="s">
        <v>168</v>
      </c>
      <c r="O65" s="408"/>
      <c r="P65" s="409">
        <v>30</v>
      </c>
      <c r="Q65" s="409"/>
      <c r="R65" s="387" t="s">
        <v>386</v>
      </c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208"/>
      <c r="E66" s="211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208"/>
      <c r="E67" s="21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208"/>
      <c r="E68" s="21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208"/>
      <c r="E69" s="21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208"/>
      <c r="E70" s="21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387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210" t="s">
        <v>2</v>
      </c>
      <c r="D72" s="210" t="s">
        <v>37</v>
      </c>
      <c r="E72" s="210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209" t="s">
        <v>114</v>
      </c>
      <c r="D73" s="209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208"/>
      <c r="D74" s="208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208"/>
      <c r="D75" s="208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208"/>
      <c r="D76" s="208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208"/>
      <c r="D77" s="208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208"/>
      <c r="D78" s="208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208"/>
      <c r="D79" s="208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208"/>
      <c r="D80" s="208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208"/>
      <c r="D81" s="208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388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CB0D-66F2-4228-8BFF-7452EF8B80F5}">
  <sheetPr>
    <pageSetUpPr fitToPage="1"/>
  </sheetPr>
  <dimension ref="A1:AF86"/>
  <sheetViews>
    <sheetView zoomScale="72" zoomScaleNormal="72" zoomScaleSheetLayoutView="70" workbookViewId="0">
      <selection activeCell="AD17" sqref="AD1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389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20" t="s">
        <v>17</v>
      </c>
      <c r="L5" s="220" t="s">
        <v>18</v>
      </c>
      <c r="M5" s="220" t="s">
        <v>19</v>
      </c>
      <c r="N5" s="2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0.38612302925051922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0.38612302925051922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358</v>
      </c>
      <c r="F8" s="30" t="s">
        <v>126</v>
      </c>
      <c r="G8" s="33">
        <v>1</v>
      </c>
      <c r="H8" s="35">
        <v>24</v>
      </c>
      <c r="I8" s="7">
        <v>62000</v>
      </c>
      <c r="J8" s="5">
        <v>3263</v>
      </c>
      <c r="K8" s="15">
        <f>L8+3980+5675</f>
        <v>12919</v>
      </c>
      <c r="L8" s="15">
        <f>2631+633</f>
        <v>3264</v>
      </c>
      <c r="M8" s="15">
        <f t="shared" si="1"/>
        <v>3264</v>
      </c>
      <c r="N8" s="15">
        <v>0</v>
      </c>
      <c r="O8" s="58">
        <f t="shared" si="2"/>
        <v>0</v>
      </c>
      <c r="P8" s="39">
        <f t="shared" si="3"/>
        <v>14</v>
      </c>
      <c r="Q8" s="40">
        <f t="shared" si="4"/>
        <v>10</v>
      </c>
      <c r="R8" s="7"/>
      <c r="S8" s="6"/>
      <c r="T8" s="16"/>
      <c r="U8" s="16"/>
      <c r="V8" s="17">
        <v>10</v>
      </c>
      <c r="W8" s="5"/>
      <c r="X8" s="16"/>
      <c r="Y8" s="16"/>
      <c r="Z8" s="16"/>
      <c r="AA8" s="18"/>
      <c r="AB8" s="8">
        <f t="shared" si="5"/>
        <v>1.0003064664419246</v>
      </c>
      <c r="AC8" s="9">
        <f t="shared" si="6"/>
        <v>0.58333333333333337</v>
      </c>
      <c r="AD8" s="10">
        <f t="shared" si="7"/>
        <v>0.58351210542445608</v>
      </c>
      <c r="AE8" s="36">
        <f t="shared" si="8"/>
        <v>0.38612302925051922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3334</v>
      </c>
      <c r="K9" s="15">
        <f>L9+2483+2720</f>
        <v>8537</v>
      </c>
      <c r="L9" s="15">
        <f>1497+1837</f>
        <v>3334</v>
      </c>
      <c r="M9" s="15">
        <f t="shared" si="1"/>
        <v>3334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0.38612302925051922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2</v>
      </c>
      <c r="H10" s="35">
        <v>24</v>
      </c>
      <c r="I10" s="7">
        <v>75000</v>
      </c>
      <c r="J10" s="5">
        <v>2801</v>
      </c>
      <c r="K10" s="15">
        <f>L10+4000</f>
        <v>6801</v>
      </c>
      <c r="L10" s="15">
        <f>2801</f>
        <v>2801</v>
      </c>
      <c r="M10" s="15">
        <f t="shared" si="1"/>
        <v>2801</v>
      </c>
      <c r="N10" s="15">
        <v>0</v>
      </c>
      <c r="O10" s="58">
        <f t="shared" si="2"/>
        <v>0</v>
      </c>
      <c r="P10" s="39">
        <f t="shared" si="3"/>
        <v>6</v>
      </c>
      <c r="Q10" s="40">
        <f t="shared" si="4"/>
        <v>18</v>
      </c>
      <c r="R10" s="7"/>
      <c r="S10" s="6">
        <v>18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0.25</v>
      </c>
      <c r="AD10" s="10">
        <f>AC10*AB10*(1-O10)</f>
        <v>0.25</v>
      </c>
      <c r="AE10" s="36">
        <f t="shared" si="8"/>
        <v>0.38612302925051922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0.38612302925051922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3809</v>
      </c>
      <c r="K12" s="15">
        <f>L12+2858+3260</f>
        <v>9927</v>
      </c>
      <c r="L12" s="15">
        <f>3346+463</f>
        <v>3809</v>
      </c>
      <c r="M12" s="15">
        <f t="shared" si="1"/>
        <v>3809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 t="shared" si="7"/>
        <v>0.79166666666666663</v>
      </c>
      <c r="AE12" s="36">
        <f t="shared" si="8"/>
        <v>0.38612302925051922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190</v>
      </c>
      <c r="E13" s="53" t="s">
        <v>335</v>
      </c>
      <c r="F13" s="30" t="s">
        <v>200</v>
      </c>
      <c r="G13" s="33">
        <v>1</v>
      </c>
      <c r="H13" s="35">
        <v>24</v>
      </c>
      <c r="I13" s="7">
        <v>1000</v>
      </c>
      <c r="J13" s="14">
        <v>1136</v>
      </c>
      <c r="K13" s="15">
        <f>L13</f>
        <v>1136</v>
      </c>
      <c r="L13" s="15">
        <f>1136</f>
        <v>1136</v>
      </c>
      <c r="M13" s="15">
        <f t="shared" si="1"/>
        <v>1136</v>
      </c>
      <c r="N13" s="15">
        <v>0</v>
      </c>
      <c r="O13" s="58">
        <f t="shared" si="2"/>
        <v>0</v>
      </c>
      <c r="P13" s="39">
        <f t="shared" si="3"/>
        <v>9</v>
      </c>
      <c r="Q13" s="40">
        <f t="shared" si="4"/>
        <v>15</v>
      </c>
      <c r="R13" s="7"/>
      <c r="S13" s="6"/>
      <c r="T13" s="16"/>
      <c r="U13" s="16"/>
      <c r="V13" s="17"/>
      <c r="W13" s="5">
        <v>15</v>
      </c>
      <c r="X13" s="16"/>
      <c r="Y13" s="16"/>
      <c r="Z13" s="16"/>
      <c r="AA13" s="18"/>
      <c r="AB13" s="8">
        <f t="shared" si="5"/>
        <v>1</v>
      </c>
      <c r="AC13" s="9">
        <f t="shared" si="6"/>
        <v>0.375</v>
      </c>
      <c r="AD13" s="10">
        <f t="shared" si="7"/>
        <v>0.375</v>
      </c>
      <c r="AE13" s="36">
        <f t="shared" si="8"/>
        <v>0.38612302925051922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399</v>
      </c>
      <c r="K14" s="15">
        <f>L14+399</f>
        <v>399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0.38612302925051922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0.38612302925051922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128</v>
      </c>
      <c r="D16" s="52" t="s">
        <v>190</v>
      </c>
      <c r="E16" s="53" t="s">
        <v>380</v>
      </c>
      <c r="F16" s="12" t="s">
        <v>200</v>
      </c>
      <c r="G16" s="12">
        <v>1</v>
      </c>
      <c r="H16" s="13">
        <v>24</v>
      </c>
      <c r="I16" s="7">
        <v>60000</v>
      </c>
      <c r="J16" s="14">
        <v>2357</v>
      </c>
      <c r="K16" s="15">
        <f>L16</f>
        <v>2357</v>
      </c>
      <c r="L16" s="15">
        <f>1767+590</f>
        <v>2357</v>
      </c>
      <c r="M16" s="15">
        <f t="shared" si="1"/>
        <v>2357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/>
      <c r="T16" s="16"/>
      <c r="U16" s="16"/>
      <c r="V16" s="17">
        <v>10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0.38612302925051922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0.38612302925051922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5573</v>
      </c>
      <c r="K18" s="15">
        <f>L18+4136+5310</f>
        <v>15019</v>
      </c>
      <c r="L18" s="15">
        <f>2504+3069</f>
        <v>5573</v>
      </c>
      <c r="M18" s="15">
        <f t="shared" si="1"/>
        <v>5573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0.38612302925051922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f>48000+42000</f>
        <v>90000</v>
      </c>
      <c r="J19" s="5">
        <v>3837</v>
      </c>
      <c r="K19" s="15">
        <f>L19+4490+5516+5079+4632+5428+5727+5954+3807+5671+5681</f>
        <v>55822</v>
      </c>
      <c r="L19" s="15">
        <f>2656+1181</f>
        <v>3837</v>
      </c>
      <c r="M19" s="15">
        <f t="shared" si="1"/>
        <v>3837</v>
      </c>
      <c r="N19" s="15">
        <v>0</v>
      </c>
      <c r="O19" s="58">
        <f t="shared" si="2"/>
        <v>0</v>
      </c>
      <c r="P19" s="39">
        <f t="shared" si="3"/>
        <v>21</v>
      </c>
      <c r="Q19" s="40">
        <f t="shared" si="4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0.875</v>
      </c>
      <c r="AD19" s="10">
        <f>AC19*AB19*(1-O19)</f>
        <v>0.875</v>
      </c>
      <c r="AE19" s="36">
        <f t="shared" si="8"/>
        <v>0.38612302925051922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200000</v>
      </c>
      <c r="J20" s="14">
        <v>43144</v>
      </c>
      <c r="K20" s="15">
        <f>L20+42368</f>
        <v>85512</v>
      </c>
      <c r="L20" s="15">
        <f>10786*4</f>
        <v>43144</v>
      </c>
      <c r="M20" s="15">
        <f t="shared" si="1"/>
        <v>43144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0.38612302925051922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610350</v>
      </c>
      <c r="J21" s="19">
        <f t="shared" si="10"/>
        <v>74746</v>
      </c>
      <c r="K21" s="20">
        <f t="shared" si="10"/>
        <v>217130</v>
      </c>
      <c r="L21" s="21">
        <f t="shared" si="10"/>
        <v>69255</v>
      </c>
      <c r="M21" s="20">
        <f t="shared" si="10"/>
        <v>69255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139</v>
      </c>
      <c r="Q21" s="43">
        <f t="shared" si="11"/>
        <v>221</v>
      </c>
      <c r="R21" s="23">
        <f t="shared" si="11"/>
        <v>24</v>
      </c>
      <c r="S21" s="24">
        <f t="shared" si="11"/>
        <v>32</v>
      </c>
      <c r="T21" s="24">
        <f t="shared" si="11"/>
        <v>0</v>
      </c>
      <c r="U21" s="24">
        <f t="shared" si="11"/>
        <v>0</v>
      </c>
      <c r="V21" s="25">
        <f t="shared" si="11"/>
        <v>30</v>
      </c>
      <c r="W21" s="26">
        <f t="shared" si="11"/>
        <v>135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0.60002043109612824</v>
      </c>
      <c r="AC21" s="4">
        <f>SUM(AC6:AC20)/15</f>
        <v>0.38611111111111113</v>
      </c>
      <c r="AD21" s="4">
        <f>SUM(AD6:AD20)/15</f>
        <v>0.38612302925051922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390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393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221" t="s">
        <v>46</v>
      </c>
      <c r="D50" s="221" t="s">
        <v>47</v>
      </c>
      <c r="E50" s="221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221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310</v>
      </c>
      <c r="B51" s="383"/>
      <c r="C51" s="223" t="s">
        <v>227</v>
      </c>
      <c r="D51" s="223" t="s">
        <v>331</v>
      </c>
      <c r="E51" s="223" t="s">
        <v>332</v>
      </c>
      <c r="F51" s="384" t="s">
        <v>391</v>
      </c>
      <c r="G51" s="385"/>
      <c r="H51" s="385"/>
      <c r="I51" s="385"/>
      <c r="J51" s="385"/>
      <c r="K51" s="385"/>
      <c r="L51" s="385"/>
      <c r="M51" s="386"/>
      <c r="N51" s="222" t="s">
        <v>310</v>
      </c>
      <c r="O51" s="228" t="s">
        <v>227</v>
      </c>
      <c r="P51" s="389" t="s">
        <v>331</v>
      </c>
      <c r="Q51" s="390"/>
      <c r="R51" s="383" t="s">
        <v>332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128</v>
      </c>
      <c r="B52" s="383"/>
      <c r="C52" s="223" t="s">
        <v>158</v>
      </c>
      <c r="D52" s="223" t="s">
        <v>327</v>
      </c>
      <c r="E52" s="223" t="s">
        <v>359</v>
      </c>
      <c r="F52" s="384" t="s">
        <v>392</v>
      </c>
      <c r="G52" s="385"/>
      <c r="H52" s="385"/>
      <c r="I52" s="385"/>
      <c r="J52" s="385"/>
      <c r="K52" s="385"/>
      <c r="L52" s="385"/>
      <c r="M52" s="386"/>
      <c r="N52" s="222" t="s">
        <v>128</v>
      </c>
      <c r="O52" s="228" t="s">
        <v>158</v>
      </c>
      <c r="P52" s="389" t="s">
        <v>327</v>
      </c>
      <c r="Q52" s="390"/>
      <c r="R52" s="383" t="s">
        <v>359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310</v>
      </c>
      <c r="B53" s="383"/>
      <c r="C53" s="223" t="s">
        <v>161</v>
      </c>
      <c r="D53" s="223" t="s">
        <v>366</v>
      </c>
      <c r="E53" s="223" t="s">
        <v>357</v>
      </c>
      <c r="F53" s="384" t="s">
        <v>174</v>
      </c>
      <c r="G53" s="385"/>
      <c r="H53" s="385"/>
      <c r="I53" s="385"/>
      <c r="J53" s="385"/>
      <c r="K53" s="385"/>
      <c r="L53" s="385"/>
      <c r="M53" s="386"/>
      <c r="N53" s="222" t="s">
        <v>114</v>
      </c>
      <c r="O53" s="228" t="s">
        <v>176</v>
      </c>
      <c r="P53" s="389" t="s">
        <v>117</v>
      </c>
      <c r="Q53" s="390"/>
      <c r="R53" s="383" t="s">
        <v>228</v>
      </c>
      <c r="S53" s="383"/>
      <c r="T53" s="383"/>
      <c r="U53" s="383"/>
      <c r="V53" s="387" t="s">
        <v>243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223" t="s">
        <v>129</v>
      </c>
      <c r="D54" s="223" t="s">
        <v>190</v>
      </c>
      <c r="E54" s="223" t="s">
        <v>335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222"/>
      <c r="O54" s="228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114</v>
      </c>
      <c r="B55" s="383"/>
      <c r="C55" s="223" t="s">
        <v>176</v>
      </c>
      <c r="D55" s="223" t="s">
        <v>117</v>
      </c>
      <c r="E55" s="223" t="s">
        <v>228</v>
      </c>
      <c r="F55" s="384" t="s">
        <v>377</v>
      </c>
      <c r="G55" s="385"/>
      <c r="H55" s="385"/>
      <c r="I55" s="385"/>
      <c r="J55" s="385"/>
      <c r="K55" s="385"/>
      <c r="L55" s="385"/>
      <c r="M55" s="386"/>
      <c r="N55" s="222"/>
      <c r="O55" s="228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223"/>
      <c r="D56" s="223"/>
      <c r="E56" s="223"/>
      <c r="F56" s="384"/>
      <c r="G56" s="385"/>
      <c r="H56" s="385"/>
      <c r="I56" s="385"/>
      <c r="J56" s="385"/>
      <c r="K56" s="385"/>
      <c r="L56" s="385"/>
      <c r="M56" s="386"/>
      <c r="N56" s="222"/>
      <c r="O56" s="228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223"/>
      <c r="D57" s="223"/>
      <c r="E57" s="223"/>
      <c r="F57" s="384"/>
      <c r="G57" s="385"/>
      <c r="H57" s="385"/>
      <c r="I57" s="385"/>
      <c r="J57" s="385"/>
      <c r="K57" s="385"/>
      <c r="L57" s="385"/>
      <c r="M57" s="386"/>
      <c r="N57" s="222"/>
      <c r="O57" s="228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223"/>
      <c r="D58" s="223"/>
      <c r="E58" s="223"/>
      <c r="F58" s="384"/>
      <c r="G58" s="385"/>
      <c r="H58" s="385"/>
      <c r="I58" s="385"/>
      <c r="J58" s="385"/>
      <c r="K58" s="385"/>
      <c r="L58" s="385"/>
      <c r="M58" s="386"/>
      <c r="N58" s="222"/>
      <c r="O58" s="228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223"/>
      <c r="D59" s="223"/>
      <c r="E59" s="223"/>
      <c r="F59" s="384"/>
      <c r="G59" s="385"/>
      <c r="H59" s="385"/>
      <c r="I59" s="385"/>
      <c r="J59" s="385"/>
      <c r="K59" s="385"/>
      <c r="L59" s="385"/>
      <c r="M59" s="386"/>
      <c r="N59" s="222"/>
      <c r="O59" s="228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225"/>
      <c r="D60" s="225"/>
      <c r="E60" s="225"/>
      <c r="F60" s="393"/>
      <c r="G60" s="393"/>
      <c r="H60" s="393"/>
      <c r="I60" s="393"/>
      <c r="J60" s="393"/>
      <c r="K60" s="393"/>
      <c r="L60" s="393"/>
      <c r="M60" s="394"/>
      <c r="N60" s="224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394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226" t="s">
        <v>2</v>
      </c>
      <c r="D62" s="226" t="s">
        <v>37</v>
      </c>
      <c r="E62" s="226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226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233</v>
      </c>
      <c r="D63" s="230"/>
      <c r="E63" s="227" t="s">
        <v>234</v>
      </c>
      <c r="F63" s="406" t="s">
        <v>371</v>
      </c>
      <c r="G63" s="407"/>
      <c r="H63" s="407"/>
      <c r="I63" s="407"/>
      <c r="J63" s="407"/>
      <c r="K63" s="407">
        <v>8301</v>
      </c>
      <c r="L63" s="407"/>
      <c r="M63" s="51" t="s">
        <v>240</v>
      </c>
      <c r="N63" s="408" t="s">
        <v>237</v>
      </c>
      <c r="O63" s="408"/>
      <c r="P63" s="409">
        <v>50</v>
      </c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230"/>
      <c r="E64" s="227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230"/>
      <c r="E65" s="227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230"/>
      <c r="E66" s="227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230"/>
      <c r="E67" s="227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230"/>
      <c r="E68" s="227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230"/>
      <c r="E69" s="227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230"/>
      <c r="E70" s="227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395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229" t="s">
        <v>2</v>
      </c>
      <c r="D72" s="229" t="s">
        <v>37</v>
      </c>
      <c r="E72" s="229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231" t="s">
        <v>114</v>
      </c>
      <c r="D73" s="231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230"/>
      <c r="D74" s="230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230"/>
      <c r="D75" s="230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230"/>
      <c r="D76" s="230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230"/>
      <c r="D77" s="230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230"/>
      <c r="D78" s="230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230"/>
      <c r="D79" s="230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230"/>
      <c r="D80" s="230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230"/>
      <c r="D81" s="230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396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6775-509F-4710-9783-264D7D1EB724}">
  <sheetPr>
    <pageSetUpPr fitToPage="1"/>
  </sheetPr>
  <dimension ref="A1:AF86"/>
  <sheetViews>
    <sheetView zoomScale="72" zoomScaleNormal="72" zoomScaleSheetLayoutView="70" workbookViewId="0">
      <selection activeCell="A19" sqref="A19:XFD19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397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43" t="s">
        <v>17</v>
      </c>
      <c r="L5" s="243" t="s">
        <v>18</v>
      </c>
      <c r="M5" s="243" t="s">
        <v>19</v>
      </c>
      <c r="N5" s="24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0.40088658812328926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0.40088658812328926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358</v>
      </c>
      <c r="F8" s="30" t="s">
        <v>126</v>
      </c>
      <c r="G8" s="33">
        <v>1</v>
      </c>
      <c r="H8" s="35">
        <v>24</v>
      </c>
      <c r="I8" s="7">
        <v>62000</v>
      </c>
      <c r="J8" s="5">
        <v>5251</v>
      </c>
      <c r="K8" s="15">
        <f>L8+3980+5675+3264</f>
        <v>18170</v>
      </c>
      <c r="L8" s="15">
        <f>2963+2288</f>
        <v>5251</v>
      </c>
      <c r="M8" s="15">
        <f t="shared" si="1"/>
        <v>5251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0.40088658812328926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3355</v>
      </c>
      <c r="K9" s="15">
        <f>L9+2483+2720+3334</f>
        <v>11892</v>
      </c>
      <c r="L9" s="15">
        <f>3001+354</f>
        <v>3355</v>
      </c>
      <c r="M9" s="15">
        <f t="shared" si="1"/>
        <v>3355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0.40088658812328926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2801</v>
      </c>
      <c r="K10" s="15">
        <f>L10+4000+2801</f>
        <v>11179</v>
      </c>
      <c r="L10" s="15">
        <f>4378</f>
        <v>4378</v>
      </c>
      <c r="M10" s="15">
        <f t="shared" si="1"/>
        <v>4378</v>
      </c>
      <c r="N10" s="15">
        <v>0</v>
      </c>
      <c r="O10" s="58">
        <f t="shared" si="2"/>
        <v>0</v>
      </c>
      <c r="P10" s="39">
        <f t="shared" si="3"/>
        <v>13</v>
      </c>
      <c r="Q10" s="40">
        <f t="shared" si="4"/>
        <v>11</v>
      </c>
      <c r="R10" s="7"/>
      <c r="S10" s="6">
        <v>11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1.5630132095680114</v>
      </c>
      <c r="AC10" s="9">
        <f t="shared" si="6"/>
        <v>0.54166666666666663</v>
      </c>
      <c r="AD10" s="10">
        <f>AC10*AB10*(1-O10)</f>
        <v>0.84663215518267276</v>
      </c>
      <c r="AE10" s="36">
        <f t="shared" si="8"/>
        <v>0.40088658812328926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0.40088658812328926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4479</v>
      </c>
      <c r="K12" s="15">
        <f>L12+2858+3260+3809</f>
        <v>14406</v>
      </c>
      <c r="L12" s="15">
        <f>3134+1345</f>
        <v>4479</v>
      </c>
      <c r="M12" s="15">
        <f t="shared" si="1"/>
        <v>4479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si="7"/>
        <v>0.83333333333333337</v>
      </c>
      <c r="AE12" s="36">
        <f t="shared" si="8"/>
        <v>0.40088658812328926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190</v>
      </c>
      <c r="E13" s="53" t="s">
        <v>335</v>
      </c>
      <c r="F13" s="30" t="s">
        <v>200</v>
      </c>
      <c r="G13" s="33">
        <v>1</v>
      </c>
      <c r="H13" s="35">
        <v>24</v>
      </c>
      <c r="I13" s="7">
        <v>1000</v>
      </c>
      <c r="J13" s="14">
        <v>1136</v>
      </c>
      <c r="K13" s="15">
        <f>L13+1136</f>
        <v>1136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0.40088658812328926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399</v>
      </c>
      <c r="K14" s="15">
        <f>L14+399</f>
        <v>399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0.40088658812328926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283</v>
      </c>
      <c r="D15" s="52" t="s">
        <v>284</v>
      </c>
      <c r="E15" s="53" t="s">
        <v>285</v>
      </c>
      <c r="F15" s="12">
        <v>8301</v>
      </c>
      <c r="G15" s="12" t="s">
        <v>204</v>
      </c>
      <c r="H15" s="13">
        <v>24</v>
      </c>
      <c r="I15" s="31">
        <v>1000</v>
      </c>
      <c r="J15" s="14">
        <v>1670</v>
      </c>
      <c r="K15" s="15">
        <f>L15+1670</f>
        <v>1670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0.40088658812328926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128</v>
      </c>
      <c r="D16" s="52" t="s">
        <v>190</v>
      </c>
      <c r="E16" s="53" t="s">
        <v>380</v>
      </c>
      <c r="F16" s="12" t="s">
        <v>200</v>
      </c>
      <c r="G16" s="12">
        <v>1</v>
      </c>
      <c r="H16" s="13">
        <v>24</v>
      </c>
      <c r="I16" s="7">
        <v>60000</v>
      </c>
      <c r="J16" s="14">
        <v>5213</v>
      </c>
      <c r="K16" s="15">
        <f>L16+2357</f>
        <v>7570</v>
      </c>
      <c r="L16" s="15">
        <f>2924+2289</f>
        <v>5213</v>
      </c>
      <c r="M16" s="15">
        <f t="shared" si="1"/>
        <v>5213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0.40088658812328926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0.40088658812328926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133</v>
      </c>
      <c r="E18" s="53" t="s">
        <v>188</v>
      </c>
      <c r="F18" s="30" t="s">
        <v>124</v>
      </c>
      <c r="G18" s="33">
        <v>1</v>
      </c>
      <c r="H18" s="35">
        <v>24</v>
      </c>
      <c r="I18" s="7">
        <v>20000</v>
      </c>
      <c r="J18" s="5">
        <v>5232</v>
      </c>
      <c r="K18" s="15">
        <f>L18+4136+5310+5573</f>
        <v>20251</v>
      </c>
      <c r="L18" s="15">
        <f>2853+2379</f>
        <v>5232</v>
      </c>
      <c r="M18" s="15">
        <f t="shared" si="1"/>
        <v>5232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0.40088658812328926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f>48000+42000</f>
        <v>90000</v>
      </c>
      <c r="J19" s="5">
        <v>3837</v>
      </c>
      <c r="K19" s="15">
        <f>L19+4490+5516+5079+4632+5428+5727+5954+3807+5671+5681+3837</f>
        <v>55822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0.40088658812328926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200000</v>
      </c>
      <c r="J20" s="14">
        <v>43480</v>
      </c>
      <c r="K20" s="15">
        <f>L20+42368+43144</f>
        <v>128992</v>
      </c>
      <c r="L20" s="15">
        <f>10870*4</f>
        <v>43480</v>
      </c>
      <c r="M20" s="15">
        <f t="shared" si="1"/>
        <v>43480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0.40088658812328926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610350</v>
      </c>
      <c r="J21" s="19">
        <f t="shared" si="10"/>
        <v>80276</v>
      </c>
      <c r="K21" s="20">
        <f t="shared" si="10"/>
        <v>288518</v>
      </c>
      <c r="L21" s="21">
        <f t="shared" si="10"/>
        <v>71388</v>
      </c>
      <c r="M21" s="20">
        <f t="shared" si="10"/>
        <v>71388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137</v>
      </c>
      <c r="Q21" s="43">
        <f t="shared" si="11"/>
        <v>223</v>
      </c>
      <c r="R21" s="23">
        <f t="shared" si="11"/>
        <v>24</v>
      </c>
      <c r="S21" s="24">
        <f t="shared" si="11"/>
        <v>45</v>
      </c>
      <c r="T21" s="24">
        <f t="shared" si="11"/>
        <v>0</v>
      </c>
      <c r="U21" s="24">
        <f t="shared" si="11"/>
        <v>0</v>
      </c>
      <c r="V21" s="25">
        <f t="shared" si="11"/>
        <v>10</v>
      </c>
      <c r="W21" s="26">
        <f t="shared" si="11"/>
        <v>144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0.50420088063786739</v>
      </c>
      <c r="AC21" s="4">
        <f>SUM(AC6:AC20)/15</f>
        <v>0.38055555555555554</v>
      </c>
      <c r="AD21" s="4">
        <f>SUM(AD6:AD20)/15</f>
        <v>0.40088658812328926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398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401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242" t="s">
        <v>46</v>
      </c>
      <c r="D50" s="242" t="s">
        <v>47</v>
      </c>
      <c r="E50" s="242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242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310</v>
      </c>
      <c r="B51" s="383"/>
      <c r="C51" s="239" t="s">
        <v>227</v>
      </c>
      <c r="D51" s="239" t="s">
        <v>331</v>
      </c>
      <c r="E51" s="239" t="s">
        <v>332</v>
      </c>
      <c r="F51" s="384" t="s">
        <v>399</v>
      </c>
      <c r="G51" s="385"/>
      <c r="H51" s="385"/>
      <c r="I51" s="385"/>
      <c r="J51" s="385"/>
      <c r="K51" s="385"/>
      <c r="L51" s="385"/>
      <c r="M51" s="386"/>
      <c r="N51" s="238" t="s">
        <v>114</v>
      </c>
      <c r="O51" s="236" t="s">
        <v>176</v>
      </c>
      <c r="P51" s="389" t="s">
        <v>117</v>
      </c>
      <c r="Q51" s="390"/>
      <c r="R51" s="383" t="s">
        <v>228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128</v>
      </c>
      <c r="B52" s="383"/>
      <c r="C52" s="239" t="s">
        <v>158</v>
      </c>
      <c r="D52" s="239" t="s">
        <v>327</v>
      </c>
      <c r="E52" s="239" t="s">
        <v>359</v>
      </c>
      <c r="F52" s="384" t="s">
        <v>174</v>
      </c>
      <c r="G52" s="385"/>
      <c r="H52" s="385"/>
      <c r="I52" s="385"/>
      <c r="J52" s="385"/>
      <c r="K52" s="385"/>
      <c r="L52" s="385"/>
      <c r="M52" s="386"/>
      <c r="N52" s="238" t="s">
        <v>114</v>
      </c>
      <c r="O52" s="236" t="s">
        <v>129</v>
      </c>
      <c r="P52" s="389" t="s">
        <v>117</v>
      </c>
      <c r="Q52" s="390"/>
      <c r="R52" s="383" t="s">
        <v>400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310</v>
      </c>
      <c r="B53" s="383"/>
      <c r="C53" s="239" t="s">
        <v>161</v>
      </c>
      <c r="D53" s="239" t="s">
        <v>366</v>
      </c>
      <c r="E53" s="239" t="s">
        <v>357</v>
      </c>
      <c r="F53" s="384" t="s">
        <v>243</v>
      </c>
      <c r="G53" s="385"/>
      <c r="H53" s="385"/>
      <c r="I53" s="385"/>
      <c r="J53" s="385"/>
      <c r="K53" s="385"/>
      <c r="L53" s="385"/>
      <c r="M53" s="386"/>
      <c r="N53" s="238"/>
      <c r="O53" s="236"/>
      <c r="P53" s="389"/>
      <c r="Q53" s="390"/>
      <c r="R53" s="383"/>
      <c r="S53" s="383"/>
      <c r="T53" s="383"/>
      <c r="U53" s="383"/>
      <c r="V53" s="387"/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/>
      <c r="B54" s="383"/>
      <c r="C54" s="239"/>
      <c r="D54" s="239"/>
      <c r="E54" s="239"/>
      <c r="F54" s="384"/>
      <c r="G54" s="385"/>
      <c r="H54" s="385"/>
      <c r="I54" s="385"/>
      <c r="J54" s="385"/>
      <c r="K54" s="385"/>
      <c r="L54" s="385"/>
      <c r="M54" s="386"/>
      <c r="N54" s="238"/>
      <c r="O54" s="236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239"/>
      <c r="D55" s="239"/>
      <c r="E55" s="239"/>
      <c r="F55" s="384"/>
      <c r="G55" s="385"/>
      <c r="H55" s="385"/>
      <c r="I55" s="385"/>
      <c r="J55" s="385"/>
      <c r="K55" s="385"/>
      <c r="L55" s="385"/>
      <c r="M55" s="386"/>
      <c r="N55" s="238"/>
      <c r="O55" s="236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239"/>
      <c r="D56" s="239"/>
      <c r="E56" s="239"/>
      <c r="F56" s="384"/>
      <c r="G56" s="385"/>
      <c r="H56" s="385"/>
      <c r="I56" s="385"/>
      <c r="J56" s="385"/>
      <c r="K56" s="385"/>
      <c r="L56" s="385"/>
      <c r="M56" s="386"/>
      <c r="N56" s="238"/>
      <c r="O56" s="236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239"/>
      <c r="D57" s="239"/>
      <c r="E57" s="239"/>
      <c r="F57" s="384"/>
      <c r="G57" s="385"/>
      <c r="H57" s="385"/>
      <c r="I57" s="385"/>
      <c r="J57" s="385"/>
      <c r="K57" s="385"/>
      <c r="L57" s="385"/>
      <c r="M57" s="386"/>
      <c r="N57" s="238"/>
      <c r="O57" s="236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239"/>
      <c r="D58" s="239"/>
      <c r="E58" s="239"/>
      <c r="F58" s="384"/>
      <c r="G58" s="385"/>
      <c r="H58" s="385"/>
      <c r="I58" s="385"/>
      <c r="J58" s="385"/>
      <c r="K58" s="385"/>
      <c r="L58" s="385"/>
      <c r="M58" s="386"/>
      <c r="N58" s="238"/>
      <c r="O58" s="236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239"/>
      <c r="D59" s="239"/>
      <c r="E59" s="239"/>
      <c r="F59" s="384"/>
      <c r="G59" s="385"/>
      <c r="H59" s="385"/>
      <c r="I59" s="385"/>
      <c r="J59" s="385"/>
      <c r="K59" s="385"/>
      <c r="L59" s="385"/>
      <c r="M59" s="386"/>
      <c r="N59" s="238"/>
      <c r="O59" s="236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241"/>
      <c r="D60" s="241"/>
      <c r="E60" s="241"/>
      <c r="F60" s="393"/>
      <c r="G60" s="393"/>
      <c r="H60" s="393"/>
      <c r="I60" s="393"/>
      <c r="J60" s="393"/>
      <c r="K60" s="393"/>
      <c r="L60" s="393"/>
      <c r="M60" s="394"/>
      <c r="N60" s="240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402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237" t="s">
        <v>2</v>
      </c>
      <c r="D62" s="237" t="s">
        <v>37</v>
      </c>
      <c r="E62" s="237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237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 t="s">
        <v>310</v>
      </c>
      <c r="D63" s="232"/>
      <c r="E63" s="235"/>
      <c r="F63" s="406" t="s">
        <v>403</v>
      </c>
      <c r="G63" s="407"/>
      <c r="H63" s="407"/>
      <c r="I63" s="407"/>
      <c r="J63" s="407"/>
      <c r="K63" s="407" t="s">
        <v>340</v>
      </c>
      <c r="L63" s="407"/>
      <c r="M63" s="51" t="s">
        <v>240</v>
      </c>
      <c r="N63" s="408" t="s">
        <v>129</v>
      </c>
      <c r="O63" s="408"/>
      <c r="P63" s="409">
        <v>50</v>
      </c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232"/>
      <c r="E64" s="235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232"/>
      <c r="E65" s="235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232"/>
      <c r="E66" s="235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232"/>
      <c r="E67" s="235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232"/>
      <c r="E68" s="235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232"/>
      <c r="E69" s="235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232"/>
      <c r="E70" s="235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404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234" t="s">
        <v>2</v>
      </c>
      <c r="D72" s="234" t="s">
        <v>37</v>
      </c>
      <c r="E72" s="234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233" t="s">
        <v>114</v>
      </c>
      <c r="D73" s="233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232"/>
      <c r="D74" s="232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232"/>
      <c r="D75" s="232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232"/>
      <c r="D76" s="232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232"/>
      <c r="D77" s="232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232"/>
      <c r="D78" s="232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232"/>
      <c r="D79" s="232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232"/>
      <c r="D80" s="232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232"/>
      <c r="D81" s="232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405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0F0D-869E-42E0-93ED-2064072202E0}">
  <sheetPr>
    <pageSetUpPr fitToPage="1"/>
  </sheetPr>
  <dimension ref="A1:AF87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406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44" t="s">
        <v>17</v>
      </c>
      <c r="L5" s="244" t="s">
        <v>18</v>
      </c>
      <c r="M5" s="244" t="s">
        <v>19</v>
      </c>
      <c r="N5" s="24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0.5361111111111112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0.5361111111111112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358</v>
      </c>
      <c r="F8" s="30" t="s">
        <v>126</v>
      </c>
      <c r="G8" s="33">
        <v>1</v>
      </c>
      <c r="H8" s="35">
        <v>24</v>
      </c>
      <c r="I8" s="7">
        <v>62000</v>
      </c>
      <c r="J8" s="5">
        <v>5511</v>
      </c>
      <c r="K8" s="15">
        <f>L8+3980+5675+3264+5251</f>
        <v>23681</v>
      </c>
      <c r="L8" s="15">
        <f>2956+2555</f>
        <v>5511</v>
      </c>
      <c r="M8" s="15">
        <f t="shared" si="1"/>
        <v>5511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0.5361111111111112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5508</v>
      </c>
      <c r="K9" s="15">
        <f>L9+2483+2720+3334+3355</f>
        <v>17400</v>
      </c>
      <c r="L9" s="15">
        <f>2920+2588</f>
        <v>5508</v>
      </c>
      <c r="M9" s="15">
        <f t="shared" si="1"/>
        <v>5508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0.5361111111111112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6093</v>
      </c>
      <c r="K10" s="15">
        <f>L10+4000+2801+4378</f>
        <v>17272</v>
      </c>
      <c r="L10" s="15">
        <f>2478+3615</f>
        <v>6093</v>
      </c>
      <c r="M10" s="15">
        <f t="shared" si="1"/>
        <v>6093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 t="shared" si="8"/>
        <v>0.5361111111111112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0.5361111111111112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5691</v>
      </c>
      <c r="K12" s="15">
        <f>L12+2858+3260+3809+4479</f>
        <v>20097</v>
      </c>
      <c r="L12" s="15">
        <f>3086+2605</f>
        <v>5691</v>
      </c>
      <c r="M12" s="15">
        <f t="shared" si="1"/>
        <v>5691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0.5361111111111112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400</v>
      </c>
      <c r="F13" s="30" t="s">
        <v>322</v>
      </c>
      <c r="G13" s="33">
        <v>1</v>
      </c>
      <c r="H13" s="35">
        <v>24</v>
      </c>
      <c r="I13" s="7">
        <v>500</v>
      </c>
      <c r="J13" s="14">
        <v>569</v>
      </c>
      <c r="K13" s="15">
        <f>L13</f>
        <v>569</v>
      </c>
      <c r="L13" s="15">
        <v>569</v>
      </c>
      <c r="M13" s="15">
        <f t="shared" si="1"/>
        <v>569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0.5361111111111112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399</v>
      </c>
      <c r="K14" s="15">
        <f>L14+399</f>
        <v>399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0.5361111111111112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/>
      <c r="E15" s="53" t="s">
        <v>211</v>
      </c>
      <c r="F15" s="12">
        <v>8301</v>
      </c>
      <c r="G15" s="12" t="s">
        <v>252</v>
      </c>
      <c r="H15" s="13">
        <v>24</v>
      </c>
      <c r="I15" s="31">
        <v>2000</v>
      </c>
      <c r="J15" s="14">
        <v>2256</v>
      </c>
      <c r="K15" s="15">
        <f>L15</f>
        <v>2256</v>
      </c>
      <c r="L15" s="15">
        <f>2256</f>
        <v>2256</v>
      </c>
      <c r="M15" s="15">
        <f t="shared" si="1"/>
        <v>2256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8"/>
        <v>0.5361111111111112</v>
      </c>
      <c r="AF15" s="87">
        <f t="shared" si="9"/>
        <v>10</v>
      </c>
    </row>
    <row r="16" spans="1:32" ht="27" customHeight="1">
      <c r="A16" s="102">
        <v>10</v>
      </c>
      <c r="B16" s="11" t="s">
        <v>57</v>
      </c>
      <c r="C16" s="34" t="s">
        <v>233</v>
      </c>
      <c r="D16" s="52"/>
      <c r="E16" s="53" t="s">
        <v>382</v>
      </c>
      <c r="F16" s="12">
        <v>8301</v>
      </c>
      <c r="G16" s="12" t="s">
        <v>204</v>
      </c>
      <c r="H16" s="13">
        <v>24</v>
      </c>
      <c r="I16" s="31">
        <v>2000</v>
      </c>
      <c r="J16" s="14">
        <v>2153</v>
      </c>
      <c r="K16" s="15">
        <f>L16</f>
        <v>2153</v>
      </c>
      <c r="L16" s="15">
        <v>2153</v>
      </c>
      <c r="M16" s="15">
        <f t="shared" ref="M16" si="10">L16-N16</f>
        <v>2153</v>
      </c>
      <c r="N16" s="15">
        <v>0</v>
      </c>
      <c r="O16" s="58">
        <f t="shared" ref="O16" si="11">IF(L16=0,"0",N16/L16)</f>
        <v>0</v>
      </c>
      <c r="P16" s="39">
        <f t="shared" ref="P16" si="12">IF(L16=0,"0",(24-Q16))</f>
        <v>10</v>
      </c>
      <c r="Q16" s="40">
        <f t="shared" ref="Q16" si="13">SUM(R16:AA16)</f>
        <v>14</v>
      </c>
      <c r="R16" s="7"/>
      <c r="S16" s="6"/>
      <c r="T16" s="16"/>
      <c r="U16" s="16"/>
      <c r="V16" s="17"/>
      <c r="W16" s="5">
        <v>14</v>
      </c>
      <c r="X16" s="16"/>
      <c r="Y16" s="16"/>
      <c r="Z16" s="16"/>
      <c r="AA16" s="18"/>
      <c r="AB16" s="8">
        <f t="shared" ref="AB16" si="14">IF(J16=0,"0",(L16/J16))</f>
        <v>1</v>
      </c>
      <c r="AC16" s="9">
        <f t="shared" ref="AC16" si="15">IF(P16=0,"0",(P16/24))</f>
        <v>0.41666666666666669</v>
      </c>
      <c r="AD16" s="10">
        <f t="shared" ref="AD16" si="16">AC16*AB16*(1-O16)</f>
        <v>0.41666666666666669</v>
      </c>
      <c r="AE16" s="36">
        <f t="shared" si="8"/>
        <v>0.5361111111111112</v>
      </c>
      <c r="AF16" s="87">
        <f t="shared" ref="AF16" si="17">A16</f>
        <v>10</v>
      </c>
    </row>
    <row r="17" spans="1:32" ht="30" customHeight="1">
      <c r="A17" s="102">
        <v>11</v>
      </c>
      <c r="B17" s="11" t="s">
        <v>57</v>
      </c>
      <c r="C17" s="11" t="s">
        <v>128</v>
      </c>
      <c r="D17" s="52" t="s">
        <v>190</v>
      </c>
      <c r="E17" s="53" t="s">
        <v>380</v>
      </c>
      <c r="F17" s="12" t="s">
        <v>200</v>
      </c>
      <c r="G17" s="12">
        <v>1</v>
      </c>
      <c r="H17" s="13">
        <v>24</v>
      </c>
      <c r="I17" s="7">
        <v>60000</v>
      </c>
      <c r="J17" s="14">
        <v>5517</v>
      </c>
      <c r="K17" s="15">
        <f>L17+2357+5213</f>
        <v>13087</v>
      </c>
      <c r="L17" s="15">
        <f>2537+2980</f>
        <v>5517</v>
      </c>
      <c r="M17" s="15">
        <f t="shared" si="1"/>
        <v>5517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0.5361111111111112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127</v>
      </c>
      <c r="E18" s="53" t="s">
        <v>300</v>
      </c>
      <c r="F18" s="12" t="s">
        <v>313</v>
      </c>
      <c r="G18" s="12">
        <v>1</v>
      </c>
      <c r="H18" s="13">
        <v>24</v>
      </c>
      <c r="I18" s="31">
        <v>2000</v>
      </c>
      <c r="J18" s="14">
        <v>2173</v>
      </c>
      <c r="K18" s="15">
        <f>L18+2173</f>
        <v>2173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0.5361111111111112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133</v>
      </c>
      <c r="E19" s="53" t="s">
        <v>188</v>
      </c>
      <c r="F19" s="30" t="s">
        <v>124</v>
      </c>
      <c r="G19" s="33">
        <v>1</v>
      </c>
      <c r="H19" s="35">
        <v>24</v>
      </c>
      <c r="I19" s="7">
        <v>20000</v>
      </c>
      <c r="J19" s="5">
        <v>4244</v>
      </c>
      <c r="K19" s="15">
        <f>L19+4136+5310+5573+5232</f>
        <v>24495</v>
      </c>
      <c r="L19" s="15">
        <f>1769+2475</f>
        <v>4244</v>
      </c>
      <c r="M19" s="15">
        <f t="shared" si="1"/>
        <v>4244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0.5361111111111112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128</v>
      </c>
      <c r="D20" s="52" t="s">
        <v>117</v>
      </c>
      <c r="E20" s="53" t="s">
        <v>137</v>
      </c>
      <c r="F20" s="30" t="s">
        <v>124</v>
      </c>
      <c r="G20" s="33">
        <v>1</v>
      </c>
      <c r="H20" s="35">
        <v>24</v>
      </c>
      <c r="I20" s="7">
        <v>22000</v>
      </c>
      <c r="J20" s="5">
        <v>3645</v>
      </c>
      <c r="K20" s="15">
        <f>L20</f>
        <v>3645</v>
      </c>
      <c r="L20" s="15">
        <f>1338+2307</f>
        <v>3645</v>
      </c>
      <c r="M20" s="15">
        <f t="shared" si="1"/>
        <v>3645</v>
      </c>
      <c r="N20" s="15">
        <v>0</v>
      </c>
      <c r="O20" s="58">
        <f t="shared" si="2"/>
        <v>0</v>
      </c>
      <c r="P20" s="39">
        <f t="shared" si="3"/>
        <v>19</v>
      </c>
      <c r="Q20" s="40">
        <f t="shared" si="4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0.79166666666666663</v>
      </c>
      <c r="AD20" s="10">
        <f>AC20*AB20*(1-O20)</f>
        <v>0.79166666666666663</v>
      </c>
      <c r="AE20" s="36">
        <f t="shared" si="8"/>
        <v>0.5361111111111112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134</v>
      </c>
      <c r="F21" s="12" t="s">
        <v>116</v>
      </c>
      <c r="G21" s="12">
        <v>4</v>
      </c>
      <c r="H21" s="35">
        <v>20</v>
      </c>
      <c r="I21" s="7">
        <v>200000</v>
      </c>
      <c r="J21" s="14">
        <v>28984</v>
      </c>
      <c r="K21" s="15">
        <f>L21+42368+43144+43480</f>
        <v>157976</v>
      </c>
      <c r="L21" s="15">
        <f>7246*4</f>
        <v>28984</v>
      </c>
      <c r="M21" s="15">
        <f t="shared" si="1"/>
        <v>28984</v>
      </c>
      <c r="N21" s="15">
        <v>0</v>
      </c>
      <c r="O21" s="58">
        <f t="shared" si="2"/>
        <v>0</v>
      </c>
      <c r="P21" s="39">
        <f t="shared" si="3"/>
        <v>10</v>
      </c>
      <c r="Q21" s="40">
        <f t="shared" si="4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0.41666666666666669</v>
      </c>
      <c r="AD21" s="10">
        <f t="shared" si="7"/>
        <v>0.41666666666666669</v>
      </c>
      <c r="AE21" s="36">
        <f t="shared" si="8"/>
        <v>0.5361111111111112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8">SUM(I6:I21)</f>
        <v>544850</v>
      </c>
      <c r="J22" s="19">
        <f t="shared" si="18"/>
        <v>73993</v>
      </c>
      <c r="K22" s="20">
        <f t="shared" si="18"/>
        <v>300061</v>
      </c>
      <c r="L22" s="21">
        <f t="shared" si="18"/>
        <v>70171</v>
      </c>
      <c r="M22" s="20">
        <f t="shared" si="18"/>
        <v>70171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193</v>
      </c>
      <c r="Q22" s="43">
        <f t="shared" si="19"/>
        <v>191</v>
      </c>
      <c r="R22" s="23">
        <f t="shared" si="19"/>
        <v>24</v>
      </c>
      <c r="S22" s="24">
        <f t="shared" si="19"/>
        <v>9</v>
      </c>
      <c r="T22" s="24">
        <f t="shared" si="19"/>
        <v>0</v>
      </c>
      <c r="U22" s="24">
        <f t="shared" si="19"/>
        <v>0</v>
      </c>
      <c r="V22" s="25">
        <f t="shared" si="19"/>
        <v>14</v>
      </c>
      <c r="W22" s="26">
        <f t="shared" si="19"/>
        <v>144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0.73333333333333328</v>
      </c>
      <c r="AC22" s="4">
        <f>SUM(AC6:AC21)/15</f>
        <v>0.5361111111111112</v>
      </c>
      <c r="AD22" s="4">
        <f>SUM(AD6:AD21)/15</f>
        <v>0.5361111111111112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407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412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245" t="s">
        <v>46</v>
      </c>
      <c r="D51" s="245" t="s">
        <v>47</v>
      </c>
      <c r="E51" s="245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245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310</v>
      </c>
      <c r="B52" s="383"/>
      <c r="C52" s="247" t="s">
        <v>227</v>
      </c>
      <c r="D52" s="247" t="s">
        <v>331</v>
      </c>
      <c r="E52" s="247" t="s">
        <v>332</v>
      </c>
      <c r="F52" s="384" t="s">
        <v>408</v>
      </c>
      <c r="G52" s="385"/>
      <c r="H52" s="385"/>
      <c r="I52" s="385"/>
      <c r="J52" s="385"/>
      <c r="K52" s="385"/>
      <c r="L52" s="385"/>
      <c r="M52" s="386"/>
      <c r="N52" s="246" t="s">
        <v>114</v>
      </c>
      <c r="O52" s="252" t="s">
        <v>176</v>
      </c>
      <c r="P52" s="389" t="s">
        <v>117</v>
      </c>
      <c r="Q52" s="390"/>
      <c r="R52" s="383" t="s">
        <v>228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128</v>
      </c>
      <c r="B53" s="383"/>
      <c r="C53" s="247" t="s">
        <v>176</v>
      </c>
      <c r="D53" s="247" t="s">
        <v>117</v>
      </c>
      <c r="E53" s="247" t="s">
        <v>137</v>
      </c>
      <c r="F53" s="384" t="s">
        <v>409</v>
      </c>
      <c r="G53" s="385"/>
      <c r="H53" s="385"/>
      <c r="I53" s="385"/>
      <c r="J53" s="385"/>
      <c r="K53" s="385"/>
      <c r="L53" s="385"/>
      <c r="M53" s="386"/>
      <c r="N53" s="246" t="s">
        <v>310</v>
      </c>
      <c r="O53" s="252" t="s">
        <v>227</v>
      </c>
      <c r="P53" s="389" t="s">
        <v>331</v>
      </c>
      <c r="Q53" s="390"/>
      <c r="R53" s="383" t="s">
        <v>332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247" t="s">
        <v>176</v>
      </c>
      <c r="D54" s="247" t="s">
        <v>117</v>
      </c>
      <c r="E54" s="247" t="s">
        <v>228</v>
      </c>
      <c r="F54" s="384" t="s">
        <v>410</v>
      </c>
      <c r="G54" s="385"/>
      <c r="H54" s="385"/>
      <c r="I54" s="385"/>
      <c r="J54" s="385"/>
      <c r="K54" s="385"/>
      <c r="L54" s="385"/>
      <c r="M54" s="386"/>
      <c r="N54" s="246" t="s">
        <v>114</v>
      </c>
      <c r="O54" s="252" t="s">
        <v>129</v>
      </c>
      <c r="P54" s="389" t="s">
        <v>414</v>
      </c>
      <c r="Q54" s="390"/>
      <c r="R54" s="383" t="s">
        <v>413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233</v>
      </c>
      <c r="B55" s="383"/>
      <c r="C55" s="247" t="s">
        <v>237</v>
      </c>
      <c r="D55" s="247"/>
      <c r="E55" s="247" t="s">
        <v>382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246" t="s">
        <v>233</v>
      </c>
      <c r="O55" s="252" t="s">
        <v>237</v>
      </c>
      <c r="P55" s="389"/>
      <c r="Q55" s="390"/>
      <c r="R55" s="383" t="s">
        <v>382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233</v>
      </c>
      <c r="B56" s="383"/>
      <c r="C56" s="247" t="s">
        <v>237</v>
      </c>
      <c r="D56" s="247"/>
      <c r="E56" s="247" t="s">
        <v>211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246" t="s">
        <v>128</v>
      </c>
      <c r="O56" s="252" t="s">
        <v>176</v>
      </c>
      <c r="P56" s="389" t="s">
        <v>117</v>
      </c>
      <c r="Q56" s="390"/>
      <c r="R56" s="383" t="s">
        <v>137</v>
      </c>
      <c r="S56" s="383"/>
      <c r="T56" s="383"/>
      <c r="U56" s="383"/>
      <c r="V56" s="387" t="s">
        <v>174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114</v>
      </c>
      <c r="B57" s="383"/>
      <c r="C57" s="247" t="s">
        <v>129</v>
      </c>
      <c r="D57" s="247" t="s">
        <v>117</v>
      </c>
      <c r="E57" s="247" t="s">
        <v>400</v>
      </c>
      <c r="F57" s="384" t="s">
        <v>411</v>
      </c>
      <c r="G57" s="385"/>
      <c r="H57" s="385"/>
      <c r="I57" s="385"/>
      <c r="J57" s="385"/>
      <c r="K57" s="385"/>
      <c r="L57" s="385"/>
      <c r="M57" s="386"/>
      <c r="N57" s="246"/>
      <c r="O57" s="252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247"/>
      <c r="D58" s="247"/>
      <c r="E58" s="247"/>
      <c r="F58" s="384"/>
      <c r="G58" s="385"/>
      <c r="H58" s="385"/>
      <c r="I58" s="385"/>
      <c r="J58" s="385"/>
      <c r="K58" s="385"/>
      <c r="L58" s="385"/>
      <c r="M58" s="386"/>
      <c r="N58" s="246"/>
      <c r="O58" s="252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247"/>
      <c r="D59" s="247"/>
      <c r="E59" s="247"/>
      <c r="F59" s="384"/>
      <c r="G59" s="385"/>
      <c r="H59" s="385"/>
      <c r="I59" s="385"/>
      <c r="J59" s="385"/>
      <c r="K59" s="385"/>
      <c r="L59" s="385"/>
      <c r="M59" s="386"/>
      <c r="N59" s="246"/>
      <c r="O59" s="252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247"/>
      <c r="D60" s="247"/>
      <c r="E60" s="247"/>
      <c r="F60" s="384"/>
      <c r="G60" s="385"/>
      <c r="H60" s="385"/>
      <c r="I60" s="385"/>
      <c r="J60" s="385"/>
      <c r="K60" s="385"/>
      <c r="L60" s="385"/>
      <c r="M60" s="386"/>
      <c r="N60" s="246"/>
      <c r="O60" s="252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249"/>
      <c r="D61" s="249"/>
      <c r="E61" s="249"/>
      <c r="F61" s="393"/>
      <c r="G61" s="393"/>
      <c r="H61" s="393"/>
      <c r="I61" s="393"/>
      <c r="J61" s="393"/>
      <c r="K61" s="393"/>
      <c r="L61" s="393"/>
      <c r="M61" s="394"/>
      <c r="N61" s="248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415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250" t="s">
        <v>2</v>
      </c>
      <c r="D63" s="250" t="s">
        <v>37</v>
      </c>
      <c r="E63" s="250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250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310</v>
      </c>
      <c r="D64" s="254"/>
      <c r="E64" s="251"/>
      <c r="F64" s="406" t="s">
        <v>416</v>
      </c>
      <c r="G64" s="407"/>
      <c r="H64" s="407"/>
      <c r="I64" s="407"/>
      <c r="J64" s="407"/>
      <c r="K64" s="407" t="s">
        <v>417</v>
      </c>
      <c r="L64" s="407"/>
      <c r="M64" s="51" t="s">
        <v>240</v>
      </c>
      <c r="N64" s="408" t="s">
        <v>168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 t="s">
        <v>114</v>
      </c>
      <c r="D65" s="254"/>
      <c r="E65" s="251" t="s">
        <v>117</v>
      </c>
      <c r="F65" s="406" t="s">
        <v>418</v>
      </c>
      <c r="G65" s="407"/>
      <c r="H65" s="407"/>
      <c r="I65" s="407"/>
      <c r="J65" s="407"/>
      <c r="K65" s="407" t="s">
        <v>365</v>
      </c>
      <c r="L65" s="407"/>
      <c r="M65" s="51" t="s">
        <v>240</v>
      </c>
      <c r="N65" s="408" t="s">
        <v>354</v>
      </c>
      <c r="O65" s="408"/>
      <c r="P65" s="409">
        <v>10</v>
      </c>
      <c r="Q65" s="409"/>
      <c r="R65" s="387" t="s">
        <v>419</v>
      </c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254"/>
      <c r="E66" s="251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254"/>
      <c r="E67" s="25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254"/>
      <c r="E68" s="25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254"/>
      <c r="E69" s="25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254"/>
      <c r="E70" s="25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254"/>
      <c r="E71" s="251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420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253" t="s">
        <v>2</v>
      </c>
      <c r="D73" s="253" t="s">
        <v>37</v>
      </c>
      <c r="E73" s="253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255" t="s">
        <v>114</v>
      </c>
      <c r="D74" s="255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254"/>
      <c r="D75" s="254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20">A75+1</f>
        <v>3</v>
      </c>
      <c r="B76" s="419"/>
      <c r="C76" s="254"/>
      <c r="D76" s="254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20"/>
        <v>4</v>
      </c>
      <c r="B77" s="419"/>
      <c r="C77" s="254"/>
      <c r="D77" s="254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0"/>
        <v>5</v>
      </c>
      <c r="B78" s="419"/>
      <c r="C78" s="254"/>
      <c r="D78" s="254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0"/>
        <v>6</v>
      </c>
      <c r="B79" s="419"/>
      <c r="C79" s="254"/>
      <c r="D79" s="254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0"/>
        <v>7</v>
      </c>
      <c r="B80" s="419"/>
      <c r="C80" s="254"/>
      <c r="D80" s="254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0"/>
        <v>8</v>
      </c>
      <c r="B81" s="419"/>
      <c r="C81" s="254"/>
      <c r="D81" s="254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0"/>
        <v>9</v>
      </c>
      <c r="B82" s="419"/>
      <c r="C82" s="254"/>
      <c r="D82" s="254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421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9E60-383A-42A1-971D-4FC07F37831F}">
  <sheetPr>
    <pageSetUpPr fitToPage="1"/>
  </sheetPr>
  <dimension ref="A1:AF87"/>
  <sheetViews>
    <sheetView zoomScale="72" zoomScaleNormal="72" zoomScaleSheetLayoutView="70" workbookViewId="0">
      <selection activeCell="U14" sqref="U1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422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67" t="s">
        <v>17</v>
      </c>
      <c r="L5" s="267" t="s">
        <v>18</v>
      </c>
      <c r="M5" s="267" t="s">
        <v>19</v>
      </c>
      <c r="N5" s="26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6" si="8">$AD$22</f>
        <v>0.31111111111111106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0.31111111111111106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358</v>
      </c>
      <c r="F8" s="30" t="s">
        <v>126</v>
      </c>
      <c r="G8" s="33">
        <v>1</v>
      </c>
      <c r="H8" s="35">
        <v>24</v>
      </c>
      <c r="I8" s="7">
        <v>62000</v>
      </c>
      <c r="J8" s="5">
        <v>5242</v>
      </c>
      <c r="K8" s="15">
        <f>L8+3980+5675+3264+5251+5511</f>
        <v>28923</v>
      </c>
      <c r="L8" s="15">
        <f>2710+2532</f>
        <v>5242</v>
      </c>
      <c r="M8" s="15">
        <f t="shared" si="1"/>
        <v>5242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0.31111111111111106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5508</v>
      </c>
      <c r="K9" s="15">
        <f>L9+2483+2720+3334+3355+5508</f>
        <v>17400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0.31111111111111106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6093</v>
      </c>
      <c r="K10" s="15">
        <f>L10+4000+2801+4378+6093</f>
        <v>17272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0.31111111111111106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/>
      <c r="I11" s="7">
        <v>15000</v>
      </c>
      <c r="J11" s="14">
        <v>1250</v>
      </c>
      <c r="K11" s="15">
        <f>L11+5508+2684+5416+1250</f>
        <v>14858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0.31111111111111106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802</v>
      </c>
      <c r="K12" s="15">
        <f>L12+2858+3260+3809+4479+5691</f>
        <v>20899</v>
      </c>
      <c r="L12" s="15">
        <v>802</v>
      </c>
      <c r="M12" s="15">
        <f t="shared" si="1"/>
        <v>802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>
        <v>20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 t="shared" si="7"/>
        <v>0.16666666666666666</v>
      </c>
      <c r="AE12" s="36">
        <f t="shared" si="8"/>
        <v>0.31111111111111106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413</v>
      </c>
      <c r="F13" s="30" t="s">
        <v>351</v>
      </c>
      <c r="G13" s="33">
        <v>1</v>
      </c>
      <c r="H13" s="35">
        <v>24</v>
      </c>
      <c r="I13" s="7">
        <v>500</v>
      </c>
      <c r="J13" s="14">
        <v>571</v>
      </c>
      <c r="K13" s="15">
        <f>L13</f>
        <v>571</v>
      </c>
      <c r="L13" s="15">
        <v>571</v>
      </c>
      <c r="M13" s="15">
        <f t="shared" si="1"/>
        <v>571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/>
      <c r="T13" s="16"/>
      <c r="U13" s="16"/>
      <c r="V13" s="17"/>
      <c r="W13" s="5">
        <v>13</v>
      </c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si="7"/>
        <v>0.45833333333333331</v>
      </c>
      <c r="AE13" s="36">
        <f t="shared" si="8"/>
        <v>0.31111111111111106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350</v>
      </c>
      <c r="F14" s="30" t="s">
        <v>351</v>
      </c>
      <c r="G14" s="33">
        <v>1</v>
      </c>
      <c r="H14" s="35">
        <v>40</v>
      </c>
      <c r="I14" s="7">
        <v>350</v>
      </c>
      <c r="J14" s="5">
        <v>399</v>
      </c>
      <c r="K14" s="15">
        <f>L14+399</f>
        <v>399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0.31111111111111106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/>
      <c r="E15" s="53" t="s">
        <v>382</v>
      </c>
      <c r="F15" s="12">
        <v>8301</v>
      </c>
      <c r="G15" s="12" t="s">
        <v>204</v>
      </c>
      <c r="H15" s="13">
        <v>24</v>
      </c>
      <c r="I15" s="31">
        <v>2000</v>
      </c>
      <c r="J15" s="14">
        <v>706</v>
      </c>
      <c r="K15" s="15">
        <f>L15</f>
        <v>706</v>
      </c>
      <c r="L15" s="15">
        <f>706</f>
        <v>706</v>
      </c>
      <c r="M15" s="15">
        <f t="shared" si="1"/>
        <v>706</v>
      </c>
      <c r="N15" s="15">
        <v>0</v>
      </c>
      <c r="O15" s="58">
        <f t="shared" si="2"/>
        <v>0</v>
      </c>
      <c r="P15" s="39">
        <f t="shared" si="3"/>
        <v>6</v>
      </c>
      <c r="Q15" s="40">
        <f t="shared" si="4"/>
        <v>18</v>
      </c>
      <c r="R15" s="7"/>
      <c r="S15" s="6">
        <v>18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0.25</v>
      </c>
      <c r="AD15" s="10">
        <f t="shared" si="7"/>
        <v>0.25</v>
      </c>
      <c r="AE15" s="36">
        <f t="shared" si="8"/>
        <v>0.31111111111111106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128</v>
      </c>
      <c r="D16" s="52" t="s">
        <v>190</v>
      </c>
      <c r="E16" s="53" t="s">
        <v>380</v>
      </c>
      <c r="F16" s="12" t="s">
        <v>200</v>
      </c>
      <c r="G16" s="12">
        <v>1</v>
      </c>
      <c r="H16" s="13">
        <v>24</v>
      </c>
      <c r="I16" s="7">
        <v>60000</v>
      </c>
      <c r="J16" s="14">
        <v>5420</v>
      </c>
      <c r="K16" s="15">
        <f>L16+2357+5213+5517</f>
        <v>18507</v>
      </c>
      <c r="L16" s="15">
        <f>2513+2907</f>
        <v>5420</v>
      </c>
      <c r="M16" s="15">
        <f t="shared" si="1"/>
        <v>5420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0.31111111111111106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ref="AE17:AE20" si="10">$AD$22</f>
        <v>0.31111111111111106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128</v>
      </c>
      <c r="D18" s="52" t="s">
        <v>117</v>
      </c>
      <c r="E18" s="53" t="s">
        <v>423</v>
      </c>
      <c r="F18" s="30" t="s">
        <v>424</v>
      </c>
      <c r="G18" s="33">
        <v>1</v>
      </c>
      <c r="H18" s="35">
        <v>24</v>
      </c>
      <c r="I18" s="7">
        <v>500</v>
      </c>
      <c r="J18" s="5">
        <v>840</v>
      </c>
      <c r="K18" s="15">
        <f>L18</f>
        <v>840</v>
      </c>
      <c r="L18" s="15">
        <v>840</v>
      </c>
      <c r="M18" s="15">
        <f t="shared" si="1"/>
        <v>840</v>
      </c>
      <c r="N18" s="15">
        <v>0</v>
      </c>
      <c r="O18" s="58">
        <f t="shared" si="2"/>
        <v>0</v>
      </c>
      <c r="P18" s="39">
        <f t="shared" si="3"/>
        <v>6</v>
      </c>
      <c r="Q18" s="40">
        <f t="shared" si="4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5"/>
        <v>1</v>
      </c>
      <c r="AC18" s="9">
        <f t="shared" si="6"/>
        <v>0.25</v>
      </c>
      <c r="AD18" s="10">
        <f>AC18*AB18*(1-O18)</f>
        <v>0.25</v>
      </c>
      <c r="AE18" s="36">
        <f t="shared" si="10"/>
        <v>0.31111111111111106</v>
      </c>
      <c r="AF18" s="87">
        <f t="shared" si="9"/>
        <v>13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f>48000+42000</f>
        <v>90000</v>
      </c>
      <c r="J19" s="5">
        <v>3725</v>
      </c>
      <c r="K19" s="15">
        <f>L19+4490+5516+5079+4632+5428+5727+5954+3807+5671+5681+3837</f>
        <v>59547</v>
      </c>
      <c r="L19" s="15">
        <f>658+3067</f>
        <v>3725</v>
      </c>
      <c r="M19" s="15">
        <f t="shared" si="1"/>
        <v>3725</v>
      </c>
      <c r="N19" s="15">
        <v>0</v>
      </c>
      <c r="O19" s="58">
        <f t="shared" si="2"/>
        <v>0</v>
      </c>
      <c r="P19" s="39">
        <f t="shared" si="3"/>
        <v>16</v>
      </c>
      <c r="Q19" s="40">
        <f t="shared" si="4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0.66666666666666663</v>
      </c>
      <c r="AD19" s="10">
        <f>AC19*AB19*(1-O19)</f>
        <v>0.66666666666666663</v>
      </c>
      <c r="AE19" s="36">
        <f t="shared" si="10"/>
        <v>0.31111111111111106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34" t="s">
        <v>128</v>
      </c>
      <c r="D20" s="52" t="s">
        <v>117</v>
      </c>
      <c r="E20" s="53" t="s">
        <v>137</v>
      </c>
      <c r="F20" s="30" t="s">
        <v>124</v>
      </c>
      <c r="G20" s="33">
        <v>1</v>
      </c>
      <c r="H20" s="35">
        <v>24</v>
      </c>
      <c r="I20" s="7">
        <v>22000</v>
      </c>
      <c r="J20" s="5">
        <v>4438</v>
      </c>
      <c r="K20" s="15">
        <f>L20+3645</f>
        <v>8083</v>
      </c>
      <c r="L20" s="15">
        <f>1654+2784</f>
        <v>4438</v>
      </c>
      <c r="M20" s="15">
        <f t="shared" si="1"/>
        <v>4438</v>
      </c>
      <c r="N20" s="15">
        <v>0</v>
      </c>
      <c r="O20" s="58">
        <f t="shared" si="2"/>
        <v>0</v>
      </c>
      <c r="P20" s="39">
        <f t="shared" si="3"/>
        <v>21</v>
      </c>
      <c r="Q20" s="40">
        <f t="shared" si="4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0.875</v>
      </c>
      <c r="AD20" s="10">
        <f>AC20*AB20*(1-O20)</f>
        <v>0.875</v>
      </c>
      <c r="AE20" s="36">
        <f t="shared" si="10"/>
        <v>0.31111111111111106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134</v>
      </c>
      <c r="F21" s="12" t="s">
        <v>116</v>
      </c>
      <c r="G21" s="12">
        <v>4</v>
      </c>
      <c r="H21" s="35">
        <v>20</v>
      </c>
      <c r="I21" s="7">
        <v>200000</v>
      </c>
      <c r="J21" s="14">
        <v>28984</v>
      </c>
      <c r="K21" s="15">
        <f>L21+42368+43144+43480+28984</f>
        <v>157976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>$AD$22</f>
        <v>0.31111111111111106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11">SUM(I6:I21)</f>
        <v>613350</v>
      </c>
      <c r="J22" s="19">
        <f t="shared" si="11"/>
        <v>66151</v>
      </c>
      <c r="K22" s="20">
        <f t="shared" si="11"/>
        <v>348154</v>
      </c>
      <c r="L22" s="21">
        <f t="shared" si="11"/>
        <v>21744</v>
      </c>
      <c r="M22" s="20">
        <f t="shared" si="11"/>
        <v>21744</v>
      </c>
      <c r="N22" s="21">
        <f t="shared" si="11"/>
        <v>0</v>
      </c>
      <c r="O22" s="41">
        <f t="shared" si="2"/>
        <v>0</v>
      </c>
      <c r="P22" s="42">
        <f t="shared" ref="P22:AA22" si="12">SUM(P6:P21)</f>
        <v>112</v>
      </c>
      <c r="Q22" s="43">
        <f t="shared" si="12"/>
        <v>272</v>
      </c>
      <c r="R22" s="23">
        <f t="shared" si="12"/>
        <v>24</v>
      </c>
      <c r="S22" s="24">
        <f t="shared" si="12"/>
        <v>97</v>
      </c>
      <c r="T22" s="24">
        <f t="shared" si="12"/>
        <v>0</v>
      </c>
      <c r="U22" s="24">
        <f t="shared" si="12"/>
        <v>0</v>
      </c>
      <c r="V22" s="25">
        <f t="shared" si="12"/>
        <v>0</v>
      </c>
      <c r="W22" s="26">
        <f t="shared" si="12"/>
        <v>151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0</v>
      </c>
      <c r="AB22" s="28">
        <f>SUM(AB6:AB21)/15</f>
        <v>0.53333333333333333</v>
      </c>
      <c r="AC22" s="4">
        <f>SUM(AC6:AC21)/15</f>
        <v>0.31111111111111106</v>
      </c>
      <c r="AD22" s="4">
        <f>SUM(AD6:AD21)/15</f>
        <v>0.31111111111111106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425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428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266" t="s">
        <v>46</v>
      </c>
      <c r="D51" s="266" t="s">
        <v>47</v>
      </c>
      <c r="E51" s="266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266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128</v>
      </c>
      <c r="B52" s="383"/>
      <c r="C52" s="263" t="s">
        <v>171</v>
      </c>
      <c r="D52" s="263" t="s">
        <v>117</v>
      </c>
      <c r="E52" s="263" t="s">
        <v>426</v>
      </c>
      <c r="F52" s="384" t="s">
        <v>123</v>
      </c>
      <c r="G52" s="385"/>
      <c r="H52" s="385"/>
      <c r="I52" s="385"/>
      <c r="J52" s="385"/>
      <c r="K52" s="385"/>
      <c r="L52" s="385"/>
      <c r="M52" s="386"/>
      <c r="N52" s="262" t="s">
        <v>114</v>
      </c>
      <c r="O52" s="260" t="s">
        <v>354</v>
      </c>
      <c r="P52" s="389" t="s">
        <v>117</v>
      </c>
      <c r="Q52" s="390"/>
      <c r="R52" s="383" t="s">
        <v>429</v>
      </c>
      <c r="S52" s="383"/>
      <c r="T52" s="383"/>
      <c r="U52" s="383"/>
      <c r="V52" s="387" t="s">
        <v>123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263" t="s">
        <v>171</v>
      </c>
      <c r="D53" s="263" t="s">
        <v>117</v>
      </c>
      <c r="E53" s="263" t="s">
        <v>228</v>
      </c>
      <c r="F53" s="384" t="s">
        <v>174</v>
      </c>
      <c r="G53" s="385"/>
      <c r="H53" s="385"/>
      <c r="I53" s="385"/>
      <c r="J53" s="385"/>
      <c r="K53" s="385"/>
      <c r="L53" s="385"/>
      <c r="M53" s="386"/>
      <c r="N53" s="262" t="s">
        <v>128</v>
      </c>
      <c r="O53" s="260" t="s">
        <v>139</v>
      </c>
      <c r="P53" s="389" t="s">
        <v>125</v>
      </c>
      <c r="Q53" s="390"/>
      <c r="R53" s="383" t="s">
        <v>130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233</v>
      </c>
      <c r="B54" s="383"/>
      <c r="C54" s="263" t="s">
        <v>237</v>
      </c>
      <c r="D54" s="263"/>
      <c r="E54" s="263" t="s">
        <v>382</v>
      </c>
      <c r="F54" s="384" t="s">
        <v>427</v>
      </c>
      <c r="G54" s="385"/>
      <c r="H54" s="385"/>
      <c r="I54" s="385"/>
      <c r="J54" s="385"/>
      <c r="K54" s="385"/>
      <c r="L54" s="385"/>
      <c r="M54" s="386"/>
      <c r="N54" s="262" t="s">
        <v>114</v>
      </c>
      <c r="O54" s="260" t="s">
        <v>430</v>
      </c>
      <c r="P54" s="389" t="s">
        <v>133</v>
      </c>
      <c r="Q54" s="390"/>
      <c r="R54" s="383" t="s">
        <v>141</v>
      </c>
      <c r="S54" s="383"/>
      <c r="T54" s="383"/>
      <c r="U54" s="383"/>
      <c r="V54" s="387" t="s">
        <v>123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114</v>
      </c>
      <c r="B55" s="383"/>
      <c r="C55" s="263" t="s">
        <v>129</v>
      </c>
      <c r="D55" s="263" t="s">
        <v>117</v>
      </c>
      <c r="E55" s="263" t="s">
        <v>413</v>
      </c>
      <c r="F55" s="384" t="s">
        <v>123</v>
      </c>
      <c r="G55" s="385"/>
      <c r="H55" s="385"/>
      <c r="I55" s="385"/>
      <c r="J55" s="385"/>
      <c r="K55" s="385"/>
      <c r="L55" s="385"/>
      <c r="M55" s="386"/>
      <c r="N55" s="262" t="s">
        <v>128</v>
      </c>
      <c r="O55" s="260" t="s">
        <v>129</v>
      </c>
      <c r="P55" s="389" t="s">
        <v>127</v>
      </c>
      <c r="Q55" s="390"/>
      <c r="R55" s="383" t="s">
        <v>431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128</v>
      </c>
      <c r="B56" s="383"/>
      <c r="C56" s="263" t="s">
        <v>158</v>
      </c>
      <c r="D56" s="263" t="s">
        <v>327</v>
      </c>
      <c r="E56" s="263" t="s">
        <v>359</v>
      </c>
      <c r="F56" s="384" t="s">
        <v>410</v>
      </c>
      <c r="G56" s="385"/>
      <c r="H56" s="385"/>
      <c r="I56" s="385"/>
      <c r="J56" s="385"/>
      <c r="K56" s="385"/>
      <c r="L56" s="385"/>
      <c r="M56" s="386"/>
      <c r="N56" s="262"/>
      <c r="O56" s="260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128</v>
      </c>
      <c r="B57" s="383"/>
      <c r="C57" s="263" t="s">
        <v>176</v>
      </c>
      <c r="D57" s="263" t="s">
        <v>117</v>
      </c>
      <c r="E57" s="263" t="s">
        <v>137</v>
      </c>
      <c r="F57" s="384" t="s">
        <v>174</v>
      </c>
      <c r="G57" s="385"/>
      <c r="H57" s="385"/>
      <c r="I57" s="385"/>
      <c r="J57" s="385"/>
      <c r="K57" s="385"/>
      <c r="L57" s="385"/>
      <c r="M57" s="386"/>
      <c r="N57" s="262"/>
      <c r="O57" s="260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263"/>
      <c r="D58" s="263"/>
      <c r="E58" s="263"/>
      <c r="F58" s="384"/>
      <c r="G58" s="385"/>
      <c r="H58" s="385"/>
      <c r="I58" s="385"/>
      <c r="J58" s="385"/>
      <c r="K58" s="385"/>
      <c r="L58" s="385"/>
      <c r="M58" s="386"/>
      <c r="N58" s="262"/>
      <c r="O58" s="260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263"/>
      <c r="D59" s="263"/>
      <c r="E59" s="263"/>
      <c r="F59" s="384"/>
      <c r="G59" s="385"/>
      <c r="H59" s="385"/>
      <c r="I59" s="385"/>
      <c r="J59" s="385"/>
      <c r="K59" s="385"/>
      <c r="L59" s="385"/>
      <c r="M59" s="386"/>
      <c r="N59" s="262"/>
      <c r="O59" s="260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263"/>
      <c r="D60" s="263"/>
      <c r="E60" s="263"/>
      <c r="F60" s="384"/>
      <c r="G60" s="385"/>
      <c r="H60" s="385"/>
      <c r="I60" s="385"/>
      <c r="J60" s="385"/>
      <c r="K60" s="385"/>
      <c r="L60" s="385"/>
      <c r="M60" s="386"/>
      <c r="N60" s="262"/>
      <c r="O60" s="260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265"/>
      <c r="D61" s="265"/>
      <c r="E61" s="265"/>
      <c r="F61" s="393"/>
      <c r="G61" s="393"/>
      <c r="H61" s="393"/>
      <c r="I61" s="393"/>
      <c r="J61" s="393"/>
      <c r="K61" s="393"/>
      <c r="L61" s="393"/>
      <c r="M61" s="394"/>
      <c r="N61" s="264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432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261" t="s">
        <v>2</v>
      </c>
      <c r="D63" s="261" t="s">
        <v>37</v>
      </c>
      <c r="E63" s="261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261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248</v>
      </c>
      <c r="D64" s="256"/>
      <c r="E64" s="259" t="s">
        <v>117</v>
      </c>
      <c r="F64" s="406" t="s">
        <v>433</v>
      </c>
      <c r="G64" s="407"/>
      <c r="H64" s="407"/>
      <c r="I64" s="407"/>
      <c r="J64" s="407"/>
      <c r="K64" s="407" t="s">
        <v>434</v>
      </c>
      <c r="L64" s="407"/>
      <c r="M64" s="51" t="s">
        <v>240</v>
      </c>
      <c r="N64" s="408" t="s">
        <v>354</v>
      </c>
      <c r="O64" s="408"/>
      <c r="P64" s="409">
        <v>20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 t="s">
        <v>118</v>
      </c>
      <c r="D65" s="256"/>
      <c r="E65" s="259" t="s">
        <v>436</v>
      </c>
      <c r="F65" s="406" t="s">
        <v>435</v>
      </c>
      <c r="G65" s="407"/>
      <c r="H65" s="407"/>
      <c r="I65" s="407"/>
      <c r="J65" s="407"/>
      <c r="K65" s="407">
        <v>7301</v>
      </c>
      <c r="L65" s="407"/>
      <c r="M65" s="51" t="s">
        <v>323</v>
      </c>
      <c r="N65" s="408" t="s">
        <v>129</v>
      </c>
      <c r="O65" s="408"/>
      <c r="P65" s="409">
        <v>100</v>
      </c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 t="s">
        <v>310</v>
      </c>
      <c r="D66" s="256"/>
      <c r="E66" s="259" t="s">
        <v>366</v>
      </c>
      <c r="F66" s="406" t="s">
        <v>357</v>
      </c>
      <c r="G66" s="407"/>
      <c r="H66" s="407"/>
      <c r="I66" s="407"/>
      <c r="J66" s="407"/>
      <c r="K66" s="407" t="s">
        <v>305</v>
      </c>
      <c r="L66" s="407"/>
      <c r="M66" s="51" t="s">
        <v>437</v>
      </c>
      <c r="N66" s="408" t="s">
        <v>161</v>
      </c>
      <c r="O66" s="408"/>
      <c r="P66" s="409"/>
      <c r="Q66" s="409"/>
      <c r="R66" s="387" t="s">
        <v>438</v>
      </c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256"/>
      <c r="E67" s="259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256"/>
      <c r="E68" s="259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256"/>
      <c r="E69" s="259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256"/>
      <c r="E70" s="259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256"/>
      <c r="E71" s="259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439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258" t="s">
        <v>2</v>
      </c>
      <c r="D73" s="258" t="s">
        <v>37</v>
      </c>
      <c r="E73" s="258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257" t="s">
        <v>114</v>
      </c>
      <c r="D74" s="257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256"/>
      <c r="D75" s="256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13">A75+1</f>
        <v>3</v>
      </c>
      <c r="B76" s="419"/>
      <c r="C76" s="256"/>
      <c r="D76" s="256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3"/>
        <v>4</v>
      </c>
      <c r="B77" s="419"/>
      <c r="C77" s="256"/>
      <c r="D77" s="256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3"/>
        <v>5</v>
      </c>
      <c r="B78" s="419"/>
      <c r="C78" s="256"/>
      <c r="D78" s="256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3"/>
        <v>6</v>
      </c>
      <c r="B79" s="419"/>
      <c r="C79" s="256"/>
      <c r="D79" s="256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3"/>
        <v>7</v>
      </c>
      <c r="B80" s="419"/>
      <c r="C80" s="256"/>
      <c r="D80" s="256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3"/>
        <v>8</v>
      </c>
      <c r="B81" s="419"/>
      <c r="C81" s="256"/>
      <c r="D81" s="256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13"/>
        <v>9</v>
      </c>
      <c r="B82" s="419"/>
      <c r="C82" s="256"/>
      <c r="D82" s="256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440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AA05-8292-4DEC-A3F1-2A282EEBFE13}">
  <sheetPr>
    <pageSetUpPr fitToPage="1"/>
  </sheetPr>
  <dimension ref="A1:AF88"/>
  <sheetViews>
    <sheetView zoomScale="72" zoomScaleNormal="72" zoomScaleSheetLayoutView="70" workbookViewId="0">
      <selection activeCell="A13" sqref="A13:XFD1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7.37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441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68" t="s">
        <v>17</v>
      </c>
      <c r="L5" s="268" t="s">
        <v>18</v>
      </c>
      <c r="M5" s="268" t="s">
        <v>19</v>
      </c>
      <c r="N5" s="26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0.40555555555555556</v>
      </c>
      <c r="AF6" s="87">
        <f t="shared" ref="AF6:AF22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0.40555555555555556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130</v>
      </c>
      <c r="F8" s="30" t="s">
        <v>126</v>
      </c>
      <c r="G8" s="33">
        <v>1</v>
      </c>
      <c r="H8" s="35">
        <v>24</v>
      </c>
      <c r="I8" s="7">
        <v>22000</v>
      </c>
      <c r="J8" s="5">
        <v>3695</v>
      </c>
      <c r="K8" s="15">
        <f>L8</f>
        <v>3695</v>
      </c>
      <c r="L8" s="15">
        <f>1851+1844</f>
        <v>3695</v>
      </c>
      <c r="M8" s="15">
        <f t="shared" si="1"/>
        <v>3695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0.40555555555555556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204</v>
      </c>
      <c r="K9" s="15">
        <f>L9+2483+2720+3334+3355+5508</f>
        <v>17604</v>
      </c>
      <c r="L9" s="15">
        <v>204</v>
      </c>
      <c r="M9" s="15">
        <f t="shared" si="1"/>
        <v>204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0.40555555555555556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118</v>
      </c>
      <c r="D10" s="52" t="s">
        <v>442</v>
      </c>
      <c r="E10" s="53" t="s">
        <v>443</v>
      </c>
      <c r="F10" s="30" t="s">
        <v>122</v>
      </c>
      <c r="G10" s="33">
        <v>1</v>
      </c>
      <c r="H10" s="35">
        <v>24</v>
      </c>
      <c r="I10" s="7">
        <v>1000</v>
      </c>
      <c r="J10" s="14">
        <v>1067</v>
      </c>
      <c r="K10" s="15">
        <f>L10</f>
        <v>1067</v>
      </c>
      <c r="L10" s="15">
        <v>1067</v>
      </c>
      <c r="M10" s="15">
        <f t="shared" ref="M10" si="10">L10-N10</f>
        <v>1067</v>
      </c>
      <c r="N10" s="15">
        <v>0</v>
      </c>
      <c r="O10" s="58">
        <f t="shared" ref="O10" si="11">IF(L10=0,"0",N10/L10)</f>
        <v>0</v>
      </c>
      <c r="P10" s="39">
        <f t="shared" ref="P10" si="12">IF(L10=0,"0",(24-Q10))</f>
        <v>6</v>
      </c>
      <c r="Q10" s="40">
        <f t="shared" ref="Q10" si="13">SUM(R10:AA10)</f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ref="AB10" si="14">IF(J10=0,"0",(L10/J10))</f>
        <v>1</v>
      </c>
      <c r="AC10" s="9">
        <f t="shared" ref="AC10" si="15">IF(P10=0,"0",(P10/24))</f>
        <v>0.25</v>
      </c>
      <c r="AD10" s="10">
        <f t="shared" ref="AD10" si="16">AC10*AB10*(1-O10)</f>
        <v>0.25</v>
      </c>
      <c r="AE10" s="36">
        <f t="shared" si="8"/>
        <v>0.40555555555555556</v>
      </c>
      <c r="AF10" s="87">
        <f t="shared" ref="AF10" si="17">A10</f>
        <v>4</v>
      </c>
    </row>
    <row r="11" spans="1:32" ht="27" customHeight="1">
      <c r="A11" s="103">
        <v>5</v>
      </c>
      <c r="B11" s="11" t="s">
        <v>57</v>
      </c>
      <c r="C11" s="34" t="s">
        <v>310</v>
      </c>
      <c r="D11" s="52" t="s">
        <v>331</v>
      </c>
      <c r="E11" s="53" t="s">
        <v>332</v>
      </c>
      <c r="F11" s="30" t="s">
        <v>124</v>
      </c>
      <c r="G11" s="33">
        <v>1</v>
      </c>
      <c r="H11" s="35">
        <v>24</v>
      </c>
      <c r="I11" s="7">
        <v>75000</v>
      </c>
      <c r="J11" s="5">
        <v>6093</v>
      </c>
      <c r="K11" s="15">
        <f>L11+4000+2801+4378+6093</f>
        <v>17272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0.40555555555555556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133</v>
      </c>
      <c r="E12" s="53" t="s">
        <v>141</v>
      </c>
      <c r="F12" s="12" t="s">
        <v>142</v>
      </c>
      <c r="G12" s="12">
        <v>1</v>
      </c>
      <c r="H12" s="13">
        <v>24</v>
      </c>
      <c r="I12" s="7">
        <v>4000</v>
      </c>
      <c r="J12" s="14">
        <v>4550</v>
      </c>
      <c r="K12" s="15">
        <f>L12</f>
        <v>4550</v>
      </c>
      <c r="L12" s="15">
        <f>1537+3013</f>
        <v>4550</v>
      </c>
      <c r="M12" s="15">
        <f t="shared" si="1"/>
        <v>4550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/>
      <c r="T12" s="16">
        <v>3</v>
      </c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0.40555555555555556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310</v>
      </c>
      <c r="D13" s="52" t="s">
        <v>366</v>
      </c>
      <c r="E13" s="53" t="s">
        <v>357</v>
      </c>
      <c r="F13" s="30" t="s">
        <v>124</v>
      </c>
      <c r="G13" s="33" t="s">
        <v>204</v>
      </c>
      <c r="H13" s="35">
        <v>20</v>
      </c>
      <c r="I13" s="7">
        <v>24000</v>
      </c>
      <c r="J13" s="14">
        <v>2489</v>
      </c>
      <c r="K13" s="15">
        <f>L13+2858+3260+3809+4479+5691+802</f>
        <v>23388</v>
      </c>
      <c r="L13" s="15">
        <f>2489</f>
        <v>2489</v>
      </c>
      <c r="M13" s="15">
        <f t="shared" si="1"/>
        <v>2489</v>
      </c>
      <c r="N13" s="15">
        <v>0</v>
      </c>
      <c r="O13" s="58">
        <f t="shared" si="2"/>
        <v>0</v>
      </c>
      <c r="P13" s="39">
        <f t="shared" si="3"/>
        <v>13</v>
      </c>
      <c r="Q13" s="40">
        <f t="shared" si="4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0.54166666666666663</v>
      </c>
      <c r="AD13" s="10">
        <f t="shared" si="7"/>
        <v>0.54166666666666663</v>
      </c>
      <c r="AE13" s="36">
        <f t="shared" si="8"/>
        <v>0.40555555555555556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190</v>
      </c>
      <c r="E14" s="53" t="s">
        <v>444</v>
      </c>
      <c r="F14" s="30" t="s">
        <v>200</v>
      </c>
      <c r="G14" s="33">
        <v>1</v>
      </c>
      <c r="H14" s="35">
        <v>24</v>
      </c>
      <c r="I14" s="7">
        <v>500</v>
      </c>
      <c r="J14" s="14">
        <v>542</v>
      </c>
      <c r="K14" s="15">
        <f>L14</f>
        <v>542</v>
      </c>
      <c r="L14" s="15">
        <v>542</v>
      </c>
      <c r="M14" s="15">
        <f t="shared" si="1"/>
        <v>542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5"/>
        <v>1</v>
      </c>
      <c r="AC14" s="9">
        <f t="shared" si="6"/>
        <v>0.16666666666666666</v>
      </c>
      <c r="AD14" s="10">
        <f t="shared" si="7"/>
        <v>0.16666666666666666</v>
      </c>
      <c r="AE14" s="36">
        <f t="shared" si="8"/>
        <v>0.40555555555555556</v>
      </c>
      <c r="AF14" s="87">
        <f t="shared" si="9"/>
        <v>8</v>
      </c>
    </row>
    <row r="15" spans="1:32" ht="27" customHeight="1">
      <c r="A15" s="103">
        <v>8</v>
      </c>
      <c r="B15" s="11" t="s">
        <v>57</v>
      </c>
      <c r="C15" s="11" t="s">
        <v>128</v>
      </c>
      <c r="D15" s="52" t="s">
        <v>127</v>
      </c>
      <c r="E15" s="53" t="s">
        <v>431</v>
      </c>
      <c r="F15" s="30" t="s">
        <v>322</v>
      </c>
      <c r="G15" s="33">
        <v>1</v>
      </c>
      <c r="H15" s="35">
        <v>24</v>
      </c>
      <c r="I15" s="7">
        <v>500</v>
      </c>
      <c r="J15" s="14">
        <v>623</v>
      </c>
      <c r="K15" s="15">
        <f>L15</f>
        <v>623</v>
      </c>
      <c r="L15" s="15">
        <v>623</v>
      </c>
      <c r="M15" s="15">
        <f t="shared" ref="M15" si="18">L15-N15</f>
        <v>623</v>
      </c>
      <c r="N15" s="15">
        <v>0</v>
      </c>
      <c r="O15" s="58">
        <f t="shared" ref="O15" si="19">IF(L15=0,"0",N15/L15)</f>
        <v>0</v>
      </c>
      <c r="P15" s="39">
        <f t="shared" ref="P15" si="20">IF(L15=0,"0",(24-Q15))</f>
        <v>4</v>
      </c>
      <c r="Q15" s="40">
        <f t="shared" ref="Q15" si="21">SUM(R15:AA15)</f>
        <v>20</v>
      </c>
      <c r="R15" s="7"/>
      <c r="S15" s="6"/>
      <c r="T15" s="16"/>
      <c r="U15" s="16"/>
      <c r="V15" s="17"/>
      <c r="W15" s="5">
        <v>20</v>
      </c>
      <c r="X15" s="16"/>
      <c r="Y15" s="16"/>
      <c r="Z15" s="16"/>
      <c r="AA15" s="18"/>
      <c r="AB15" s="8">
        <f t="shared" ref="AB15" si="22">IF(J15=0,"0",(L15/J15))</f>
        <v>1</v>
      </c>
      <c r="AC15" s="9">
        <f t="shared" ref="AC15" si="23">IF(P15=0,"0",(P15/24))</f>
        <v>0.16666666666666666</v>
      </c>
      <c r="AD15" s="10">
        <f t="shared" ref="AD15" si="24">AC15*AB15*(1-O15)</f>
        <v>0.16666666666666666</v>
      </c>
      <c r="AE15" s="36">
        <f t="shared" si="8"/>
        <v>0.40555555555555556</v>
      </c>
      <c r="AF15" s="87">
        <f t="shared" ref="AF15" si="25">A15</f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117</v>
      </c>
      <c r="E16" s="53" t="s">
        <v>429</v>
      </c>
      <c r="F16" s="30" t="s">
        <v>445</v>
      </c>
      <c r="G16" s="33">
        <v>1</v>
      </c>
      <c r="H16" s="35">
        <v>40</v>
      </c>
      <c r="I16" s="7">
        <v>500</v>
      </c>
      <c r="J16" s="5">
        <v>272</v>
      </c>
      <c r="K16" s="15">
        <f>L16</f>
        <v>272</v>
      </c>
      <c r="L16" s="15">
        <v>272</v>
      </c>
      <c r="M16" s="15">
        <f t="shared" si="1"/>
        <v>272</v>
      </c>
      <c r="N16" s="15">
        <v>0</v>
      </c>
      <c r="O16" s="58">
        <f t="shared" si="2"/>
        <v>0</v>
      </c>
      <c r="P16" s="39">
        <f t="shared" si="3"/>
        <v>5</v>
      </c>
      <c r="Q16" s="40">
        <f t="shared" si="4"/>
        <v>19</v>
      </c>
      <c r="R16" s="7"/>
      <c r="S16" s="6">
        <v>6</v>
      </c>
      <c r="T16" s="16">
        <v>1</v>
      </c>
      <c r="U16" s="16"/>
      <c r="V16" s="17">
        <v>12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0.20833333333333334</v>
      </c>
      <c r="AD16" s="10">
        <f t="shared" si="7"/>
        <v>0.20833333333333334</v>
      </c>
      <c r="AE16" s="36">
        <f t="shared" si="8"/>
        <v>0.40555555555555556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233</v>
      </c>
      <c r="D17" s="52"/>
      <c r="E17" s="53" t="s">
        <v>382</v>
      </c>
      <c r="F17" s="12">
        <v>8301</v>
      </c>
      <c r="G17" s="12" t="s">
        <v>204</v>
      </c>
      <c r="H17" s="13">
        <v>24</v>
      </c>
      <c r="I17" s="31">
        <v>2000</v>
      </c>
      <c r="J17" s="14">
        <v>706</v>
      </c>
      <c r="K17" s="15">
        <f>L17+706</f>
        <v>706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0.40555555555555556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11" t="s">
        <v>128</v>
      </c>
      <c r="D18" s="52" t="s">
        <v>190</v>
      </c>
      <c r="E18" s="53" t="s">
        <v>380</v>
      </c>
      <c r="F18" s="12" t="s">
        <v>200</v>
      </c>
      <c r="G18" s="12">
        <v>1</v>
      </c>
      <c r="H18" s="13">
        <v>24</v>
      </c>
      <c r="I18" s="7">
        <v>60000</v>
      </c>
      <c r="J18" s="14">
        <v>5503</v>
      </c>
      <c r="K18" s="15">
        <f>L18+2357+5213+5517+5420</f>
        <v>24010</v>
      </c>
      <c r="L18" s="15">
        <f>2578+2925</f>
        <v>5503</v>
      </c>
      <c r="M18" s="15">
        <f t="shared" si="1"/>
        <v>5503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0.40555555555555556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114</v>
      </c>
      <c r="D19" s="52" t="s">
        <v>127</v>
      </c>
      <c r="E19" s="53" t="s">
        <v>300</v>
      </c>
      <c r="F19" s="12" t="s">
        <v>313</v>
      </c>
      <c r="G19" s="12">
        <v>1</v>
      </c>
      <c r="H19" s="13">
        <v>24</v>
      </c>
      <c r="I19" s="31">
        <v>2000</v>
      </c>
      <c r="J19" s="14">
        <v>2173</v>
      </c>
      <c r="K19" s="15">
        <f>L19+2173</f>
        <v>2173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0.40555555555555556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114</v>
      </c>
      <c r="D20" s="52" t="s">
        <v>117</v>
      </c>
      <c r="E20" s="53" t="s">
        <v>228</v>
      </c>
      <c r="F20" s="30" t="s">
        <v>124</v>
      </c>
      <c r="G20" s="33">
        <v>1</v>
      </c>
      <c r="H20" s="35">
        <v>24</v>
      </c>
      <c r="I20" s="7">
        <f>48000+42000</f>
        <v>90000</v>
      </c>
      <c r="J20" s="5">
        <v>5801</v>
      </c>
      <c r="K20" s="15">
        <f>L20+4490+5516+5079+4632+5428+5727+5954+3807+5671+5681+3837+3725</f>
        <v>65348</v>
      </c>
      <c r="L20" s="15">
        <f>2721+3080</f>
        <v>5801</v>
      </c>
      <c r="M20" s="15">
        <f t="shared" si="1"/>
        <v>5801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0.40555555555555556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34" t="s">
        <v>128</v>
      </c>
      <c r="D21" s="52" t="s">
        <v>117</v>
      </c>
      <c r="E21" s="53" t="s">
        <v>137</v>
      </c>
      <c r="F21" s="30" t="s">
        <v>124</v>
      </c>
      <c r="G21" s="33">
        <v>1</v>
      </c>
      <c r="H21" s="35">
        <v>24</v>
      </c>
      <c r="I21" s="7">
        <v>22000</v>
      </c>
      <c r="J21" s="5">
        <v>4533</v>
      </c>
      <c r="K21" s="15">
        <f>L21+3645+4438</f>
        <v>12616</v>
      </c>
      <c r="L21" s="15">
        <f>2045+2488</f>
        <v>4533</v>
      </c>
      <c r="M21" s="15">
        <f t="shared" si="1"/>
        <v>4533</v>
      </c>
      <c r="N21" s="15">
        <v>0</v>
      </c>
      <c r="O21" s="58">
        <f t="shared" si="2"/>
        <v>0</v>
      </c>
      <c r="P21" s="39">
        <f t="shared" si="3"/>
        <v>22</v>
      </c>
      <c r="Q21" s="40">
        <f t="shared" si="4"/>
        <v>2</v>
      </c>
      <c r="R21" s="7"/>
      <c r="S21" s="6">
        <v>2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0.91666666666666663</v>
      </c>
      <c r="AD21" s="10">
        <f>AC21*AB21*(1-O21)</f>
        <v>0.91666666666666663</v>
      </c>
      <c r="AE21" s="36">
        <f t="shared" si="8"/>
        <v>0.40555555555555556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134</v>
      </c>
      <c r="F22" s="12" t="s">
        <v>116</v>
      </c>
      <c r="G22" s="12">
        <v>4</v>
      </c>
      <c r="H22" s="35">
        <v>20</v>
      </c>
      <c r="I22" s="7">
        <v>200000</v>
      </c>
      <c r="J22" s="14">
        <v>28984</v>
      </c>
      <c r="K22" s="15">
        <f>L22+42368+43144+43480+28984</f>
        <v>157976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>
        <f t="shared" si="5"/>
        <v>0</v>
      </c>
      <c r="AC22" s="9">
        <f t="shared" si="6"/>
        <v>0</v>
      </c>
      <c r="AD22" s="10">
        <f t="shared" si="7"/>
        <v>0</v>
      </c>
      <c r="AE22" s="36">
        <f t="shared" si="8"/>
        <v>0.40555555555555556</v>
      </c>
      <c r="AF22" s="87">
        <f t="shared" si="9"/>
        <v>15</v>
      </c>
    </row>
    <row r="23" spans="1:32" ht="31.5" customHeight="1" thickBot="1">
      <c r="A23" s="355" t="s">
        <v>34</v>
      </c>
      <c r="B23" s="356"/>
      <c r="C23" s="356"/>
      <c r="D23" s="356"/>
      <c r="E23" s="356"/>
      <c r="F23" s="356"/>
      <c r="G23" s="356"/>
      <c r="H23" s="357"/>
      <c r="I23" s="22">
        <f t="shared" ref="I23:N23" si="26">SUM(I6:I22)</f>
        <v>563500</v>
      </c>
      <c r="J23" s="19">
        <f t="shared" si="26"/>
        <v>67235</v>
      </c>
      <c r="K23" s="20">
        <f t="shared" si="26"/>
        <v>331842</v>
      </c>
      <c r="L23" s="21">
        <f t="shared" si="26"/>
        <v>29279</v>
      </c>
      <c r="M23" s="20">
        <f t="shared" si="26"/>
        <v>29279</v>
      </c>
      <c r="N23" s="21">
        <f t="shared" si="26"/>
        <v>0</v>
      </c>
      <c r="O23" s="41">
        <f t="shared" si="2"/>
        <v>0</v>
      </c>
      <c r="P23" s="42">
        <f t="shared" ref="P23:AA23" si="27">SUM(P6:P22)</f>
        <v>146</v>
      </c>
      <c r="Q23" s="43">
        <f t="shared" si="27"/>
        <v>262</v>
      </c>
      <c r="R23" s="23">
        <f t="shared" si="27"/>
        <v>24</v>
      </c>
      <c r="S23" s="24">
        <f t="shared" si="27"/>
        <v>92</v>
      </c>
      <c r="T23" s="24">
        <f t="shared" si="27"/>
        <v>4</v>
      </c>
      <c r="U23" s="24">
        <f t="shared" si="27"/>
        <v>0</v>
      </c>
      <c r="V23" s="25">
        <f t="shared" si="27"/>
        <v>12</v>
      </c>
      <c r="W23" s="26">
        <f t="shared" si="27"/>
        <v>130</v>
      </c>
      <c r="X23" s="27">
        <f t="shared" si="27"/>
        <v>0</v>
      </c>
      <c r="Y23" s="27">
        <f t="shared" si="27"/>
        <v>0</v>
      </c>
      <c r="Z23" s="27">
        <f t="shared" si="27"/>
        <v>0</v>
      </c>
      <c r="AA23" s="27">
        <f t="shared" si="27"/>
        <v>0</v>
      </c>
      <c r="AB23" s="28">
        <f>SUM(AB6:AB22)/15</f>
        <v>0.73333333333333328</v>
      </c>
      <c r="AC23" s="4">
        <f>SUM(AC6:AC22)/15</f>
        <v>0.40555555555555556</v>
      </c>
      <c r="AD23" s="4">
        <f>SUM(AD6:AD22)/15</f>
        <v>0.40555555555555556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358" t="s">
        <v>45</v>
      </c>
      <c r="B50" s="358"/>
      <c r="C50" s="358"/>
      <c r="D50" s="358"/>
      <c r="E50" s="35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359" t="s">
        <v>446</v>
      </c>
      <c r="B51" s="360"/>
      <c r="C51" s="360"/>
      <c r="D51" s="360"/>
      <c r="E51" s="360"/>
      <c r="F51" s="360"/>
      <c r="G51" s="360"/>
      <c r="H51" s="360"/>
      <c r="I51" s="360"/>
      <c r="J51" s="360"/>
      <c r="K51" s="360"/>
      <c r="L51" s="360"/>
      <c r="M51" s="361"/>
      <c r="N51" s="362" t="s">
        <v>452</v>
      </c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  <c r="AA51" s="363"/>
      <c r="AB51" s="363"/>
      <c r="AC51" s="363"/>
      <c r="AD51" s="364"/>
    </row>
    <row r="52" spans="1:32" ht="27" customHeight="1">
      <c r="A52" s="365" t="s">
        <v>2</v>
      </c>
      <c r="B52" s="366"/>
      <c r="C52" s="269" t="s">
        <v>46</v>
      </c>
      <c r="D52" s="269" t="s">
        <v>47</v>
      </c>
      <c r="E52" s="269" t="s">
        <v>108</v>
      </c>
      <c r="F52" s="366" t="s">
        <v>107</v>
      </c>
      <c r="G52" s="366"/>
      <c r="H52" s="366"/>
      <c r="I52" s="366"/>
      <c r="J52" s="366"/>
      <c r="K52" s="366"/>
      <c r="L52" s="366"/>
      <c r="M52" s="367"/>
      <c r="N52" s="67" t="s">
        <v>112</v>
      </c>
      <c r="O52" s="269" t="s">
        <v>46</v>
      </c>
      <c r="P52" s="368" t="s">
        <v>47</v>
      </c>
      <c r="Q52" s="369"/>
      <c r="R52" s="368" t="s">
        <v>38</v>
      </c>
      <c r="S52" s="370"/>
      <c r="T52" s="370"/>
      <c r="U52" s="369"/>
      <c r="V52" s="368" t="s">
        <v>48</v>
      </c>
      <c r="W52" s="370"/>
      <c r="X52" s="370"/>
      <c r="Y52" s="370"/>
      <c r="Z52" s="370"/>
      <c r="AA52" s="370"/>
      <c r="AB52" s="370"/>
      <c r="AC52" s="370"/>
      <c r="AD52" s="371"/>
    </row>
    <row r="53" spans="1:32" ht="27" customHeight="1">
      <c r="A53" s="382" t="s">
        <v>128</v>
      </c>
      <c r="B53" s="383"/>
      <c r="C53" s="271" t="s">
        <v>129</v>
      </c>
      <c r="D53" s="271" t="s">
        <v>127</v>
      </c>
      <c r="E53" s="271" t="s">
        <v>431</v>
      </c>
      <c r="F53" s="384" t="s">
        <v>123</v>
      </c>
      <c r="G53" s="385"/>
      <c r="H53" s="385"/>
      <c r="I53" s="385"/>
      <c r="J53" s="385"/>
      <c r="K53" s="385"/>
      <c r="L53" s="385"/>
      <c r="M53" s="386"/>
      <c r="N53" s="270" t="s">
        <v>114</v>
      </c>
      <c r="O53" s="276" t="s">
        <v>354</v>
      </c>
      <c r="P53" s="389" t="s">
        <v>117</v>
      </c>
      <c r="Q53" s="390"/>
      <c r="R53" s="383" t="s">
        <v>429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114</v>
      </c>
      <c r="B54" s="383"/>
      <c r="C54" s="271" t="s">
        <v>129</v>
      </c>
      <c r="D54" s="271" t="s">
        <v>190</v>
      </c>
      <c r="E54" s="271" t="s">
        <v>444</v>
      </c>
      <c r="F54" s="384" t="s">
        <v>447</v>
      </c>
      <c r="G54" s="385"/>
      <c r="H54" s="385"/>
      <c r="I54" s="385"/>
      <c r="J54" s="385"/>
      <c r="K54" s="385"/>
      <c r="L54" s="385"/>
      <c r="M54" s="386"/>
      <c r="N54" s="270" t="s">
        <v>128</v>
      </c>
      <c r="O54" s="276" t="s">
        <v>139</v>
      </c>
      <c r="P54" s="389" t="s">
        <v>125</v>
      </c>
      <c r="Q54" s="390"/>
      <c r="R54" s="383" t="s">
        <v>130</v>
      </c>
      <c r="S54" s="383"/>
      <c r="T54" s="383"/>
      <c r="U54" s="383"/>
      <c r="V54" s="387" t="s">
        <v>174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128</v>
      </c>
      <c r="B55" s="383"/>
      <c r="C55" s="271" t="s">
        <v>139</v>
      </c>
      <c r="D55" s="271" t="s">
        <v>125</v>
      </c>
      <c r="E55" s="271" t="s">
        <v>130</v>
      </c>
      <c r="F55" s="384" t="s">
        <v>448</v>
      </c>
      <c r="G55" s="385"/>
      <c r="H55" s="385"/>
      <c r="I55" s="385"/>
      <c r="J55" s="385"/>
      <c r="K55" s="385"/>
      <c r="L55" s="385"/>
      <c r="M55" s="386"/>
      <c r="N55" s="270" t="s">
        <v>128</v>
      </c>
      <c r="O55" s="276" t="s">
        <v>158</v>
      </c>
      <c r="P55" s="389" t="s">
        <v>327</v>
      </c>
      <c r="Q55" s="390"/>
      <c r="R55" s="383" t="s">
        <v>359</v>
      </c>
      <c r="S55" s="383"/>
      <c r="T55" s="383"/>
      <c r="U55" s="383"/>
      <c r="V55" s="387" t="s">
        <v>174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114</v>
      </c>
      <c r="B56" s="383"/>
      <c r="C56" s="271" t="s">
        <v>354</v>
      </c>
      <c r="D56" s="271" t="s">
        <v>117</v>
      </c>
      <c r="E56" s="271" t="s">
        <v>429</v>
      </c>
      <c r="F56" s="384" t="s">
        <v>449</v>
      </c>
      <c r="G56" s="385"/>
      <c r="H56" s="385"/>
      <c r="I56" s="385"/>
      <c r="J56" s="385"/>
      <c r="K56" s="385"/>
      <c r="L56" s="385"/>
      <c r="M56" s="386"/>
      <c r="N56" s="270" t="s">
        <v>310</v>
      </c>
      <c r="O56" s="276" t="s">
        <v>227</v>
      </c>
      <c r="P56" s="389" t="s">
        <v>331</v>
      </c>
      <c r="Q56" s="390"/>
      <c r="R56" s="383" t="s">
        <v>332</v>
      </c>
      <c r="S56" s="383"/>
      <c r="T56" s="383"/>
      <c r="U56" s="383"/>
      <c r="V56" s="387" t="s">
        <v>174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128</v>
      </c>
      <c r="B57" s="383"/>
      <c r="C57" s="271" t="s">
        <v>158</v>
      </c>
      <c r="D57" s="271" t="s">
        <v>327</v>
      </c>
      <c r="E57" s="271" t="s">
        <v>359</v>
      </c>
      <c r="F57" s="384" t="s">
        <v>450</v>
      </c>
      <c r="G57" s="385"/>
      <c r="H57" s="385"/>
      <c r="I57" s="385"/>
      <c r="J57" s="385"/>
      <c r="K57" s="385"/>
      <c r="L57" s="385"/>
      <c r="M57" s="386"/>
      <c r="N57" s="270" t="s">
        <v>310</v>
      </c>
      <c r="O57" s="276" t="s">
        <v>161</v>
      </c>
      <c r="P57" s="389" t="s">
        <v>453</v>
      </c>
      <c r="Q57" s="390"/>
      <c r="R57" s="383" t="s">
        <v>357</v>
      </c>
      <c r="S57" s="383"/>
      <c r="T57" s="383"/>
      <c r="U57" s="383"/>
      <c r="V57" s="387" t="s">
        <v>174</v>
      </c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128</v>
      </c>
      <c r="B58" s="383"/>
      <c r="C58" s="271" t="s">
        <v>176</v>
      </c>
      <c r="D58" s="271" t="s">
        <v>117</v>
      </c>
      <c r="E58" s="271" t="s">
        <v>137</v>
      </c>
      <c r="F58" s="384" t="s">
        <v>451</v>
      </c>
      <c r="G58" s="385"/>
      <c r="H58" s="385"/>
      <c r="I58" s="385"/>
      <c r="J58" s="385"/>
      <c r="K58" s="385"/>
      <c r="L58" s="385"/>
      <c r="M58" s="386"/>
      <c r="N58" s="270" t="s">
        <v>128</v>
      </c>
      <c r="O58" s="276" t="s">
        <v>176</v>
      </c>
      <c r="P58" s="389" t="s">
        <v>117</v>
      </c>
      <c r="Q58" s="390"/>
      <c r="R58" s="383" t="s">
        <v>137</v>
      </c>
      <c r="S58" s="383"/>
      <c r="T58" s="383"/>
      <c r="U58" s="383"/>
      <c r="V58" s="387" t="s">
        <v>174</v>
      </c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 t="s">
        <v>118</v>
      </c>
      <c r="B59" s="383"/>
      <c r="C59" s="271" t="s">
        <v>158</v>
      </c>
      <c r="D59" s="271" t="s">
        <v>442</v>
      </c>
      <c r="E59" s="271" t="s">
        <v>443</v>
      </c>
      <c r="F59" s="384" t="s">
        <v>123</v>
      </c>
      <c r="G59" s="385"/>
      <c r="H59" s="385"/>
      <c r="I59" s="385"/>
      <c r="J59" s="385"/>
      <c r="K59" s="385"/>
      <c r="L59" s="385"/>
      <c r="M59" s="386"/>
      <c r="N59" s="270"/>
      <c r="O59" s="276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 t="s">
        <v>114</v>
      </c>
      <c r="B60" s="383"/>
      <c r="C60" s="271" t="s">
        <v>430</v>
      </c>
      <c r="D60" s="271" t="s">
        <v>133</v>
      </c>
      <c r="E60" s="271" t="s">
        <v>199</v>
      </c>
      <c r="F60" s="384" t="s">
        <v>123</v>
      </c>
      <c r="G60" s="385"/>
      <c r="H60" s="385"/>
      <c r="I60" s="385"/>
      <c r="J60" s="385"/>
      <c r="K60" s="385"/>
      <c r="L60" s="385"/>
      <c r="M60" s="386"/>
      <c r="N60" s="270"/>
      <c r="O60" s="276"/>
      <c r="P60" s="389"/>
      <c r="Q60" s="390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</row>
    <row r="61" spans="1:32" ht="27" customHeight="1">
      <c r="A61" s="382" t="s">
        <v>310</v>
      </c>
      <c r="B61" s="383"/>
      <c r="C61" s="271" t="s">
        <v>161</v>
      </c>
      <c r="D61" s="271" t="s">
        <v>453</v>
      </c>
      <c r="E61" s="271" t="s">
        <v>357</v>
      </c>
      <c r="F61" s="384" t="s">
        <v>454</v>
      </c>
      <c r="G61" s="385"/>
      <c r="H61" s="385"/>
      <c r="I61" s="385"/>
      <c r="J61" s="385"/>
      <c r="K61" s="385"/>
      <c r="L61" s="385"/>
      <c r="M61" s="386"/>
      <c r="N61" s="270"/>
      <c r="O61" s="276"/>
      <c r="P61" s="383"/>
      <c r="Q61" s="383"/>
      <c r="R61" s="383"/>
      <c r="S61" s="383"/>
      <c r="T61" s="383"/>
      <c r="U61" s="383"/>
      <c r="V61" s="387"/>
      <c r="W61" s="387"/>
      <c r="X61" s="387"/>
      <c r="Y61" s="387"/>
      <c r="Z61" s="387"/>
      <c r="AA61" s="387"/>
      <c r="AB61" s="387"/>
      <c r="AC61" s="387"/>
      <c r="AD61" s="388"/>
      <c r="AF61" s="87">
        <f>8*3000</f>
        <v>24000</v>
      </c>
    </row>
    <row r="62" spans="1:32" ht="27" customHeight="1" thickBot="1">
      <c r="A62" s="391"/>
      <c r="B62" s="392"/>
      <c r="C62" s="273"/>
      <c r="D62" s="273"/>
      <c r="E62" s="273"/>
      <c r="F62" s="393"/>
      <c r="G62" s="393"/>
      <c r="H62" s="393"/>
      <c r="I62" s="393"/>
      <c r="J62" s="393"/>
      <c r="K62" s="393"/>
      <c r="L62" s="393"/>
      <c r="M62" s="394"/>
      <c r="N62" s="272"/>
      <c r="O62" s="114"/>
      <c r="P62" s="392"/>
      <c r="Q62" s="392"/>
      <c r="R62" s="392"/>
      <c r="S62" s="392"/>
      <c r="T62" s="392"/>
      <c r="U62" s="392"/>
      <c r="V62" s="395"/>
      <c r="W62" s="395"/>
      <c r="X62" s="395"/>
      <c r="Y62" s="395"/>
      <c r="Z62" s="395"/>
      <c r="AA62" s="395"/>
      <c r="AB62" s="395"/>
      <c r="AC62" s="395"/>
      <c r="AD62" s="396"/>
      <c r="AF62" s="87">
        <f>16*3000</f>
        <v>48000</v>
      </c>
    </row>
    <row r="63" spans="1:32" ht="27.75" thickBot="1">
      <c r="A63" s="397" t="s">
        <v>455</v>
      </c>
      <c r="B63" s="397"/>
      <c r="C63" s="397"/>
      <c r="D63" s="397"/>
      <c r="E63" s="39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398" t="s">
        <v>113</v>
      </c>
      <c r="B64" s="399"/>
      <c r="C64" s="274" t="s">
        <v>2</v>
      </c>
      <c r="D64" s="274" t="s">
        <v>37</v>
      </c>
      <c r="E64" s="274" t="s">
        <v>3</v>
      </c>
      <c r="F64" s="399" t="s">
        <v>110</v>
      </c>
      <c r="G64" s="399"/>
      <c r="H64" s="399"/>
      <c r="I64" s="399"/>
      <c r="J64" s="399"/>
      <c r="K64" s="399" t="s">
        <v>39</v>
      </c>
      <c r="L64" s="399"/>
      <c r="M64" s="274" t="s">
        <v>40</v>
      </c>
      <c r="N64" s="399" t="s">
        <v>41</v>
      </c>
      <c r="O64" s="399"/>
      <c r="P64" s="400" t="s">
        <v>42</v>
      </c>
      <c r="Q64" s="401"/>
      <c r="R64" s="400" t="s">
        <v>43</v>
      </c>
      <c r="S64" s="402"/>
      <c r="T64" s="402"/>
      <c r="U64" s="402"/>
      <c r="V64" s="402"/>
      <c r="W64" s="402"/>
      <c r="X64" s="402"/>
      <c r="Y64" s="402"/>
      <c r="Z64" s="402"/>
      <c r="AA64" s="401"/>
      <c r="AB64" s="399" t="s">
        <v>44</v>
      </c>
      <c r="AC64" s="399"/>
      <c r="AD64" s="403"/>
      <c r="AF64" s="87">
        <f>SUM(AF61:AF63)</f>
        <v>96000</v>
      </c>
    </row>
    <row r="65" spans="1:32" ht="25.5" customHeight="1">
      <c r="A65" s="404">
        <v>1</v>
      </c>
      <c r="B65" s="405"/>
      <c r="C65" s="117"/>
      <c r="D65" s="278"/>
      <c r="E65" s="275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2</v>
      </c>
      <c r="B66" s="405"/>
      <c r="C66" s="117"/>
      <c r="D66" s="278"/>
      <c r="E66" s="275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3</v>
      </c>
      <c r="B67" s="405"/>
      <c r="C67" s="117"/>
      <c r="D67" s="278"/>
      <c r="E67" s="275"/>
      <c r="F67" s="406"/>
      <c r="G67" s="407"/>
      <c r="H67" s="407"/>
      <c r="I67" s="407"/>
      <c r="J67" s="407"/>
      <c r="K67" s="407"/>
      <c r="L67" s="407"/>
      <c r="M67" s="51"/>
      <c r="N67" s="408"/>
      <c r="O67" s="408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4</v>
      </c>
      <c r="B68" s="405"/>
      <c r="C68" s="117"/>
      <c r="D68" s="278"/>
      <c r="E68" s="275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5</v>
      </c>
      <c r="B69" s="405"/>
      <c r="C69" s="117"/>
      <c r="D69" s="278"/>
      <c r="E69" s="275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6</v>
      </c>
      <c r="B70" s="405"/>
      <c r="C70" s="117"/>
      <c r="D70" s="278"/>
      <c r="E70" s="275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7</v>
      </c>
      <c r="B71" s="405"/>
      <c r="C71" s="117"/>
      <c r="D71" s="278"/>
      <c r="E71" s="275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5.5" customHeight="1">
      <c r="A72" s="404">
        <v>8</v>
      </c>
      <c r="B72" s="405"/>
      <c r="C72" s="117"/>
      <c r="D72" s="278"/>
      <c r="E72" s="275"/>
      <c r="F72" s="406"/>
      <c r="G72" s="407"/>
      <c r="H72" s="407"/>
      <c r="I72" s="407"/>
      <c r="J72" s="407"/>
      <c r="K72" s="407"/>
      <c r="L72" s="407"/>
      <c r="M72" s="51"/>
      <c r="N72" s="407"/>
      <c r="O72" s="407"/>
      <c r="P72" s="409"/>
      <c r="Q72" s="409"/>
      <c r="R72" s="387"/>
      <c r="S72" s="387"/>
      <c r="T72" s="387"/>
      <c r="U72" s="387"/>
      <c r="V72" s="387"/>
      <c r="W72" s="387"/>
      <c r="X72" s="387"/>
      <c r="Y72" s="387"/>
      <c r="Z72" s="387"/>
      <c r="AA72" s="387"/>
      <c r="AB72" s="407"/>
      <c r="AC72" s="407"/>
      <c r="AD72" s="410"/>
      <c r="AF72" s="50"/>
    </row>
    <row r="73" spans="1:32" ht="26.25" customHeight="1" thickBot="1">
      <c r="A73" s="411" t="s">
        <v>456</v>
      </c>
      <c r="B73" s="411"/>
      <c r="C73" s="411"/>
      <c r="D73" s="411"/>
      <c r="E73" s="411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12" t="s">
        <v>113</v>
      </c>
      <c r="B74" s="413"/>
      <c r="C74" s="277" t="s">
        <v>2</v>
      </c>
      <c r="D74" s="277" t="s">
        <v>37</v>
      </c>
      <c r="E74" s="277" t="s">
        <v>3</v>
      </c>
      <c r="F74" s="413" t="s">
        <v>38</v>
      </c>
      <c r="G74" s="413"/>
      <c r="H74" s="413"/>
      <c r="I74" s="413"/>
      <c r="J74" s="413"/>
      <c r="K74" s="414" t="s">
        <v>58</v>
      </c>
      <c r="L74" s="415"/>
      <c r="M74" s="415"/>
      <c r="N74" s="415"/>
      <c r="O74" s="415"/>
      <c r="P74" s="415"/>
      <c r="Q74" s="415"/>
      <c r="R74" s="415"/>
      <c r="S74" s="416"/>
      <c r="T74" s="413" t="s">
        <v>49</v>
      </c>
      <c r="U74" s="413"/>
      <c r="V74" s="414" t="s">
        <v>50</v>
      </c>
      <c r="W74" s="416"/>
      <c r="X74" s="415" t="s">
        <v>51</v>
      </c>
      <c r="Y74" s="415"/>
      <c r="Z74" s="415"/>
      <c r="AA74" s="415"/>
      <c r="AB74" s="415"/>
      <c r="AC74" s="415"/>
      <c r="AD74" s="417"/>
      <c r="AF74" s="50"/>
    </row>
    <row r="75" spans="1:32" ht="33.75" customHeight="1">
      <c r="A75" s="426">
        <v>1</v>
      </c>
      <c r="B75" s="427"/>
      <c r="C75" s="279" t="s">
        <v>114</v>
      </c>
      <c r="D75" s="279"/>
      <c r="E75" s="65" t="s">
        <v>120</v>
      </c>
      <c r="F75" s="428" t="s">
        <v>119</v>
      </c>
      <c r="G75" s="429"/>
      <c r="H75" s="429"/>
      <c r="I75" s="429"/>
      <c r="J75" s="430"/>
      <c r="K75" s="431" t="s">
        <v>121</v>
      </c>
      <c r="L75" s="432"/>
      <c r="M75" s="432"/>
      <c r="N75" s="432"/>
      <c r="O75" s="432"/>
      <c r="P75" s="432"/>
      <c r="Q75" s="432"/>
      <c r="R75" s="432"/>
      <c r="S75" s="433"/>
      <c r="T75" s="434">
        <v>43384</v>
      </c>
      <c r="U75" s="435"/>
      <c r="V75" s="436"/>
      <c r="W75" s="436"/>
      <c r="X75" s="437"/>
      <c r="Y75" s="437"/>
      <c r="Z75" s="437"/>
      <c r="AA75" s="437"/>
      <c r="AB75" s="437"/>
      <c r="AC75" s="437"/>
      <c r="AD75" s="438"/>
      <c r="AF75" s="50"/>
    </row>
    <row r="76" spans="1:32" ht="30" customHeight="1">
      <c r="A76" s="418">
        <f>A75+1</f>
        <v>2</v>
      </c>
      <c r="B76" s="419"/>
      <c r="C76" s="278"/>
      <c r="D76" s="278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ref="A77:A83" si="28">A76+1</f>
        <v>3</v>
      </c>
      <c r="B77" s="419"/>
      <c r="C77" s="278"/>
      <c r="D77" s="278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8"/>
        <v>4</v>
      </c>
      <c r="B78" s="419"/>
      <c r="C78" s="278"/>
      <c r="D78" s="278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8"/>
        <v>5</v>
      </c>
      <c r="B79" s="419"/>
      <c r="C79" s="278"/>
      <c r="D79" s="278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8"/>
        <v>6</v>
      </c>
      <c r="B80" s="419"/>
      <c r="C80" s="278"/>
      <c r="D80" s="278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8"/>
        <v>7</v>
      </c>
      <c r="B81" s="419"/>
      <c r="C81" s="278"/>
      <c r="D81" s="278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8"/>
        <v>8</v>
      </c>
      <c r="B82" s="419"/>
      <c r="C82" s="278"/>
      <c r="D82" s="278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0" customHeight="1">
      <c r="A83" s="418">
        <f t="shared" si="28"/>
        <v>9</v>
      </c>
      <c r="B83" s="419"/>
      <c r="C83" s="278"/>
      <c r="D83" s="278"/>
      <c r="E83" s="32"/>
      <c r="F83" s="419"/>
      <c r="G83" s="419"/>
      <c r="H83" s="419"/>
      <c r="I83" s="419"/>
      <c r="J83" s="419"/>
      <c r="K83" s="420"/>
      <c r="L83" s="421"/>
      <c r="M83" s="421"/>
      <c r="N83" s="421"/>
      <c r="O83" s="421"/>
      <c r="P83" s="421"/>
      <c r="Q83" s="421"/>
      <c r="R83" s="421"/>
      <c r="S83" s="422"/>
      <c r="T83" s="423"/>
      <c r="U83" s="423"/>
      <c r="V83" s="423"/>
      <c r="W83" s="423"/>
      <c r="X83" s="424"/>
      <c r="Y83" s="424"/>
      <c r="Z83" s="424"/>
      <c r="AA83" s="424"/>
      <c r="AB83" s="424"/>
      <c r="AC83" s="424"/>
      <c r="AD83" s="425"/>
      <c r="AF83" s="50"/>
    </row>
    <row r="84" spans="1:32" ht="36" thickBot="1">
      <c r="A84" s="411" t="s">
        <v>457</v>
      </c>
      <c r="B84" s="411"/>
      <c r="C84" s="411"/>
      <c r="D84" s="411"/>
      <c r="E84" s="41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12" t="s">
        <v>113</v>
      </c>
      <c r="B85" s="413"/>
      <c r="C85" s="439" t="s">
        <v>52</v>
      </c>
      <c r="D85" s="439"/>
      <c r="E85" s="439" t="s">
        <v>53</v>
      </c>
      <c r="F85" s="439"/>
      <c r="G85" s="439"/>
      <c r="H85" s="439"/>
      <c r="I85" s="439"/>
      <c r="J85" s="439"/>
      <c r="K85" s="439" t="s">
        <v>54</v>
      </c>
      <c r="L85" s="439"/>
      <c r="M85" s="439"/>
      <c r="N85" s="439"/>
      <c r="O85" s="439"/>
      <c r="P85" s="439"/>
      <c r="Q85" s="439"/>
      <c r="R85" s="439"/>
      <c r="S85" s="439"/>
      <c r="T85" s="439" t="s">
        <v>55</v>
      </c>
      <c r="U85" s="439"/>
      <c r="V85" s="439" t="s">
        <v>56</v>
      </c>
      <c r="W85" s="439"/>
      <c r="X85" s="439"/>
      <c r="Y85" s="439" t="s">
        <v>51</v>
      </c>
      <c r="Z85" s="439"/>
      <c r="AA85" s="439"/>
      <c r="AB85" s="439"/>
      <c r="AC85" s="439"/>
      <c r="AD85" s="440"/>
      <c r="AF85" s="50"/>
    </row>
    <row r="86" spans="1:32" ht="30.75" customHeight="1">
      <c r="A86" s="426">
        <v>1</v>
      </c>
      <c r="B86" s="427"/>
      <c r="C86" s="441"/>
      <c r="D86" s="441"/>
      <c r="E86" s="441"/>
      <c r="F86" s="441"/>
      <c r="G86" s="441"/>
      <c r="H86" s="441"/>
      <c r="I86" s="441"/>
      <c r="J86" s="441"/>
      <c r="K86" s="441"/>
      <c r="L86" s="441"/>
      <c r="M86" s="441"/>
      <c r="N86" s="441"/>
      <c r="O86" s="441"/>
      <c r="P86" s="441"/>
      <c r="Q86" s="441"/>
      <c r="R86" s="441"/>
      <c r="S86" s="441"/>
      <c r="T86" s="441"/>
      <c r="U86" s="441"/>
      <c r="V86" s="442"/>
      <c r="W86" s="442"/>
      <c r="X86" s="442"/>
      <c r="Y86" s="443"/>
      <c r="Z86" s="443"/>
      <c r="AA86" s="443"/>
      <c r="AB86" s="443"/>
      <c r="AC86" s="443"/>
      <c r="AD86" s="444"/>
      <c r="AF86" s="50"/>
    </row>
    <row r="87" spans="1:32" ht="30.75" customHeight="1">
      <c r="A87" s="418">
        <v>2</v>
      </c>
      <c r="B87" s="419"/>
      <c r="C87" s="452"/>
      <c r="D87" s="452"/>
      <c r="E87" s="452"/>
      <c r="F87" s="452"/>
      <c r="G87" s="452"/>
      <c r="H87" s="452"/>
      <c r="I87" s="452"/>
      <c r="J87" s="452"/>
      <c r="K87" s="452"/>
      <c r="L87" s="452"/>
      <c r="M87" s="452"/>
      <c r="N87" s="452"/>
      <c r="O87" s="452"/>
      <c r="P87" s="452"/>
      <c r="Q87" s="452"/>
      <c r="R87" s="452"/>
      <c r="S87" s="452"/>
      <c r="T87" s="453"/>
      <c r="U87" s="453"/>
      <c r="V87" s="454"/>
      <c r="W87" s="454"/>
      <c r="X87" s="454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912E-CEEC-4B94-96BB-DED938B6594A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458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91" t="s">
        <v>17</v>
      </c>
      <c r="L5" s="291" t="s">
        <v>18</v>
      </c>
      <c r="M5" s="291" t="s">
        <v>19</v>
      </c>
      <c r="N5" s="2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0.40277777777777773</v>
      </c>
      <c r="AF6" s="87">
        <f t="shared" ref="AF6:AF22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0.40277777777777773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130</v>
      </c>
      <c r="F8" s="30" t="s">
        <v>126</v>
      </c>
      <c r="G8" s="33">
        <v>1</v>
      </c>
      <c r="H8" s="35">
        <v>24</v>
      </c>
      <c r="I8" s="7">
        <v>22000</v>
      </c>
      <c r="J8" s="5">
        <v>4307</v>
      </c>
      <c r="K8" s="15">
        <f>L8+3695</f>
        <v>8002</v>
      </c>
      <c r="L8" s="15">
        <f>2545+1762</f>
        <v>4307</v>
      </c>
      <c r="M8" s="15">
        <f t="shared" si="1"/>
        <v>4307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0.40277777777777773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4399</v>
      </c>
      <c r="K9" s="15">
        <f>L9+2483+2720+3334+3355+5508+204</f>
        <v>22003</v>
      </c>
      <c r="L9" s="15">
        <f>2446+1953</f>
        <v>4399</v>
      </c>
      <c r="M9" s="15">
        <f t="shared" si="1"/>
        <v>4399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0.40277777777777773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6093</v>
      </c>
      <c r="K10" s="15">
        <f>L10+4000+2801+4378+6093</f>
        <v>17272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0.40277777777777773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>
        <v>24</v>
      </c>
      <c r="I11" s="7">
        <v>4000</v>
      </c>
      <c r="J11" s="14">
        <v>5818</v>
      </c>
      <c r="K11" s="15">
        <f>L11+4550</f>
        <v>10368</v>
      </c>
      <c r="L11" s="15">
        <f>2891+2927</f>
        <v>5818</v>
      </c>
      <c r="M11" s="15">
        <f t="shared" si="1"/>
        <v>5818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0.40277777777777773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310</v>
      </c>
      <c r="D12" s="52" t="s">
        <v>366</v>
      </c>
      <c r="E12" s="53" t="s">
        <v>357</v>
      </c>
      <c r="F12" s="30" t="s">
        <v>124</v>
      </c>
      <c r="G12" s="33" t="s">
        <v>204</v>
      </c>
      <c r="H12" s="35">
        <v>20</v>
      </c>
      <c r="I12" s="7">
        <v>24000</v>
      </c>
      <c r="J12" s="14">
        <v>2489</v>
      </c>
      <c r="K12" s="15">
        <f>L12+2858+3260+3809+4479+5691+802+2489</f>
        <v>23388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0.40277777777777773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190</v>
      </c>
      <c r="E13" s="53" t="s">
        <v>459</v>
      </c>
      <c r="F13" s="30" t="s">
        <v>322</v>
      </c>
      <c r="G13" s="33">
        <v>1</v>
      </c>
      <c r="H13" s="35">
        <v>24</v>
      </c>
      <c r="I13" s="7">
        <v>500</v>
      </c>
      <c r="J13" s="14">
        <v>672</v>
      </c>
      <c r="K13" s="15">
        <f>L13</f>
        <v>672</v>
      </c>
      <c r="L13" s="15">
        <f>672</f>
        <v>672</v>
      </c>
      <c r="M13" s="15">
        <f t="shared" si="1"/>
        <v>672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0.40277777777777773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128</v>
      </c>
      <c r="D14" s="52" t="s">
        <v>209</v>
      </c>
      <c r="E14" s="53" t="s">
        <v>460</v>
      </c>
      <c r="F14" s="30" t="s">
        <v>322</v>
      </c>
      <c r="G14" s="33">
        <v>2</v>
      </c>
      <c r="H14" s="35">
        <v>24</v>
      </c>
      <c r="I14" s="7">
        <v>1000</v>
      </c>
      <c r="J14" s="14">
        <v>1734</v>
      </c>
      <c r="K14" s="15">
        <f>L14</f>
        <v>1734</v>
      </c>
      <c r="L14" s="15">
        <f>867*2</f>
        <v>1734</v>
      </c>
      <c r="M14" s="15">
        <f t="shared" si="1"/>
        <v>1734</v>
      </c>
      <c r="N14" s="15">
        <v>0</v>
      </c>
      <c r="O14" s="58">
        <f t="shared" si="2"/>
        <v>0</v>
      </c>
      <c r="P14" s="39">
        <f t="shared" si="3"/>
        <v>6</v>
      </c>
      <c r="Q14" s="40">
        <f t="shared" si="4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5"/>
        <v>1</v>
      </c>
      <c r="AC14" s="9">
        <f t="shared" si="6"/>
        <v>0.25</v>
      </c>
      <c r="AD14" s="10">
        <f t="shared" si="7"/>
        <v>0.25</v>
      </c>
      <c r="AE14" s="36">
        <f t="shared" si="8"/>
        <v>0.40277777777777773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429</v>
      </c>
      <c r="F15" s="30" t="s">
        <v>445</v>
      </c>
      <c r="G15" s="33">
        <v>1</v>
      </c>
      <c r="H15" s="35">
        <v>40</v>
      </c>
      <c r="I15" s="7">
        <v>500</v>
      </c>
      <c r="J15" s="5">
        <v>327</v>
      </c>
      <c r="K15" s="15">
        <f>L15+272</f>
        <v>599</v>
      </c>
      <c r="L15" s="15">
        <v>327</v>
      </c>
      <c r="M15" s="15">
        <f t="shared" si="1"/>
        <v>327</v>
      </c>
      <c r="N15" s="15">
        <v>0</v>
      </c>
      <c r="O15" s="58">
        <f t="shared" si="2"/>
        <v>0</v>
      </c>
      <c r="P15" s="39">
        <f t="shared" si="3"/>
        <v>6</v>
      </c>
      <c r="Q15" s="40">
        <f t="shared" si="4"/>
        <v>18</v>
      </c>
      <c r="R15" s="7"/>
      <c r="S15" s="6"/>
      <c r="T15" s="16"/>
      <c r="U15" s="16"/>
      <c r="V15" s="17"/>
      <c r="W15" s="5">
        <v>18</v>
      </c>
      <c r="X15" s="16"/>
      <c r="Y15" s="16"/>
      <c r="Z15" s="16"/>
      <c r="AA15" s="18"/>
      <c r="AB15" s="8">
        <f t="shared" si="5"/>
        <v>1</v>
      </c>
      <c r="AC15" s="9">
        <f t="shared" si="6"/>
        <v>0.25</v>
      </c>
      <c r="AD15" s="10">
        <f t="shared" si="7"/>
        <v>0.25</v>
      </c>
      <c r="AE15" s="36">
        <f t="shared" si="8"/>
        <v>0.40277777777777773</v>
      </c>
      <c r="AF15" s="87">
        <f t="shared" si="9"/>
        <v>9</v>
      </c>
    </row>
    <row r="16" spans="1:32" ht="27" customHeight="1">
      <c r="A16" s="118">
        <v>9</v>
      </c>
      <c r="B16" s="11" t="s">
        <v>57</v>
      </c>
      <c r="C16" s="34" t="s">
        <v>248</v>
      </c>
      <c r="D16" s="52" t="s">
        <v>117</v>
      </c>
      <c r="E16" s="53" t="s">
        <v>461</v>
      </c>
      <c r="F16" s="30" t="s">
        <v>445</v>
      </c>
      <c r="G16" s="33">
        <v>1</v>
      </c>
      <c r="H16" s="35">
        <v>40</v>
      </c>
      <c r="I16" s="7">
        <v>500</v>
      </c>
      <c r="J16" s="5">
        <v>236</v>
      </c>
      <c r="K16" s="15">
        <f>L16</f>
        <v>236</v>
      </c>
      <c r="L16" s="15">
        <v>236</v>
      </c>
      <c r="M16" s="15">
        <f t="shared" ref="M16" si="10">L16-N16</f>
        <v>236</v>
      </c>
      <c r="N16" s="15">
        <v>0</v>
      </c>
      <c r="O16" s="58">
        <f t="shared" ref="O16" si="11">IF(L16=0,"0",N16/L16)</f>
        <v>0</v>
      </c>
      <c r="P16" s="39">
        <f t="shared" ref="P16" si="12">IF(L16=0,"0",(24-Q16))</f>
        <v>5</v>
      </c>
      <c r="Q16" s="40">
        <f t="shared" ref="Q16" si="13">SUM(R16:AA16)</f>
        <v>19</v>
      </c>
      <c r="R16" s="7"/>
      <c r="S16" s="6"/>
      <c r="T16" s="16"/>
      <c r="U16" s="16"/>
      <c r="V16" s="17"/>
      <c r="W16" s="5">
        <v>19</v>
      </c>
      <c r="X16" s="16"/>
      <c r="Y16" s="16"/>
      <c r="Z16" s="16"/>
      <c r="AA16" s="18"/>
      <c r="AB16" s="8">
        <f t="shared" ref="AB16" si="14">IF(J16=0,"0",(L16/J16))</f>
        <v>1</v>
      </c>
      <c r="AC16" s="9">
        <f t="shared" ref="AC16" si="15">IF(P16=0,"0",(P16/24))</f>
        <v>0.20833333333333334</v>
      </c>
      <c r="AD16" s="10">
        <f t="shared" ref="AD16" si="16">AC16*AB16*(1-O16)</f>
        <v>0.20833333333333334</v>
      </c>
      <c r="AE16" s="36">
        <f t="shared" si="8"/>
        <v>0.40277777777777773</v>
      </c>
      <c r="AF16" s="87">
        <f t="shared" ref="AF16" si="17">A16</f>
        <v>9</v>
      </c>
    </row>
    <row r="17" spans="1:32" ht="27" customHeight="1">
      <c r="A17" s="102">
        <v>10</v>
      </c>
      <c r="B17" s="11" t="s">
        <v>57</v>
      </c>
      <c r="C17" s="34" t="s">
        <v>233</v>
      </c>
      <c r="D17" s="52"/>
      <c r="E17" s="53" t="s">
        <v>382</v>
      </c>
      <c r="F17" s="12">
        <v>8301</v>
      </c>
      <c r="G17" s="12" t="s">
        <v>204</v>
      </c>
      <c r="H17" s="13">
        <v>24</v>
      </c>
      <c r="I17" s="31">
        <v>2000</v>
      </c>
      <c r="J17" s="14">
        <v>706</v>
      </c>
      <c r="K17" s="15">
        <f>L17+706</f>
        <v>706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0.40277777777777773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11" t="s">
        <v>128</v>
      </c>
      <c r="D18" s="52" t="s">
        <v>190</v>
      </c>
      <c r="E18" s="53" t="s">
        <v>380</v>
      </c>
      <c r="F18" s="12" t="s">
        <v>200</v>
      </c>
      <c r="G18" s="12">
        <v>1</v>
      </c>
      <c r="H18" s="13">
        <v>24</v>
      </c>
      <c r="I18" s="7">
        <v>60000</v>
      </c>
      <c r="J18" s="14">
        <v>5457</v>
      </c>
      <c r="K18" s="15">
        <f>L18+2357+5213+5517+5420+5503</f>
        <v>29467</v>
      </c>
      <c r="L18" s="15">
        <f>2701+2756</f>
        <v>5457</v>
      </c>
      <c r="M18" s="15">
        <f t="shared" si="1"/>
        <v>5457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0.40277777777777773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114</v>
      </c>
      <c r="D19" s="52" t="s">
        <v>127</v>
      </c>
      <c r="E19" s="53" t="s">
        <v>300</v>
      </c>
      <c r="F19" s="12" t="s">
        <v>313</v>
      </c>
      <c r="G19" s="12">
        <v>1</v>
      </c>
      <c r="H19" s="13">
        <v>24</v>
      </c>
      <c r="I19" s="31">
        <v>2000</v>
      </c>
      <c r="J19" s="14">
        <v>2173</v>
      </c>
      <c r="K19" s="15">
        <f>L19+2173</f>
        <v>2173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0.40277777777777773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114</v>
      </c>
      <c r="D20" s="52" t="s">
        <v>117</v>
      </c>
      <c r="E20" s="53" t="s">
        <v>228</v>
      </c>
      <c r="F20" s="30" t="s">
        <v>124</v>
      </c>
      <c r="G20" s="33">
        <v>1</v>
      </c>
      <c r="H20" s="35">
        <v>24</v>
      </c>
      <c r="I20" s="7">
        <f>48000+42000</f>
        <v>90000</v>
      </c>
      <c r="J20" s="5">
        <v>5150</v>
      </c>
      <c r="K20" s="15">
        <f>L20+4490+5516+5079+4632+5428+5727+5954+3807+5671+5681+3837+3725+5801</f>
        <v>70498</v>
      </c>
      <c r="L20" s="15">
        <f>2850+2300</f>
        <v>5150</v>
      </c>
      <c r="M20" s="15">
        <f t="shared" si="1"/>
        <v>5150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0.40277777777777773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34" t="s">
        <v>128</v>
      </c>
      <c r="D21" s="52" t="s">
        <v>117</v>
      </c>
      <c r="E21" s="53" t="s">
        <v>137</v>
      </c>
      <c r="F21" s="30" t="s">
        <v>124</v>
      </c>
      <c r="G21" s="33">
        <v>1</v>
      </c>
      <c r="H21" s="35">
        <v>24</v>
      </c>
      <c r="I21" s="7">
        <v>22000</v>
      </c>
      <c r="J21" s="5">
        <v>4533</v>
      </c>
      <c r="K21" s="15">
        <f>L21+3645+4438+4533</f>
        <v>12616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>AC21*AB21*(1-O21)</f>
        <v>0</v>
      </c>
      <c r="AE21" s="36">
        <f t="shared" si="8"/>
        <v>0.40277777777777773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149</v>
      </c>
      <c r="F22" s="12" t="s">
        <v>116</v>
      </c>
      <c r="G22" s="12">
        <v>4</v>
      </c>
      <c r="H22" s="35">
        <v>20</v>
      </c>
      <c r="I22" s="7">
        <v>200000</v>
      </c>
      <c r="J22" s="14">
        <v>30112</v>
      </c>
      <c r="K22" s="15">
        <f>L22</f>
        <v>30112</v>
      </c>
      <c r="L22" s="15">
        <f>7528*4</f>
        <v>30112</v>
      </c>
      <c r="M22" s="15">
        <f t="shared" si="1"/>
        <v>30112</v>
      </c>
      <c r="N22" s="15">
        <v>0</v>
      </c>
      <c r="O22" s="58">
        <f t="shared" si="2"/>
        <v>0</v>
      </c>
      <c r="P22" s="39">
        <f t="shared" si="3"/>
        <v>12</v>
      </c>
      <c r="Q22" s="40">
        <f t="shared" si="4"/>
        <v>12</v>
      </c>
      <c r="R22" s="7"/>
      <c r="S22" s="6"/>
      <c r="T22" s="16"/>
      <c r="U22" s="16"/>
      <c r="V22" s="17">
        <v>12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</v>
      </c>
      <c r="AD22" s="10">
        <f t="shared" si="7"/>
        <v>0.5</v>
      </c>
      <c r="AE22" s="36">
        <f t="shared" si="8"/>
        <v>0.40277777777777773</v>
      </c>
      <c r="AF22" s="87">
        <f t="shared" si="9"/>
        <v>15</v>
      </c>
    </row>
    <row r="23" spans="1:32" ht="31.5" customHeight="1" thickBot="1">
      <c r="A23" s="355" t="s">
        <v>34</v>
      </c>
      <c r="B23" s="356"/>
      <c r="C23" s="356"/>
      <c r="D23" s="356"/>
      <c r="E23" s="356"/>
      <c r="F23" s="356"/>
      <c r="G23" s="356"/>
      <c r="H23" s="357"/>
      <c r="I23" s="22">
        <f t="shared" ref="I23:N23" si="18">SUM(I6:I22)</f>
        <v>563500</v>
      </c>
      <c r="J23" s="19">
        <f t="shared" si="18"/>
        <v>74206</v>
      </c>
      <c r="K23" s="20">
        <f t="shared" si="18"/>
        <v>229846</v>
      </c>
      <c r="L23" s="21">
        <f t="shared" si="18"/>
        <v>58212</v>
      </c>
      <c r="M23" s="20">
        <f t="shared" si="18"/>
        <v>58212</v>
      </c>
      <c r="N23" s="21">
        <f t="shared" si="18"/>
        <v>0</v>
      </c>
      <c r="O23" s="41">
        <f t="shared" si="2"/>
        <v>0</v>
      </c>
      <c r="P23" s="42">
        <f t="shared" ref="P23:AA23" si="19">SUM(P6:P22)</f>
        <v>145</v>
      </c>
      <c r="Q23" s="43">
        <f t="shared" si="19"/>
        <v>263</v>
      </c>
      <c r="R23" s="23">
        <f t="shared" si="19"/>
        <v>24</v>
      </c>
      <c r="S23" s="24">
        <f t="shared" si="19"/>
        <v>104</v>
      </c>
      <c r="T23" s="24">
        <f t="shared" si="19"/>
        <v>0</v>
      </c>
      <c r="U23" s="24">
        <f t="shared" si="19"/>
        <v>0</v>
      </c>
      <c r="V23" s="25">
        <f t="shared" si="19"/>
        <v>12</v>
      </c>
      <c r="W23" s="26">
        <f t="shared" si="19"/>
        <v>123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0</v>
      </c>
      <c r="AB23" s="28">
        <f>SUM(AB6:AB22)/15</f>
        <v>0.66666666666666663</v>
      </c>
      <c r="AC23" s="4">
        <f>SUM(AC6:AC22)/15</f>
        <v>0.40277777777777773</v>
      </c>
      <c r="AD23" s="4">
        <f>SUM(AD6:AD22)/15</f>
        <v>0.40277777777777773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358" t="s">
        <v>45</v>
      </c>
      <c r="B50" s="358"/>
      <c r="C50" s="358"/>
      <c r="D50" s="358"/>
      <c r="E50" s="35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359" t="s">
        <v>464</v>
      </c>
      <c r="B51" s="360"/>
      <c r="C51" s="360"/>
      <c r="D51" s="360"/>
      <c r="E51" s="360"/>
      <c r="F51" s="360"/>
      <c r="G51" s="360"/>
      <c r="H51" s="360"/>
      <c r="I51" s="360"/>
      <c r="J51" s="360"/>
      <c r="K51" s="360"/>
      <c r="L51" s="360"/>
      <c r="M51" s="361"/>
      <c r="N51" s="362" t="s">
        <v>465</v>
      </c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  <c r="AA51" s="363"/>
      <c r="AB51" s="363"/>
      <c r="AC51" s="363"/>
      <c r="AD51" s="364"/>
    </row>
    <row r="52" spans="1:32" ht="27" customHeight="1">
      <c r="A52" s="365" t="s">
        <v>2</v>
      </c>
      <c r="B52" s="366"/>
      <c r="C52" s="290" t="s">
        <v>46</v>
      </c>
      <c r="D52" s="290" t="s">
        <v>47</v>
      </c>
      <c r="E52" s="290" t="s">
        <v>108</v>
      </c>
      <c r="F52" s="366" t="s">
        <v>107</v>
      </c>
      <c r="G52" s="366"/>
      <c r="H52" s="366"/>
      <c r="I52" s="366"/>
      <c r="J52" s="366"/>
      <c r="K52" s="366"/>
      <c r="L52" s="366"/>
      <c r="M52" s="367"/>
      <c r="N52" s="67" t="s">
        <v>112</v>
      </c>
      <c r="O52" s="290" t="s">
        <v>46</v>
      </c>
      <c r="P52" s="368" t="s">
        <v>47</v>
      </c>
      <c r="Q52" s="369"/>
      <c r="R52" s="368" t="s">
        <v>38</v>
      </c>
      <c r="S52" s="370"/>
      <c r="T52" s="370"/>
      <c r="U52" s="369"/>
      <c r="V52" s="368" t="s">
        <v>48</v>
      </c>
      <c r="W52" s="370"/>
      <c r="X52" s="370"/>
      <c r="Y52" s="370"/>
      <c r="Z52" s="370"/>
      <c r="AA52" s="370"/>
      <c r="AB52" s="370"/>
      <c r="AC52" s="370"/>
      <c r="AD52" s="371"/>
    </row>
    <row r="53" spans="1:32" ht="27" customHeight="1">
      <c r="A53" s="382" t="s">
        <v>128</v>
      </c>
      <c r="B53" s="383"/>
      <c r="C53" s="287" t="s">
        <v>129</v>
      </c>
      <c r="D53" s="287" t="s">
        <v>190</v>
      </c>
      <c r="E53" s="287" t="s">
        <v>459</v>
      </c>
      <c r="F53" s="384" t="s">
        <v>462</v>
      </c>
      <c r="G53" s="385"/>
      <c r="H53" s="385"/>
      <c r="I53" s="385"/>
      <c r="J53" s="385"/>
      <c r="K53" s="385"/>
      <c r="L53" s="385"/>
      <c r="M53" s="386"/>
      <c r="N53" s="286" t="s">
        <v>114</v>
      </c>
      <c r="O53" s="284" t="s">
        <v>354</v>
      </c>
      <c r="P53" s="389" t="s">
        <v>117</v>
      </c>
      <c r="Q53" s="390"/>
      <c r="R53" s="383" t="s">
        <v>466</v>
      </c>
      <c r="S53" s="383"/>
      <c r="T53" s="383"/>
      <c r="U53" s="383"/>
      <c r="V53" s="387" t="s">
        <v>123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128</v>
      </c>
      <c r="B54" s="383"/>
      <c r="C54" s="287" t="s">
        <v>129</v>
      </c>
      <c r="D54" s="287" t="s">
        <v>209</v>
      </c>
      <c r="E54" s="287" t="s">
        <v>460</v>
      </c>
      <c r="F54" s="384" t="s">
        <v>123</v>
      </c>
      <c r="G54" s="385"/>
      <c r="H54" s="385"/>
      <c r="I54" s="385"/>
      <c r="J54" s="385"/>
      <c r="K54" s="385"/>
      <c r="L54" s="385"/>
      <c r="M54" s="386"/>
      <c r="N54" s="286" t="s">
        <v>310</v>
      </c>
      <c r="O54" s="284" t="s">
        <v>227</v>
      </c>
      <c r="P54" s="389" t="s">
        <v>331</v>
      </c>
      <c r="Q54" s="390"/>
      <c r="R54" s="383" t="s">
        <v>332</v>
      </c>
      <c r="S54" s="383"/>
      <c r="T54" s="383"/>
      <c r="U54" s="383"/>
      <c r="V54" s="387" t="s">
        <v>174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128</v>
      </c>
      <c r="B55" s="383"/>
      <c r="C55" s="287" t="s">
        <v>139</v>
      </c>
      <c r="D55" s="287" t="s">
        <v>125</v>
      </c>
      <c r="E55" s="287" t="s">
        <v>130</v>
      </c>
      <c r="F55" s="384" t="s">
        <v>174</v>
      </c>
      <c r="G55" s="385"/>
      <c r="H55" s="385"/>
      <c r="I55" s="385"/>
      <c r="J55" s="385"/>
      <c r="K55" s="385"/>
      <c r="L55" s="385"/>
      <c r="M55" s="386"/>
      <c r="N55" s="286" t="s">
        <v>128</v>
      </c>
      <c r="O55" s="284" t="s">
        <v>161</v>
      </c>
      <c r="P55" s="389" t="s">
        <v>117</v>
      </c>
      <c r="Q55" s="390"/>
      <c r="R55" s="383" t="s">
        <v>467</v>
      </c>
      <c r="S55" s="383"/>
      <c r="T55" s="383"/>
      <c r="U55" s="383"/>
      <c r="V55" s="387" t="s">
        <v>123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114</v>
      </c>
      <c r="B56" s="383"/>
      <c r="C56" s="287" t="s">
        <v>354</v>
      </c>
      <c r="D56" s="287" t="s">
        <v>117</v>
      </c>
      <c r="E56" s="287" t="s">
        <v>429</v>
      </c>
      <c r="F56" s="384" t="s">
        <v>174</v>
      </c>
      <c r="G56" s="385"/>
      <c r="H56" s="385"/>
      <c r="I56" s="385"/>
      <c r="J56" s="385"/>
      <c r="K56" s="385"/>
      <c r="L56" s="385"/>
      <c r="M56" s="386"/>
      <c r="N56" s="286" t="s">
        <v>310</v>
      </c>
      <c r="O56" s="284" t="s">
        <v>227</v>
      </c>
      <c r="P56" s="389" t="s">
        <v>331</v>
      </c>
      <c r="Q56" s="390"/>
      <c r="R56" s="383" t="s">
        <v>332</v>
      </c>
      <c r="S56" s="383"/>
      <c r="T56" s="383"/>
      <c r="U56" s="383"/>
      <c r="V56" s="387" t="s">
        <v>174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248</v>
      </c>
      <c r="B57" s="383"/>
      <c r="C57" s="287" t="s">
        <v>354</v>
      </c>
      <c r="D57" s="287" t="s">
        <v>117</v>
      </c>
      <c r="E57" s="287" t="s">
        <v>461</v>
      </c>
      <c r="F57" s="384" t="s">
        <v>123</v>
      </c>
      <c r="G57" s="385"/>
      <c r="H57" s="385"/>
      <c r="I57" s="385"/>
      <c r="J57" s="385"/>
      <c r="K57" s="385"/>
      <c r="L57" s="385"/>
      <c r="M57" s="386"/>
      <c r="N57" s="286" t="s">
        <v>310</v>
      </c>
      <c r="O57" s="284" t="s">
        <v>176</v>
      </c>
      <c r="P57" s="389" t="s">
        <v>453</v>
      </c>
      <c r="Q57" s="390"/>
      <c r="R57" s="383" t="s">
        <v>357</v>
      </c>
      <c r="S57" s="383"/>
      <c r="T57" s="383"/>
      <c r="U57" s="383"/>
      <c r="V57" s="387" t="s">
        <v>174</v>
      </c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128</v>
      </c>
      <c r="B58" s="383"/>
      <c r="C58" s="287" t="s">
        <v>158</v>
      </c>
      <c r="D58" s="287" t="s">
        <v>327</v>
      </c>
      <c r="E58" s="287" t="s">
        <v>359</v>
      </c>
      <c r="F58" s="384" t="s">
        <v>174</v>
      </c>
      <c r="G58" s="385"/>
      <c r="H58" s="385"/>
      <c r="I58" s="385"/>
      <c r="J58" s="385"/>
      <c r="K58" s="385"/>
      <c r="L58" s="385"/>
      <c r="M58" s="386"/>
      <c r="N58" s="286"/>
      <c r="O58" s="284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 t="s">
        <v>310</v>
      </c>
      <c r="B59" s="383"/>
      <c r="C59" s="287" t="s">
        <v>227</v>
      </c>
      <c r="D59" s="287" t="s">
        <v>331</v>
      </c>
      <c r="E59" s="287" t="s">
        <v>332</v>
      </c>
      <c r="F59" s="384" t="s">
        <v>463</v>
      </c>
      <c r="G59" s="385"/>
      <c r="H59" s="385"/>
      <c r="I59" s="385"/>
      <c r="J59" s="385"/>
      <c r="K59" s="385"/>
      <c r="L59" s="385"/>
      <c r="M59" s="386"/>
      <c r="N59" s="286"/>
      <c r="O59" s="284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/>
      <c r="B60" s="383"/>
      <c r="C60" s="287"/>
      <c r="D60" s="287"/>
      <c r="E60" s="287"/>
      <c r="F60" s="384"/>
      <c r="G60" s="385"/>
      <c r="H60" s="385"/>
      <c r="I60" s="385"/>
      <c r="J60" s="385"/>
      <c r="K60" s="385"/>
      <c r="L60" s="385"/>
      <c r="M60" s="386"/>
      <c r="N60" s="286"/>
      <c r="O60" s="284"/>
      <c r="P60" s="389"/>
      <c r="Q60" s="390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</row>
    <row r="61" spans="1:32" ht="27" customHeight="1">
      <c r="A61" s="382"/>
      <c r="B61" s="383"/>
      <c r="C61" s="287"/>
      <c r="D61" s="287"/>
      <c r="E61" s="287"/>
      <c r="F61" s="384"/>
      <c r="G61" s="385"/>
      <c r="H61" s="385"/>
      <c r="I61" s="385"/>
      <c r="J61" s="385"/>
      <c r="K61" s="385"/>
      <c r="L61" s="385"/>
      <c r="M61" s="386"/>
      <c r="N61" s="286"/>
      <c r="O61" s="284"/>
      <c r="P61" s="383"/>
      <c r="Q61" s="383"/>
      <c r="R61" s="383"/>
      <c r="S61" s="383"/>
      <c r="T61" s="383"/>
      <c r="U61" s="383"/>
      <c r="V61" s="387"/>
      <c r="W61" s="387"/>
      <c r="X61" s="387"/>
      <c r="Y61" s="387"/>
      <c r="Z61" s="387"/>
      <c r="AA61" s="387"/>
      <c r="AB61" s="387"/>
      <c r="AC61" s="387"/>
      <c r="AD61" s="388"/>
      <c r="AF61" s="87">
        <f>8*3000</f>
        <v>24000</v>
      </c>
    </row>
    <row r="62" spans="1:32" ht="27" customHeight="1" thickBot="1">
      <c r="A62" s="391"/>
      <c r="B62" s="392"/>
      <c r="C62" s="289"/>
      <c r="D62" s="289"/>
      <c r="E62" s="289"/>
      <c r="F62" s="393"/>
      <c r="G62" s="393"/>
      <c r="H62" s="393"/>
      <c r="I62" s="393"/>
      <c r="J62" s="393"/>
      <c r="K62" s="393"/>
      <c r="L62" s="393"/>
      <c r="M62" s="394"/>
      <c r="N62" s="288"/>
      <c r="O62" s="114"/>
      <c r="P62" s="392"/>
      <c r="Q62" s="392"/>
      <c r="R62" s="392"/>
      <c r="S62" s="392"/>
      <c r="T62" s="392"/>
      <c r="U62" s="392"/>
      <c r="V62" s="395"/>
      <c r="W62" s="395"/>
      <c r="X62" s="395"/>
      <c r="Y62" s="395"/>
      <c r="Z62" s="395"/>
      <c r="AA62" s="395"/>
      <c r="AB62" s="395"/>
      <c r="AC62" s="395"/>
      <c r="AD62" s="396"/>
      <c r="AF62" s="87">
        <f>16*3000</f>
        <v>48000</v>
      </c>
    </row>
    <row r="63" spans="1:32" ht="27.75" thickBot="1">
      <c r="A63" s="397" t="s">
        <v>468</v>
      </c>
      <c r="B63" s="397"/>
      <c r="C63" s="397"/>
      <c r="D63" s="397"/>
      <c r="E63" s="39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398" t="s">
        <v>113</v>
      </c>
      <c r="B64" s="399"/>
      <c r="C64" s="285" t="s">
        <v>2</v>
      </c>
      <c r="D64" s="285" t="s">
        <v>37</v>
      </c>
      <c r="E64" s="285" t="s">
        <v>3</v>
      </c>
      <c r="F64" s="399" t="s">
        <v>110</v>
      </c>
      <c r="G64" s="399"/>
      <c r="H64" s="399"/>
      <c r="I64" s="399"/>
      <c r="J64" s="399"/>
      <c r="K64" s="399" t="s">
        <v>39</v>
      </c>
      <c r="L64" s="399"/>
      <c r="M64" s="285" t="s">
        <v>40</v>
      </c>
      <c r="N64" s="399" t="s">
        <v>41</v>
      </c>
      <c r="O64" s="399"/>
      <c r="P64" s="400" t="s">
        <v>42</v>
      </c>
      <c r="Q64" s="401"/>
      <c r="R64" s="400" t="s">
        <v>43</v>
      </c>
      <c r="S64" s="402"/>
      <c r="T64" s="402"/>
      <c r="U64" s="402"/>
      <c r="V64" s="402"/>
      <c r="W64" s="402"/>
      <c r="X64" s="402"/>
      <c r="Y64" s="402"/>
      <c r="Z64" s="402"/>
      <c r="AA64" s="401"/>
      <c r="AB64" s="399" t="s">
        <v>44</v>
      </c>
      <c r="AC64" s="399"/>
      <c r="AD64" s="403"/>
      <c r="AF64" s="87">
        <f>SUM(AF61:AF63)</f>
        <v>96000</v>
      </c>
    </row>
    <row r="65" spans="1:32" ht="25.5" customHeight="1">
      <c r="A65" s="404">
        <v>1</v>
      </c>
      <c r="B65" s="405"/>
      <c r="C65" s="117" t="s">
        <v>118</v>
      </c>
      <c r="D65" s="280"/>
      <c r="E65" s="283" t="s">
        <v>290</v>
      </c>
      <c r="F65" s="406" t="s">
        <v>291</v>
      </c>
      <c r="G65" s="407"/>
      <c r="H65" s="407"/>
      <c r="I65" s="407"/>
      <c r="J65" s="407"/>
      <c r="K65" s="407">
        <v>7301</v>
      </c>
      <c r="L65" s="407"/>
      <c r="M65" s="51" t="s">
        <v>323</v>
      </c>
      <c r="N65" s="408" t="s">
        <v>129</v>
      </c>
      <c r="O65" s="408"/>
      <c r="P65" s="409">
        <v>100</v>
      </c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2</v>
      </c>
      <c r="B66" s="405"/>
      <c r="C66" s="117" t="s">
        <v>469</v>
      </c>
      <c r="D66" s="280"/>
      <c r="E66" s="283" t="s">
        <v>250</v>
      </c>
      <c r="F66" s="406" t="s">
        <v>470</v>
      </c>
      <c r="G66" s="407"/>
      <c r="H66" s="407"/>
      <c r="I66" s="407"/>
      <c r="J66" s="407"/>
      <c r="K66" s="407" t="s">
        <v>313</v>
      </c>
      <c r="L66" s="407"/>
      <c r="M66" s="51" t="s">
        <v>240</v>
      </c>
      <c r="N66" s="408" t="s">
        <v>168</v>
      </c>
      <c r="O66" s="408"/>
      <c r="P66" s="409">
        <v>40</v>
      </c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3</v>
      </c>
      <c r="B67" s="405"/>
      <c r="C67" s="117" t="s">
        <v>469</v>
      </c>
      <c r="D67" s="280"/>
      <c r="E67" s="283" t="s">
        <v>250</v>
      </c>
      <c r="F67" s="406" t="s">
        <v>471</v>
      </c>
      <c r="G67" s="407"/>
      <c r="H67" s="407"/>
      <c r="I67" s="407"/>
      <c r="J67" s="407"/>
      <c r="K67" s="407" t="s">
        <v>313</v>
      </c>
      <c r="L67" s="407"/>
      <c r="M67" s="51" t="s">
        <v>240</v>
      </c>
      <c r="N67" s="408" t="s">
        <v>168</v>
      </c>
      <c r="O67" s="408"/>
      <c r="P67" s="409">
        <v>40</v>
      </c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4</v>
      </c>
      <c r="B68" s="405"/>
      <c r="C68" s="117"/>
      <c r="D68" s="280"/>
      <c r="E68" s="283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5</v>
      </c>
      <c r="B69" s="405"/>
      <c r="C69" s="117"/>
      <c r="D69" s="280"/>
      <c r="E69" s="283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6</v>
      </c>
      <c r="B70" s="405"/>
      <c r="C70" s="117"/>
      <c r="D70" s="280"/>
      <c r="E70" s="283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7</v>
      </c>
      <c r="B71" s="405"/>
      <c r="C71" s="117"/>
      <c r="D71" s="280"/>
      <c r="E71" s="283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5.5" customHeight="1">
      <c r="A72" s="404">
        <v>8</v>
      </c>
      <c r="B72" s="405"/>
      <c r="C72" s="117"/>
      <c r="D72" s="280"/>
      <c r="E72" s="283"/>
      <c r="F72" s="406"/>
      <c r="G72" s="407"/>
      <c r="H72" s="407"/>
      <c r="I72" s="407"/>
      <c r="J72" s="407"/>
      <c r="K72" s="407"/>
      <c r="L72" s="407"/>
      <c r="M72" s="51"/>
      <c r="N72" s="407"/>
      <c r="O72" s="407"/>
      <c r="P72" s="409"/>
      <c r="Q72" s="409"/>
      <c r="R72" s="387"/>
      <c r="S72" s="387"/>
      <c r="T72" s="387"/>
      <c r="U72" s="387"/>
      <c r="V72" s="387"/>
      <c r="W72" s="387"/>
      <c r="X72" s="387"/>
      <c r="Y72" s="387"/>
      <c r="Z72" s="387"/>
      <c r="AA72" s="387"/>
      <c r="AB72" s="407"/>
      <c r="AC72" s="407"/>
      <c r="AD72" s="410"/>
      <c r="AF72" s="50"/>
    </row>
    <row r="73" spans="1:32" ht="26.25" customHeight="1" thickBot="1">
      <c r="A73" s="411" t="s">
        <v>472</v>
      </c>
      <c r="B73" s="411"/>
      <c r="C73" s="411"/>
      <c r="D73" s="411"/>
      <c r="E73" s="411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12" t="s">
        <v>113</v>
      </c>
      <c r="B74" s="413"/>
      <c r="C74" s="282" t="s">
        <v>2</v>
      </c>
      <c r="D74" s="282" t="s">
        <v>37</v>
      </c>
      <c r="E74" s="282" t="s">
        <v>3</v>
      </c>
      <c r="F74" s="413" t="s">
        <v>38</v>
      </c>
      <c r="G74" s="413"/>
      <c r="H74" s="413"/>
      <c r="I74" s="413"/>
      <c r="J74" s="413"/>
      <c r="K74" s="414" t="s">
        <v>58</v>
      </c>
      <c r="L74" s="415"/>
      <c r="M74" s="415"/>
      <c r="N74" s="415"/>
      <c r="O74" s="415"/>
      <c r="P74" s="415"/>
      <c r="Q74" s="415"/>
      <c r="R74" s="415"/>
      <c r="S74" s="416"/>
      <c r="T74" s="413" t="s">
        <v>49</v>
      </c>
      <c r="U74" s="413"/>
      <c r="V74" s="414" t="s">
        <v>50</v>
      </c>
      <c r="W74" s="416"/>
      <c r="X74" s="415" t="s">
        <v>51</v>
      </c>
      <c r="Y74" s="415"/>
      <c r="Z74" s="415"/>
      <c r="AA74" s="415"/>
      <c r="AB74" s="415"/>
      <c r="AC74" s="415"/>
      <c r="AD74" s="417"/>
      <c r="AF74" s="50"/>
    </row>
    <row r="75" spans="1:32" ht="33.75" customHeight="1">
      <c r="A75" s="426">
        <v>1</v>
      </c>
      <c r="B75" s="427"/>
      <c r="C75" s="281" t="s">
        <v>114</v>
      </c>
      <c r="D75" s="281"/>
      <c r="E75" s="65" t="s">
        <v>120</v>
      </c>
      <c r="F75" s="428" t="s">
        <v>119</v>
      </c>
      <c r="G75" s="429"/>
      <c r="H75" s="429"/>
      <c r="I75" s="429"/>
      <c r="J75" s="430"/>
      <c r="K75" s="431" t="s">
        <v>121</v>
      </c>
      <c r="L75" s="432"/>
      <c r="M75" s="432"/>
      <c r="N75" s="432"/>
      <c r="O75" s="432"/>
      <c r="P75" s="432"/>
      <c r="Q75" s="432"/>
      <c r="R75" s="432"/>
      <c r="S75" s="433"/>
      <c r="T75" s="434">
        <v>43384</v>
      </c>
      <c r="U75" s="435"/>
      <c r="V75" s="436"/>
      <c r="W75" s="436"/>
      <c r="X75" s="437"/>
      <c r="Y75" s="437"/>
      <c r="Z75" s="437"/>
      <c r="AA75" s="437"/>
      <c r="AB75" s="437"/>
      <c r="AC75" s="437"/>
      <c r="AD75" s="438"/>
      <c r="AF75" s="50"/>
    </row>
    <row r="76" spans="1:32" ht="30" customHeight="1">
      <c r="A76" s="418">
        <f>A75+1</f>
        <v>2</v>
      </c>
      <c r="B76" s="419"/>
      <c r="C76" s="280"/>
      <c r="D76" s="280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ref="A77:A83" si="20">A76+1</f>
        <v>3</v>
      </c>
      <c r="B77" s="419"/>
      <c r="C77" s="280"/>
      <c r="D77" s="280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0"/>
        <v>4</v>
      </c>
      <c r="B78" s="419"/>
      <c r="C78" s="280"/>
      <c r="D78" s="280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0"/>
        <v>5</v>
      </c>
      <c r="B79" s="419"/>
      <c r="C79" s="280"/>
      <c r="D79" s="280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0"/>
        <v>6</v>
      </c>
      <c r="B80" s="419"/>
      <c r="C80" s="280"/>
      <c r="D80" s="280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0"/>
        <v>7</v>
      </c>
      <c r="B81" s="419"/>
      <c r="C81" s="280"/>
      <c r="D81" s="280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0"/>
        <v>8</v>
      </c>
      <c r="B82" s="419"/>
      <c r="C82" s="280"/>
      <c r="D82" s="280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0" customHeight="1">
      <c r="A83" s="418">
        <f t="shared" si="20"/>
        <v>9</v>
      </c>
      <c r="B83" s="419"/>
      <c r="C83" s="280"/>
      <c r="D83" s="280"/>
      <c r="E83" s="32"/>
      <c r="F83" s="419"/>
      <c r="G83" s="419"/>
      <c r="H83" s="419"/>
      <c r="I83" s="419"/>
      <c r="J83" s="419"/>
      <c r="K83" s="420"/>
      <c r="L83" s="421"/>
      <c r="M83" s="421"/>
      <c r="N83" s="421"/>
      <c r="O83" s="421"/>
      <c r="P83" s="421"/>
      <c r="Q83" s="421"/>
      <c r="R83" s="421"/>
      <c r="S83" s="422"/>
      <c r="T83" s="423"/>
      <c r="U83" s="423"/>
      <c r="V83" s="423"/>
      <c r="W83" s="423"/>
      <c r="X83" s="424"/>
      <c r="Y83" s="424"/>
      <c r="Z83" s="424"/>
      <c r="AA83" s="424"/>
      <c r="AB83" s="424"/>
      <c r="AC83" s="424"/>
      <c r="AD83" s="425"/>
      <c r="AF83" s="50"/>
    </row>
    <row r="84" spans="1:32" ht="36" thickBot="1">
      <c r="A84" s="411" t="s">
        <v>473</v>
      </c>
      <c r="B84" s="411"/>
      <c r="C84" s="411"/>
      <c r="D84" s="411"/>
      <c r="E84" s="411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12" t="s">
        <v>113</v>
      </c>
      <c r="B85" s="413"/>
      <c r="C85" s="439" t="s">
        <v>52</v>
      </c>
      <c r="D85" s="439"/>
      <c r="E85" s="439" t="s">
        <v>53</v>
      </c>
      <c r="F85" s="439"/>
      <c r="G85" s="439"/>
      <c r="H85" s="439"/>
      <c r="I85" s="439"/>
      <c r="J85" s="439"/>
      <c r="K85" s="439" t="s">
        <v>54</v>
      </c>
      <c r="L85" s="439"/>
      <c r="M85" s="439"/>
      <c r="N85" s="439"/>
      <c r="O85" s="439"/>
      <c r="P85" s="439"/>
      <c r="Q85" s="439"/>
      <c r="R85" s="439"/>
      <c r="S85" s="439"/>
      <c r="T85" s="439" t="s">
        <v>55</v>
      </c>
      <c r="U85" s="439"/>
      <c r="V85" s="439" t="s">
        <v>56</v>
      </c>
      <c r="W85" s="439"/>
      <c r="X85" s="439"/>
      <c r="Y85" s="439" t="s">
        <v>51</v>
      </c>
      <c r="Z85" s="439"/>
      <c r="AA85" s="439"/>
      <c r="AB85" s="439"/>
      <c r="AC85" s="439"/>
      <c r="AD85" s="440"/>
      <c r="AF85" s="50"/>
    </row>
    <row r="86" spans="1:32" ht="30.75" customHeight="1">
      <c r="A86" s="426">
        <v>1</v>
      </c>
      <c r="B86" s="427"/>
      <c r="C86" s="441"/>
      <c r="D86" s="441"/>
      <c r="E86" s="441"/>
      <c r="F86" s="441"/>
      <c r="G86" s="441"/>
      <c r="H86" s="441"/>
      <c r="I86" s="441"/>
      <c r="J86" s="441"/>
      <c r="K86" s="441"/>
      <c r="L86" s="441"/>
      <c r="M86" s="441"/>
      <c r="N86" s="441"/>
      <c r="O86" s="441"/>
      <c r="P86" s="441"/>
      <c r="Q86" s="441"/>
      <c r="R86" s="441"/>
      <c r="S86" s="441"/>
      <c r="T86" s="441"/>
      <c r="U86" s="441"/>
      <c r="V86" s="442"/>
      <c r="W86" s="442"/>
      <c r="X86" s="442"/>
      <c r="Y86" s="443"/>
      <c r="Z86" s="443"/>
      <c r="AA86" s="443"/>
      <c r="AB86" s="443"/>
      <c r="AC86" s="443"/>
      <c r="AD86" s="444"/>
      <c r="AF86" s="50"/>
    </row>
    <row r="87" spans="1:32" ht="30.75" customHeight="1">
      <c r="A87" s="418">
        <v>2</v>
      </c>
      <c r="B87" s="419"/>
      <c r="C87" s="452"/>
      <c r="D87" s="452"/>
      <c r="E87" s="452"/>
      <c r="F87" s="452"/>
      <c r="G87" s="452"/>
      <c r="H87" s="452"/>
      <c r="I87" s="452"/>
      <c r="J87" s="452"/>
      <c r="K87" s="452"/>
      <c r="L87" s="452"/>
      <c r="M87" s="452"/>
      <c r="N87" s="452"/>
      <c r="O87" s="452"/>
      <c r="P87" s="452"/>
      <c r="Q87" s="452"/>
      <c r="R87" s="452"/>
      <c r="S87" s="452"/>
      <c r="T87" s="453"/>
      <c r="U87" s="453"/>
      <c r="V87" s="454"/>
      <c r="W87" s="454"/>
      <c r="X87" s="454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384A-15D7-4D09-9A8C-635D9921B920}">
  <sheetPr>
    <pageSetUpPr fitToPage="1"/>
  </sheetPr>
  <dimension ref="A1:AF86"/>
  <sheetViews>
    <sheetView zoomScale="72" zoomScaleNormal="72" zoomScaleSheetLayoutView="70" workbookViewId="0">
      <selection activeCell="I7" sqref="I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474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130</v>
      </c>
      <c r="F8" s="30" t="s">
        <v>126</v>
      </c>
      <c r="G8" s="33">
        <v>1</v>
      </c>
      <c r="H8" s="35">
        <v>24</v>
      </c>
      <c r="I8" s="7">
        <v>22000</v>
      </c>
      <c r="J8" s="5">
        <v>3354</v>
      </c>
      <c r="K8" s="15">
        <f>L8+3695+4307</f>
        <v>11356</v>
      </c>
      <c r="L8" s="15">
        <f>2718+636</f>
        <v>3354</v>
      </c>
      <c r="M8" s="15">
        <f t="shared" si="1"/>
        <v>3354</v>
      </c>
      <c r="N8" s="15">
        <v>0</v>
      </c>
      <c r="O8" s="58">
        <f t="shared" si="2"/>
        <v>0</v>
      </c>
      <c r="P8" s="39">
        <f t="shared" si="3"/>
        <v>17</v>
      </c>
      <c r="Q8" s="40">
        <f t="shared" si="4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0.70833333333333337</v>
      </c>
      <c r="AD8" s="10">
        <f t="shared" si="7"/>
        <v>0.70833333333333337</v>
      </c>
      <c r="AE8" s="36">
        <f t="shared" si="8"/>
        <v>0.4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3307</v>
      </c>
      <c r="K9" s="15">
        <f>L9+2483+2720+3334+3355+5508+204+4399</f>
        <v>25310</v>
      </c>
      <c r="L9" s="15">
        <f>713+2594</f>
        <v>3307</v>
      </c>
      <c r="M9" s="15">
        <f t="shared" si="1"/>
        <v>3307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3959</v>
      </c>
      <c r="K10" s="15">
        <f>L10+4000+2801+4378+6093</f>
        <v>21231</v>
      </c>
      <c r="L10" s="15">
        <f>3674+285</f>
        <v>3959</v>
      </c>
      <c r="M10" s="15">
        <f t="shared" si="1"/>
        <v>3959</v>
      </c>
      <c r="N10" s="15">
        <v>0</v>
      </c>
      <c r="O10" s="58">
        <f t="shared" si="2"/>
        <v>0</v>
      </c>
      <c r="P10" s="39">
        <f t="shared" si="3"/>
        <v>14</v>
      </c>
      <c r="Q10" s="40">
        <f t="shared" si="4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0.58333333333333337</v>
      </c>
      <c r="AD10" s="10">
        <f>AC10*AB10*(1-O10)</f>
        <v>0.58333333333333337</v>
      </c>
      <c r="AE10" s="36">
        <f t="shared" si="8"/>
        <v>0.4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>
        <v>24</v>
      </c>
      <c r="I11" s="7">
        <v>4000</v>
      </c>
      <c r="J11" s="14">
        <v>542</v>
      </c>
      <c r="K11" s="15">
        <f>L11+4550+5818</f>
        <v>10910</v>
      </c>
      <c r="L11" s="15">
        <v>542</v>
      </c>
      <c r="M11" s="15">
        <f t="shared" si="1"/>
        <v>542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 t="shared" si="7"/>
        <v>0.16666666666666666</v>
      </c>
      <c r="AE11" s="36">
        <f t="shared" si="8"/>
        <v>0.4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128</v>
      </c>
      <c r="D12" s="52" t="s">
        <v>117</v>
      </c>
      <c r="E12" s="53" t="s">
        <v>467</v>
      </c>
      <c r="F12" s="30" t="s">
        <v>124</v>
      </c>
      <c r="G12" s="33">
        <v>1</v>
      </c>
      <c r="H12" s="35">
        <v>20</v>
      </c>
      <c r="I12" s="7">
        <v>2000</v>
      </c>
      <c r="J12" s="14">
        <v>4075</v>
      </c>
      <c r="K12" s="15">
        <f>L12</f>
        <v>4075</v>
      </c>
      <c r="L12" s="15">
        <f>1391+2684</f>
        <v>4075</v>
      </c>
      <c r="M12" s="15">
        <f t="shared" si="1"/>
        <v>4075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/>
      <c r="T12" s="16">
        <v>3</v>
      </c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475</v>
      </c>
      <c r="E13" s="53" t="s">
        <v>476</v>
      </c>
      <c r="F13" s="30" t="s">
        <v>477</v>
      </c>
      <c r="G13" s="33">
        <v>1</v>
      </c>
      <c r="H13" s="35">
        <v>24</v>
      </c>
      <c r="I13" s="7">
        <v>1500</v>
      </c>
      <c r="J13" s="14">
        <v>5119</v>
      </c>
      <c r="K13" s="15">
        <f>L13</f>
        <v>5119</v>
      </c>
      <c r="L13" s="15">
        <f>2299+2820</f>
        <v>5119</v>
      </c>
      <c r="M13" s="15">
        <f t="shared" si="1"/>
        <v>5119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466</v>
      </c>
      <c r="F14" s="30" t="s">
        <v>131</v>
      </c>
      <c r="G14" s="33">
        <v>1</v>
      </c>
      <c r="H14" s="35">
        <v>40</v>
      </c>
      <c r="I14" s="7">
        <v>500</v>
      </c>
      <c r="J14" s="5">
        <v>327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/>
      <c r="E15" s="53" t="s">
        <v>382</v>
      </c>
      <c r="F15" s="12">
        <v>8301</v>
      </c>
      <c r="G15" s="12" t="s">
        <v>204</v>
      </c>
      <c r="H15" s="13">
        <v>24</v>
      </c>
      <c r="I15" s="31">
        <v>2000</v>
      </c>
      <c r="J15" s="14">
        <v>706</v>
      </c>
      <c r="K15" s="15">
        <f>L15+706</f>
        <v>706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128</v>
      </c>
      <c r="D16" s="52" t="s">
        <v>190</v>
      </c>
      <c r="E16" s="53" t="s">
        <v>380</v>
      </c>
      <c r="F16" s="12" t="s">
        <v>200</v>
      </c>
      <c r="G16" s="12">
        <v>1</v>
      </c>
      <c r="H16" s="13">
        <v>24</v>
      </c>
      <c r="I16" s="7">
        <v>60000</v>
      </c>
      <c r="J16" s="14">
        <v>5438</v>
      </c>
      <c r="K16" s="15">
        <f>L16+2357+5213+5517+5420+5503+5457</f>
        <v>34905</v>
      </c>
      <c r="L16" s="15">
        <f>2887+2551</f>
        <v>5438</v>
      </c>
      <c r="M16" s="15">
        <f t="shared" si="1"/>
        <v>5438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228</v>
      </c>
      <c r="F18" s="30" t="s">
        <v>124</v>
      </c>
      <c r="G18" s="33">
        <v>1</v>
      </c>
      <c r="H18" s="35">
        <v>24</v>
      </c>
      <c r="I18" s="7">
        <f>48000+42000</f>
        <v>90000</v>
      </c>
      <c r="J18" s="5">
        <v>5731</v>
      </c>
      <c r="K18" s="15">
        <f>L18+4490+5516+5079+4632+5428+5727+5954+3807+5671+5681+3837+3725+5801+5150</f>
        <v>76229</v>
      </c>
      <c r="L18" s="15">
        <f>3034+2697</f>
        <v>5731</v>
      </c>
      <c r="M18" s="15">
        <f t="shared" si="1"/>
        <v>5731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128</v>
      </c>
      <c r="D19" s="52" t="s">
        <v>117</v>
      </c>
      <c r="E19" s="53" t="s">
        <v>137</v>
      </c>
      <c r="F19" s="30" t="s">
        <v>124</v>
      </c>
      <c r="G19" s="33">
        <v>1</v>
      </c>
      <c r="H19" s="35">
        <v>24</v>
      </c>
      <c r="I19" s="7">
        <v>22000</v>
      </c>
      <c r="J19" s="5">
        <v>4533</v>
      </c>
      <c r="K19" s="15">
        <f>L19+3645+4438+4533</f>
        <v>12616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149</v>
      </c>
      <c r="F20" s="12" t="s">
        <v>116</v>
      </c>
      <c r="G20" s="12">
        <v>4</v>
      </c>
      <c r="H20" s="35">
        <v>20</v>
      </c>
      <c r="I20" s="7">
        <v>200000</v>
      </c>
      <c r="J20" s="14">
        <v>30112</v>
      </c>
      <c r="K20" s="15">
        <f>L20+30112</f>
        <v>30112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541000</v>
      </c>
      <c r="J21" s="19">
        <f t="shared" si="10"/>
        <v>69376</v>
      </c>
      <c r="K21" s="20">
        <f t="shared" si="10"/>
        <v>234742</v>
      </c>
      <c r="L21" s="21">
        <f t="shared" si="10"/>
        <v>31525</v>
      </c>
      <c r="M21" s="20">
        <f t="shared" si="10"/>
        <v>31525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144</v>
      </c>
      <c r="Q21" s="43">
        <f t="shared" si="11"/>
        <v>216</v>
      </c>
      <c r="R21" s="23">
        <f t="shared" si="11"/>
        <v>24</v>
      </c>
      <c r="S21" s="24">
        <f t="shared" si="11"/>
        <v>97</v>
      </c>
      <c r="T21" s="24">
        <f t="shared" si="11"/>
        <v>3</v>
      </c>
      <c r="U21" s="24">
        <f t="shared" si="11"/>
        <v>0</v>
      </c>
      <c r="V21" s="25">
        <f t="shared" si="11"/>
        <v>24</v>
      </c>
      <c r="W21" s="26">
        <f t="shared" si="11"/>
        <v>68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0.53333333333333333</v>
      </c>
      <c r="AC21" s="4">
        <f>SUM(AC6:AC20)/15</f>
        <v>0.4</v>
      </c>
      <c r="AD21" s="4">
        <f>SUM(AD6:AD20)/15</f>
        <v>0.4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478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479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293" t="s">
        <v>46</v>
      </c>
      <c r="D50" s="293" t="s">
        <v>47</v>
      </c>
      <c r="E50" s="293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293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114</v>
      </c>
      <c r="B51" s="383"/>
      <c r="C51" s="295" t="s">
        <v>129</v>
      </c>
      <c r="D51" s="295" t="s">
        <v>475</v>
      </c>
      <c r="E51" s="295" t="s">
        <v>476</v>
      </c>
      <c r="F51" s="384" t="s">
        <v>123</v>
      </c>
      <c r="G51" s="385"/>
      <c r="H51" s="385"/>
      <c r="I51" s="385"/>
      <c r="J51" s="385"/>
      <c r="K51" s="385"/>
      <c r="L51" s="385"/>
      <c r="M51" s="386"/>
      <c r="N51" s="294" t="s">
        <v>128</v>
      </c>
      <c r="O51" s="300" t="s">
        <v>129</v>
      </c>
      <c r="P51" s="389" t="s">
        <v>117</v>
      </c>
      <c r="Q51" s="390"/>
      <c r="R51" s="383" t="s">
        <v>459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 t="s">
        <v>128</v>
      </c>
      <c r="B52" s="383"/>
      <c r="C52" s="295" t="s">
        <v>139</v>
      </c>
      <c r="D52" s="295" t="s">
        <v>125</v>
      </c>
      <c r="E52" s="295" t="s">
        <v>130</v>
      </c>
      <c r="F52" s="384" t="s">
        <v>480</v>
      </c>
      <c r="G52" s="385"/>
      <c r="H52" s="385"/>
      <c r="I52" s="385"/>
      <c r="J52" s="385"/>
      <c r="K52" s="385"/>
      <c r="L52" s="385"/>
      <c r="M52" s="386"/>
      <c r="N52" s="294" t="s">
        <v>128</v>
      </c>
      <c r="O52" s="300" t="s">
        <v>158</v>
      </c>
      <c r="P52" s="389" t="s">
        <v>327</v>
      </c>
      <c r="Q52" s="390"/>
      <c r="R52" s="383" t="s">
        <v>359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295" t="s">
        <v>354</v>
      </c>
      <c r="D53" s="295" t="s">
        <v>117</v>
      </c>
      <c r="E53" s="295" t="s">
        <v>466</v>
      </c>
      <c r="F53" s="384" t="s">
        <v>481</v>
      </c>
      <c r="G53" s="385"/>
      <c r="H53" s="385"/>
      <c r="I53" s="385"/>
      <c r="J53" s="385"/>
      <c r="K53" s="385"/>
      <c r="L53" s="385"/>
      <c r="M53" s="386"/>
      <c r="N53" s="294" t="s">
        <v>114</v>
      </c>
      <c r="O53" s="300" t="s">
        <v>354</v>
      </c>
      <c r="P53" s="389" t="s">
        <v>117</v>
      </c>
      <c r="Q53" s="390"/>
      <c r="R53" s="383" t="s">
        <v>466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128</v>
      </c>
      <c r="B54" s="383"/>
      <c r="C54" s="295" t="s">
        <v>158</v>
      </c>
      <c r="D54" s="295" t="s">
        <v>327</v>
      </c>
      <c r="E54" s="295" t="s">
        <v>359</v>
      </c>
      <c r="F54" s="384" t="s">
        <v>408</v>
      </c>
      <c r="G54" s="385"/>
      <c r="H54" s="385"/>
      <c r="I54" s="385"/>
      <c r="J54" s="385"/>
      <c r="K54" s="385"/>
      <c r="L54" s="385"/>
      <c r="M54" s="386"/>
      <c r="N54" s="294"/>
      <c r="O54" s="300"/>
      <c r="P54" s="389"/>
      <c r="Q54" s="390"/>
      <c r="R54" s="383"/>
      <c r="S54" s="383"/>
      <c r="T54" s="383"/>
      <c r="U54" s="383"/>
      <c r="V54" s="387"/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310</v>
      </c>
      <c r="B55" s="383"/>
      <c r="C55" s="295" t="s">
        <v>227</v>
      </c>
      <c r="D55" s="295" t="s">
        <v>331</v>
      </c>
      <c r="E55" s="295" t="s">
        <v>332</v>
      </c>
      <c r="F55" s="384" t="s">
        <v>482</v>
      </c>
      <c r="G55" s="385"/>
      <c r="H55" s="385"/>
      <c r="I55" s="385"/>
      <c r="J55" s="385"/>
      <c r="K55" s="385"/>
      <c r="L55" s="385"/>
      <c r="M55" s="386"/>
      <c r="N55" s="294"/>
      <c r="O55" s="300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128</v>
      </c>
      <c r="B56" s="383"/>
      <c r="C56" s="295" t="s">
        <v>161</v>
      </c>
      <c r="D56" s="295" t="s">
        <v>117</v>
      </c>
      <c r="E56" s="295" t="s">
        <v>467</v>
      </c>
      <c r="F56" s="384" t="s">
        <v>123</v>
      </c>
      <c r="G56" s="385"/>
      <c r="H56" s="385"/>
      <c r="I56" s="385"/>
      <c r="J56" s="385"/>
      <c r="K56" s="385"/>
      <c r="L56" s="385"/>
      <c r="M56" s="386"/>
      <c r="N56" s="294"/>
      <c r="O56" s="300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295"/>
      <c r="D57" s="295"/>
      <c r="E57" s="295"/>
      <c r="F57" s="384"/>
      <c r="G57" s="385"/>
      <c r="H57" s="385"/>
      <c r="I57" s="385"/>
      <c r="J57" s="385"/>
      <c r="K57" s="385"/>
      <c r="L57" s="385"/>
      <c r="M57" s="386"/>
      <c r="N57" s="294"/>
      <c r="O57" s="300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295"/>
      <c r="D58" s="295"/>
      <c r="E58" s="295"/>
      <c r="F58" s="384"/>
      <c r="G58" s="385"/>
      <c r="H58" s="385"/>
      <c r="I58" s="385"/>
      <c r="J58" s="385"/>
      <c r="K58" s="385"/>
      <c r="L58" s="385"/>
      <c r="M58" s="386"/>
      <c r="N58" s="294"/>
      <c r="O58" s="300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295"/>
      <c r="D59" s="295"/>
      <c r="E59" s="295"/>
      <c r="F59" s="384"/>
      <c r="G59" s="385"/>
      <c r="H59" s="385"/>
      <c r="I59" s="385"/>
      <c r="J59" s="385"/>
      <c r="K59" s="385"/>
      <c r="L59" s="385"/>
      <c r="M59" s="386"/>
      <c r="N59" s="294"/>
      <c r="O59" s="300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297"/>
      <c r="D60" s="297"/>
      <c r="E60" s="297"/>
      <c r="F60" s="393"/>
      <c r="G60" s="393"/>
      <c r="H60" s="393"/>
      <c r="I60" s="393"/>
      <c r="J60" s="393"/>
      <c r="K60" s="393"/>
      <c r="L60" s="393"/>
      <c r="M60" s="394"/>
      <c r="N60" s="296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483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298" t="s">
        <v>2</v>
      </c>
      <c r="D62" s="298" t="s">
        <v>37</v>
      </c>
      <c r="E62" s="298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298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/>
      <c r="D63" s="302"/>
      <c r="E63" s="299"/>
      <c r="F63" s="406"/>
      <c r="G63" s="407"/>
      <c r="H63" s="407"/>
      <c r="I63" s="407"/>
      <c r="J63" s="407"/>
      <c r="K63" s="407"/>
      <c r="L63" s="407"/>
      <c r="M63" s="51"/>
      <c r="N63" s="408"/>
      <c r="O63" s="408"/>
      <c r="P63" s="409"/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302"/>
      <c r="E64" s="299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302"/>
      <c r="E65" s="299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302"/>
      <c r="E66" s="299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302"/>
      <c r="E67" s="299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302"/>
      <c r="E68" s="299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302"/>
      <c r="E69" s="299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302"/>
      <c r="E70" s="299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484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301" t="s">
        <v>2</v>
      </c>
      <c r="D72" s="301" t="s">
        <v>37</v>
      </c>
      <c r="E72" s="301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303" t="s">
        <v>114</v>
      </c>
      <c r="D73" s="303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302"/>
      <c r="D74" s="302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302"/>
      <c r="D75" s="302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302"/>
      <c r="D76" s="302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302"/>
      <c r="D77" s="302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302"/>
      <c r="D78" s="302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302"/>
      <c r="D79" s="302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302"/>
      <c r="D80" s="302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302"/>
      <c r="D81" s="302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485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C987-5F0E-439E-904B-25985DE1F476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486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0.1388888888888889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0.1388888888888889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130</v>
      </c>
      <c r="F8" s="30" t="s">
        <v>126</v>
      </c>
      <c r="G8" s="33">
        <v>1</v>
      </c>
      <c r="H8" s="35">
        <v>24</v>
      </c>
      <c r="I8" s="7">
        <v>22000</v>
      </c>
      <c r="J8" s="5">
        <v>2397</v>
      </c>
      <c r="K8" s="15">
        <f>L8+3695+4307+3354</f>
        <v>13753</v>
      </c>
      <c r="L8" s="15">
        <v>2397</v>
      </c>
      <c r="M8" s="15">
        <f t="shared" si="1"/>
        <v>2397</v>
      </c>
      <c r="N8" s="15">
        <v>0</v>
      </c>
      <c r="O8" s="58">
        <f t="shared" si="2"/>
        <v>0</v>
      </c>
      <c r="P8" s="39">
        <f t="shared" si="3"/>
        <v>10</v>
      </c>
      <c r="Q8" s="40">
        <f t="shared" si="4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6">
        <f t="shared" si="8"/>
        <v>0.1388888888888889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3307</v>
      </c>
      <c r="K9" s="15">
        <f>L9+2483+2720+3334+3355+5508+204+4399+3307</f>
        <v>25310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0.1388888888888889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7386</v>
      </c>
      <c r="K10" s="15">
        <f>L10+4000+2801+4378+6093+3959</f>
        <v>28617</v>
      </c>
      <c r="L10" s="15">
        <f>3693*2</f>
        <v>7386</v>
      </c>
      <c r="M10" s="15">
        <f t="shared" si="1"/>
        <v>7386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/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 t="shared" si="8"/>
        <v>0.1388888888888889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>
        <v>24</v>
      </c>
      <c r="I11" s="7">
        <v>4000</v>
      </c>
      <c r="J11" s="14">
        <v>542</v>
      </c>
      <c r="K11" s="15">
        <f>L11+4550+5818+542</f>
        <v>10910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0.1388888888888889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128</v>
      </c>
      <c r="D12" s="52" t="s">
        <v>117</v>
      </c>
      <c r="E12" s="53" t="s">
        <v>467</v>
      </c>
      <c r="F12" s="30" t="s">
        <v>124</v>
      </c>
      <c r="G12" s="33">
        <v>1</v>
      </c>
      <c r="H12" s="35">
        <v>20</v>
      </c>
      <c r="I12" s="7">
        <v>2000</v>
      </c>
      <c r="J12" s="14">
        <v>2263</v>
      </c>
      <c r="K12" s="15">
        <f>L12+4075</f>
        <v>6338</v>
      </c>
      <c r="L12" s="15">
        <v>2263</v>
      </c>
      <c r="M12" s="15">
        <f t="shared" si="1"/>
        <v>2263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si="7"/>
        <v>0.41666666666666669</v>
      </c>
      <c r="AE12" s="36">
        <f t="shared" si="8"/>
        <v>0.1388888888888889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475</v>
      </c>
      <c r="E13" s="53" t="s">
        <v>476</v>
      </c>
      <c r="F13" s="30" t="s">
        <v>477</v>
      </c>
      <c r="G13" s="33">
        <v>1</v>
      </c>
      <c r="H13" s="35">
        <v>24</v>
      </c>
      <c r="I13" s="7">
        <v>1500</v>
      </c>
      <c r="J13" s="14">
        <v>5119</v>
      </c>
      <c r="K13" s="15">
        <f>L13+5119</f>
        <v>5119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0.1388888888888889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466</v>
      </c>
      <c r="F14" s="30" t="s">
        <v>131</v>
      </c>
      <c r="G14" s="33">
        <v>1</v>
      </c>
      <c r="H14" s="35">
        <v>40</v>
      </c>
      <c r="I14" s="7">
        <v>500</v>
      </c>
      <c r="J14" s="5">
        <v>327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0.1388888888888889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/>
      <c r="E15" s="53" t="s">
        <v>382</v>
      </c>
      <c r="F15" s="12">
        <v>8301</v>
      </c>
      <c r="G15" s="12" t="s">
        <v>204</v>
      </c>
      <c r="H15" s="13">
        <v>24</v>
      </c>
      <c r="I15" s="31">
        <v>2000</v>
      </c>
      <c r="J15" s="14">
        <v>706</v>
      </c>
      <c r="K15" s="15">
        <f>L15+706</f>
        <v>706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0.1388888888888889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128</v>
      </c>
      <c r="D16" s="52" t="s">
        <v>190</v>
      </c>
      <c r="E16" s="53" t="s">
        <v>380</v>
      </c>
      <c r="F16" s="12" t="s">
        <v>200</v>
      </c>
      <c r="G16" s="12">
        <v>1</v>
      </c>
      <c r="H16" s="13">
        <v>24</v>
      </c>
      <c r="I16" s="7">
        <v>60000</v>
      </c>
      <c r="J16" s="14">
        <v>2407</v>
      </c>
      <c r="K16" s="15">
        <f>L16+2357+5213+5517+5420+5503+5457+5438</f>
        <v>37312</v>
      </c>
      <c r="L16" s="15">
        <v>2407</v>
      </c>
      <c r="M16" s="15">
        <f t="shared" si="1"/>
        <v>2407</v>
      </c>
      <c r="N16" s="15">
        <v>0</v>
      </c>
      <c r="O16" s="58">
        <f t="shared" si="2"/>
        <v>0</v>
      </c>
      <c r="P16" s="39">
        <f t="shared" si="3"/>
        <v>10</v>
      </c>
      <c r="Q16" s="40">
        <f t="shared" si="4"/>
        <v>14</v>
      </c>
      <c r="R16" s="7"/>
      <c r="S16" s="6"/>
      <c r="T16" s="16"/>
      <c r="U16" s="16"/>
      <c r="V16" s="17">
        <v>14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0.41666666666666669</v>
      </c>
      <c r="AD16" s="10">
        <f t="shared" si="7"/>
        <v>0.41666666666666669</v>
      </c>
      <c r="AE16" s="36">
        <f t="shared" si="8"/>
        <v>0.1388888888888889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127</v>
      </c>
      <c r="E17" s="53" t="s">
        <v>300</v>
      </c>
      <c r="F17" s="12" t="s">
        <v>313</v>
      </c>
      <c r="G17" s="12">
        <v>1</v>
      </c>
      <c r="H17" s="13">
        <v>24</v>
      </c>
      <c r="I17" s="31">
        <v>2000</v>
      </c>
      <c r="J17" s="14">
        <v>2173</v>
      </c>
      <c r="K17" s="15">
        <f>L17+2173</f>
        <v>2173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0.1388888888888889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228</v>
      </c>
      <c r="F18" s="30" t="s">
        <v>124</v>
      </c>
      <c r="G18" s="33">
        <v>1</v>
      </c>
      <c r="H18" s="35">
        <v>24</v>
      </c>
      <c r="I18" s="7">
        <f>48000+42000</f>
        <v>90000</v>
      </c>
      <c r="J18" s="5">
        <v>2573</v>
      </c>
      <c r="K18" s="15">
        <f>L18+4490+5516+5079+4632+5428+5727+5954+3807+5671+5681+3837+3725+5801+5150+5731</f>
        <v>78802</v>
      </c>
      <c r="L18" s="15">
        <v>2573</v>
      </c>
      <c r="M18" s="15">
        <f t="shared" si="1"/>
        <v>2573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>AC18*AB18*(1-O18)</f>
        <v>0.41666666666666669</v>
      </c>
      <c r="AE18" s="36">
        <f t="shared" si="8"/>
        <v>0.1388888888888889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128</v>
      </c>
      <c r="D19" s="52" t="s">
        <v>117</v>
      </c>
      <c r="E19" s="53" t="s">
        <v>137</v>
      </c>
      <c r="F19" s="30" t="s">
        <v>124</v>
      </c>
      <c r="G19" s="33">
        <v>1</v>
      </c>
      <c r="H19" s="35">
        <v>24</v>
      </c>
      <c r="I19" s="7">
        <v>22000</v>
      </c>
      <c r="J19" s="5">
        <v>4533</v>
      </c>
      <c r="K19" s="15">
        <f>L19+3645+4438+4533</f>
        <v>12616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0.1388888888888889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149</v>
      </c>
      <c r="F20" s="12" t="s">
        <v>116</v>
      </c>
      <c r="G20" s="12">
        <v>4</v>
      </c>
      <c r="H20" s="35">
        <v>20</v>
      </c>
      <c r="I20" s="7">
        <v>200000</v>
      </c>
      <c r="J20" s="14">
        <v>30112</v>
      </c>
      <c r="K20" s="15">
        <f>L20+30112</f>
        <v>30112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0.1388888888888889</v>
      </c>
      <c r="AF20" s="87">
        <f t="shared" si="9"/>
        <v>15</v>
      </c>
    </row>
    <row r="21" spans="1:32" ht="31.5" customHeight="1" thickBot="1">
      <c r="A21" s="355" t="s">
        <v>34</v>
      </c>
      <c r="B21" s="356"/>
      <c r="C21" s="356"/>
      <c r="D21" s="356"/>
      <c r="E21" s="356"/>
      <c r="F21" s="356"/>
      <c r="G21" s="356"/>
      <c r="H21" s="357"/>
      <c r="I21" s="22">
        <f t="shared" ref="I21:N21" si="10">SUM(I6:I20)</f>
        <v>541000</v>
      </c>
      <c r="J21" s="19">
        <f t="shared" si="10"/>
        <v>63845</v>
      </c>
      <c r="K21" s="20">
        <f t="shared" si="10"/>
        <v>251768</v>
      </c>
      <c r="L21" s="21">
        <f t="shared" si="10"/>
        <v>17026</v>
      </c>
      <c r="M21" s="20">
        <f t="shared" si="10"/>
        <v>17026</v>
      </c>
      <c r="N21" s="21">
        <f t="shared" si="10"/>
        <v>0</v>
      </c>
      <c r="O21" s="41">
        <f t="shared" si="2"/>
        <v>0</v>
      </c>
      <c r="P21" s="42">
        <f t="shared" ref="P21:AA21" si="11">SUM(P6:P20)</f>
        <v>50</v>
      </c>
      <c r="Q21" s="43">
        <f t="shared" si="11"/>
        <v>310</v>
      </c>
      <c r="R21" s="23">
        <f t="shared" si="11"/>
        <v>24</v>
      </c>
      <c r="S21" s="24">
        <f t="shared" si="11"/>
        <v>96</v>
      </c>
      <c r="T21" s="24">
        <f t="shared" si="11"/>
        <v>0</v>
      </c>
      <c r="U21" s="24">
        <f t="shared" si="11"/>
        <v>0</v>
      </c>
      <c r="V21" s="25">
        <f t="shared" si="11"/>
        <v>94</v>
      </c>
      <c r="W21" s="26">
        <f t="shared" si="11"/>
        <v>96</v>
      </c>
      <c r="X21" s="27">
        <f t="shared" si="11"/>
        <v>0</v>
      </c>
      <c r="Y21" s="27">
        <f t="shared" si="11"/>
        <v>0</v>
      </c>
      <c r="Z21" s="27">
        <f t="shared" si="11"/>
        <v>0</v>
      </c>
      <c r="AA21" s="27">
        <f t="shared" si="11"/>
        <v>0</v>
      </c>
      <c r="AB21" s="28">
        <f>SUM(AB6:AB20)/15</f>
        <v>0.33333333333333331</v>
      </c>
      <c r="AC21" s="4">
        <f>SUM(AC6:AC20)/15</f>
        <v>0.1388888888888889</v>
      </c>
      <c r="AD21" s="4">
        <f>SUM(AD6:AD20)/15</f>
        <v>0.1388888888888889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358" t="s">
        <v>45</v>
      </c>
      <c r="B48" s="358"/>
      <c r="C48" s="358"/>
      <c r="D48" s="358"/>
      <c r="E48" s="3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359" t="s">
        <v>487</v>
      </c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1"/>
      <c r="N49" s="362" t="s">
        <v>479</v>
      </c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4"/>
    </row>
    <row r="50" spans="1:32" ht="27" customHeight="1">
      <c r="A50" s="365" t="s">
        <v>2</v>
      </c>
      <c r="B50" s="366"/>
      <c r="C50" s="314" t="s">
        <v>46</v>
      </c>
      <c r="D50" s="314" t="s">
        <v>47</v>
      </c>
      <c r="E50" s="314" t="s">
        <v>108</v>
      </c>
      <c r="F50" s="366" t="s">
        <v>107</v>
      </c>
      <c r="G50" s="366"/>
      <c r="H50" s="366"/>
      <c r="I50" s="366"/>
      <c r="J50" s="366"/>
      <c r="K50" s="366"/>
      <c r="L50" s="366"/>
      <c r="M50" s="367"/>
      <c r="N50" s="67" t="s">
        <v>112</v>
      </c>
      <c r="O50" s="314" t="s">
        <v>46</v>
      </c>
      <c r="P50" s="368" t="s">
        <v>47</v>
      </c>
      <c r="Q50" s="369"/>
      <c r="R50" s="368" t="s">
        <v>38</v>
      </c>
      <c r="S50" s="370"/>
      <c r="T50" s="370"/>
      <c r="U50" s="369"/>
      <c r="V50" s="368" t="s">
        <v>48</v>
      </c>
      <c r="W50" s="370"/>
      <c r="X50" s="370"/>
      <c r="Y50" s="370"/>
      <c r="Z50" s="370"/>
      <c r="AA50" s="370"/>
      <c r="AB50" s="370"/>
      <c r="AC50" s="370"/>
      <c r="AD50" s="371"/>
    </row>
    <row r="51" spans="1:32" ht="27" customHeight="1">
      <c r="A51" s="382" t="s">
        <v>128</v>
      </c>
      <c r="B51" s="383"/>
      <c r="C51" s="311" t="s">
        <v>129</v>
      </c>
      <c r="D51" s="311" t="s">
        <v>190</v>
      </c>
      <c r="E51" s="311" t="s">
        <v>459</v>
      </c>
      <c r="F51" s="384" t="s">
        <v>391</v>
      </c>
      <c r="G51" s="385"/>
      <c r="H51" s="385"/>
      <c r="I51" s="385"/>
      <c r="J51" s="385"/>
      <c r="K51" s="385"/>
      <c r="L51" s="385"/>
      <c r="M51" s="386"/>
      <c r="N51" s="310" t="s">
        <v>128</v>
      </c>
      <c r="O51" s="308" t="s">
        <v>129</v>
      </c>
      <c r="P51" s="389" t="s">
        <v>117</v>
      </c>
      <c r="Q51" s="390"/>
      <c r="R51" s="383" t="s">
        <v>459</v>
      </c>
      <c r="S51" s="383"/>
      <c r="T51" s="383"/>
      <c r="U51" s="383"/>
      <c r="V51" s="387" t="s">
        <v>174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82"/>
      <c r="B52" s="383"/>
      <c r="C52" s="311"/>
      <c r="D52" s="311"/>
      <c r="E52" s="311"/>
      <c r="F52" s="384"/>
      <c r="G52" s="385"/>
      <c r="H52" s="385"/>
      <c r="I52" s="385"/>
      <c r="J52" s="385"/>
      <c r="K52" s="385"/>
      <c r="L52" s="385"/>
      <c r="M52" s="386"/>
      <c r="N52" s="310" t="s">
        <v>128</v>
      </c>
      <c r="O52" s="308" t="s">
        <v>158</v>
      </c>
      <c r="P52" s="389" t="s">
        <v>327</v>
      </c>
      <c r="Q52" s="390"/>
      <c r="R52" s="383" t="s">
        <v>359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/>
      <c r="B53" s="383"/>
      <c r="C53" s="311"/>
      <c r="D53" s="311"/>
      <c r="E53" s="311"/>
      <c r="F53" s="384"/>
      <c r="G53" s="385"/>
      <c r="H53" s="385"/>
      <c r="I53" s="385"/>
      <c r="J53" s="385"/>
      <c r="K53" s="385"/>
      <c r="L53" s="385"/>
      <c r="M53" s="386"/>
      <c r="N53" s="310" t="s">
        <v>114</v>
      </c>
      <c r="O53" s="308" t="s">
        <v>354</v>
      </c>
      <c r="P53" s="389" t="s">
        <v>117</v>
      </c>
      <c r="Q53" s="390"/>
      <c r="R53" s="383" t="s">
        <v>466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/>
      <c r="B54" s="383"/>
      <c r="C54" s="311"/>
      <c r="D54" s="311"/>
      <c r="E54" s="311"/>
      <c r="F54" s="384"/>
      <c r="G54" s="385"/>
      <c r="H54" s="385"/>
      <c r="I54" s="385"/>
      <c r="J54" s="385"/>
      <c r="K54" s="385"/>
      <c r="L54" s="385"/>
      <c r="M54" s="386"/>
      <c r="N54" s="310" t="s">
        <v>310</v>
      </c>
      <c r="O54" s="308" t="s">
        <v>176</v>
      </c>
      <c r="P54" s="389" t="s">
        <v>488</v>
      </c>
      <c r="Q54" s="390"/>
      <c r="R54" s="383" t="s">
        <v>357</v>
      </c>
      <c r="S54" s="383"/>
      <c r="T54" s="383"/>
      <c r="U54" s="383"/>
      <c r="V54" s="387" t="s">
        <v>174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/>
      <c r="B55" s="383"/>
      <c r="C55" s="311"/>
      <c r="D55" s="311"/>
      <c r="E55" s="311"/>
      <c r="F55" s="384"/>
      <c r="G55" s="385"/>
      <c r="H55" s="385"/>
      <c r="I55" s="385"/>
      <c r="J55" s="385"/>
      <c r="K55" s="385"/>
      <c r="L55" s="385"/>
      <c r="M55" s="386"/>
      <c r="N55" s="310"/>
      <c r="O55" s="308"/>
      <c r="P55" s="389"/>
      <c r="Q55" s="390"/>
      <c r="R55" s="383"/>
      <c r="S55" s="383"/>
      <c r="T55" s="383"/>
      <c r="U55" s="383"/>
      <c r="V55" s="387"/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/>
      <c r="B56" s="383"/>
      <c r="C56" s="311"/>
      <c r="D56" s="311"/>
      <c r="E56" s="311"/>
      <c r="F56" s="384"/>
      <c r="G56" s="385"/>
      <c r="H56" s="385"/>
      <c r="I56" s="385"/>
      <c r="J56" s="385"/>
      <c r="K56" s="385"/>
      <c r="L56" s="385"/>
      <c r="M56" s="386"/>
      <c r="N56" s="310"/>
      <c r="O56" s="308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/>
      <c r="B57" s="383"/>
      <c r="C57" s="311"/>
      <c r="D57" s="311"/>
      <c r="E57" s="311"/>
      <c r="F57" s="384"/>
      <c r="G57" s="385"/>
      <c r="H57" s="385"/>
      <c r="I57" s="385"/>
      <c r="J57" s="385"/>
      <c r="K57" s="385"/>
      <c r="L57" s="385"/>
      <c r="M57" s="386"/>
      <c r="N57" s="310"/>
      <c r="O57" s="308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/>
      <c r="B58" s="383"/>
      <c r="C58" s="311"/>
      <c r="D58" s="311"/>
      <c r="E58" s="311"/>
      <c r="F58" s="384"/>
      <c r="G58" s="385"/>
      <c r="H58" s="385"/>
      <c r="I58" s="385"/>
      <c r="J58" s="385"/>
      <c r="K58" s="385"/>
      <c r="L58" s="385"/>
      <c r="M58" s="386"/>
      <c r="N58" s="310"/>
      <c r="O58" s="308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/>
      <c r="B59" s="383"/>
      <c r="C59" s="311"/>
      <c r="D59" s="311"/>
      <c r="E59" s="311"/>
      <c r="F59" s="384"/>
      <c r="G59" s="385"/>
      <c r="H59" s="385"/>
      <c r="I59" s="385"/>
      <c r="J59" s="385"/>
      <c r="K59" s="385"/>
      <c r="L59" s="385"/>
      <c r="M59" s="386"/>
      <c r="N59" s="310"/>
      <c r="O59" s="308"/>
      <c r="P59" s="383"/>
      <c r="Q59" s="383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  <c r="AF59" s="87">
        <f>8*3000</f>
        <v>24000</v>
      </c>
    </row>
    <row r="60" spans="1:32" ht="27" customHeight="1" thickBot="1">
      <c r="A60" s="391"/>
      <c r="B60" s="392"/>
      <c r="C60" s="313"/>
      <c r="D60" s="313"/>
      <c r="E60" s="313"/>
      <c r="F60" s="393"/>
      <c r="G60" s="393"/>
      <c r="H60" s="393"/>
      <c r="I60" s="393"/>
      <c r="J60" s="393"/>
      <c r="K60" s="393"/>
      <c r="L60" s="393"/>
      <c r="M60" s="394"/>
      <c r="N60" s="312"/>
      <c r="O60" s="114"/>
      <c r="P60" s="392"/>
      <c r="Q60" s="392"/>
      <c r="R60" s="392"/>
      <c r="S60" s="392"/>
      <c r="T60" s="392"/>
      <c r="U60" s="392"/>
      <c r="V60" s="395"/>
      <c r="W60" s="395"/>
      <c r="X60" s="395"/>
      <c r="Y60" s="395"/>
      <c r="Z60" s="395"/>
      <c r="AA60" s="395"/>
      <c r="AB60" s="395"/>
      <c r="AC60" s="395"/>
      <c r="AD60" s="396"/>
      <c r="AF60" s="87">
        <f>16*3000</f>
        <v>48000</v>
      </c>
    </row>
    <row r="61" spans="1:32" ht="27.75" thickBot="1">
      <c r="A61" s="397" t="s">
        <v>489</v>
      </c>
      <c r="B61" s="397"/>
      <c r="C61" s="397"/>
      <c r="D61" s="397"/>
      <c r="E61" s="39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398" t="s">
        <v>113</v>
      </c>
      <c r="B62" s="399"/>
      <c r="C62" s="309" t="s">
        <v>2</v>
      </c>
      <c r="D62" s="309" t="s">
        <v>37</v>
      </c>
      <c r="E62" s="309" t="s">
        <v>3</v>
      </c>
      <c r="F62" s="399" t="s">
        <v>110</v>
      </c>
      <c r="G62" s="399"/>
      <c r="H62" s="399"/>
      <c r="I62" s="399"/>
      <c r="J62" s="399"/>
      <c r="K62" s="399" t="s">
        <v>39</v>
      </c>
      <c r="L62" s="399"/>
      <c r="M62" s="309" t="s">
        <v>40</v>
      </c>
      <c r="N62" s="399" t="s">
        <v>41</v>
      </c>
      <c r="O62" s="399"/>
      <c r="P62" s="400" t="s">
        <v>42</v>
      </c>
      <c r="Q62" s="401"/>
      <c r="R62" s="400" t="s">
        <v>43</v>
      </c>
      <c r="S62" s="402"/>
      <c r="T62" s="402"/>
      <c r="U62" s="402"/>
      <c r="V62" s="402"/>
      <c r="W62" s="402"/>
      <c r="X62" s="402"/>
      <c r="Y62" s="402"/>
      <c r="Z62" s="402"/>
      <c r="AA62" s="401"/>
      <c r="AB62" s="399" t="s">
        <v>44</v>
      </c>
      <c r="AC62" s="399"/>
      <c r="AD62" s="403"/>
      <c r="AF62" s="87">
        <f>SUM(AF59:AF61)</f>
        <v>96000</v>
      </c>
    </row>
    <row r="63" spans="1:32" ht="25.5" customHeight="1">
      <c r="A63" s="404">
        <v>1</v>
      </c>
      <c r="B63" s="405"/>
      <c r="C63" s="117"/>
      <c r="D63" s="304"/>
      <c r="E63" s="307"/>
      <c r="F63" s="406"/>
      <c r="G63" s="407"/>
      <c r="H63" s="407"/>
      <c r="I63" s="407"/>
      <c r="J63" s="407"/>
      <c r="K63" s="407"/>
      <c r="L63" s="407"/>
      <c r="M63" s="51"/>
      <c r="N63" s="408"/>
      <c r="O63" s="408"/>
      <c r="P63" s="409"/>
      <c r="Q63" s="409"/>
      <c r="R63" s="387"/>
      <c r="S63" s="387"/>
      <c r="T63" s="387"/>
      <c r="U63" s="387"/>
      <c r="V63" s="387"/>
      <c r="W63" s="387"/>
      <c r="X63" s="387"/>
      <c r="Y63" s="387"/>
      <c r="Z63" s="387"/>
      <c r="AA63" s="387"/>
      <c r="AB63" s="407"/>
      <c r="AC63" s="407"/>
      <c r="AD63" s="410"/>
      <c r="AF63" s="50"/>
    </row>
    <row r="64" spans="1:32" ht="25.5" customHeight="1">
      <c r="A64" s="404">
        <v>2</v>
      </c>
      <c r="B64" s="405"/>
      <c r="C64" s="117"/>
      <c r="D64" s="304"/>
      <c r="E64" s="307"/>
      <c r="F64" s="406"/>
      <c r="G64" s="407"/>
      <c r="H64" s="407"/>
      <c r="I64" s="407"/>
      <c r="J64" s="407"/>
      <c r="K64" s="407"/>
      <c r="L64" s="407"/>
      <c r="M64" s="51"/>
      <c r="N64" s="408"/>
      <c r="O64" s="408"/>
      <c r="P64" s="409"/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3</v>
      </c>
      <c r="B65" s="405"/>
      <c r="C65" s="117"/>
      <c r="D65" s="304"/>
      <c r="E65" s="307"/>
      <c r="F65" s="406"/>
      <c r="G65" s="407"/>
      <c r="H65" s="407"/>
      <c r="I65" s="407"/>
      <c r="J65" s="407"/>
      <c r="K65" s="407"/>
      <c r="L65" s="407"/>
      <c r="M65" s="51"/>
      <c r="N65" s="408"/>
      <c r="O65" s="408"/>
      <c r="P65" s="409"/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4</v>
      </c>
      <c r="B66" s="405"/>
      <c r="C66" s="117"/>
      <c r="D66" s="304"/>
      <c r="E66" s="307"/>
      <c r="F66" s="406"/>
      <c r="G66" s="407"/>
      <c r="H66" s="407"/>
      <c r="I66" s="407"/>
      <c r="J66" s="407"/>
      <c r="K66" s="407"/>
      <c r="L66" s="407"/>
      <c r="M66" s="51"/>
      <c r="N66" s="407"/>
      <c r="O66" s="407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5</v>
      </c>
      <c r="B67" s="405"/>
      <c r="C67" s="117"/>
      <c r="D67" s="304"/>
      <c r="E67" s="307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6</v>
      </c>
      <c r="B68" s="405"/>
      <c r="C68" s="117"/>
      <c r="D68" s="304"/>
      <c r="E68" s="307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7</v>
      </c>
      <c r="B69" s="405"/>
      <c r="C69" s="117"/>
      <c r="D69" s="304"/>
      <c r="E69" s="307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8</v>
      </c>
      <c r="B70" s="405"/>
      <c r="C70" s="117"/>
      <c r="D70" s="304"/>
      <c r="E70" s="307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6.25" customHeight="1" thickBot="1">
      <c r="A71" s="411" t="s">
        <v>490</v>
      </c>
      <c r="B71" s="411"/>
      <c r="C71" s="411"/>
      <c r="D71" s="411"/>
      <c r="E71" s="411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2" t="s">
        <v>113</v>
      </c>
      <c r="B72" s="413"/>
      <c r="C72" s="306" t="s">
        <v>2</v>
      </c>
      <c r="D72" s="306" t="s">
        <v>37</v>
      </c>
      <c r="E72" s="306" t="s">
        <v>3</v>
      </c>
      <c r="F72" s="413" t="s">
        <v>38</v>
      </c>
      <c r="G72" s="413"/>
      <c r="H72" s="413"/>
      <c r="I72" s="413"/>
      <c r="J72" s="413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413" t="s">
        <v>49</v>
      </c>
      <c r="U72" s="413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0"/>
    </row>
    <row r="73" spans="1:32" ht="33.75" customHeight="1">
      <c r="A73" s="426">
        <v>1</v>
      </c>
      <c r="B73" s="427"/>
      <c r="C73" s="305" t="s">
        <v>114</v>
      </c>
      <c r="D73" s="305"/>
      <c r="E73" s="65" t="s">
        <v>120</v>
      </c>
      <c r="F73" s="428" t="s">
        <v>119</v>
      </c>
      <c r="G73" s="429"/>
      <c r="H73" s="429"/>
      <c r="I73" s="429"/>
      <c r="J73" s="430"/>
      <c r="K73" s="431" t="s">
        <v>121</v>
      </c>
      <c r="L73" s="432"/>
      <c r="M73" s="432"/>
      <c r="N73" s="432"/>
      <c r="O73" s="432"/>
      <c r="P73" s="432"/>
      <c r="Q73" s="432"/>
      <c r="R73" s="432"/>
      <c r="S73" s="433"/>
      <c r="T73" s="434">
        <v>43384</v>
      </c>
      <c r="U73" s="435"/>
      <c r="V73" s="436"/>
      <c r="W73" s="436"/>
      <c r="X73" s="437"/>
      <c r="Y73" s="437"/>
      <c r="Z73" s="437"/>
      <c r="AA73" s="437"/>
      <c r="AB73" s="437"/>
      <c r="AC73" s="437"/>
      <c r="AD73" s="438"/>
      <c r="AF73" s="50"/>
    </row>
    <row r="74" spans="1:32" ht="30" customHeight="1">
      <c r="A74" s="418">
        <f>A73+1</f>
        <v>2</v>
      </c>
      <c r="B74" s="419"/>
      <c r="C74" s="304"/>
      <c r="D74" s="304"/>
      <c r="E74" s="32"/>
      <c r="F74" s="419"/>
      <c r="G74" s="419"/>
      <c r="H74" s="419"/>
      <c r="I74" s="419"/>
      <c r="J74" s="419"/>
      <c r="K74" s="420"/>
      <c r="L74" s="421"/>
      <c r="M74" s="421"/>
      <c r="N74" s="421"/>
      <c r="O74" s="421"/>
      <c r="P74" s="421"/>
      <c r="Q74" s="421"/>
      <c r="R74" s="421"/>
      <c r="S74" s="422"/>
      <c r="T74" s="423"/>
      <c r="U74" s="423"/>
      <c r="V74" s="423"/>
      <c r="W74" s="423"/>
      <c r="X74" s="424"/>
      <c r="Y74" s="424"/>
      <c r="Z74" s="424"/>
      <c r="AA74" s="424"/>
      <c r="AB74" s="424"/>
      <c r="AC74" s="424"/>
      <c r="AD74" s="425"/>
      <c r="AF74" s="50"/>
    </row>
    <row r="75" spans="1:32" ht="30" customHeight="1">
      <c r="A75" s="418">
        <f t="shared" ref="A75:A81" si="12">A74+1</f>
        <v>3</v>
      </c>
      <c r="B75" s="419"/>
      <c r="C75" s="304"/>
      <c r="D75" s="304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si="12"/>
        <v>4</v>
      </c>
      <c r="B76" s="419"/>
      <c r="C76" s="304"/>
      <c r="D76" s="304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2"/>
        <v>5</v>
      </c>
      <c r="B77" s="419"/>
      <c r="C77" s="304"/>
      <c r="D77" s="304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2"/>
        <v>6</v>
      </c>
      <c r="B78" s="419"/>
      <c r="C78" s="304"/>
      <c r="D78" s="304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2"/>
        <v>7</v>
      </c>
      <c r="B79" s="419"/>
      <c r="C79" s="304"/>
      <c r="D79" s="304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2"/>
        <v>8</v>
      </c>
      <c r="B80" s="419"/>
      <c r="C80" s="304"/>
      <c r="D80" s="304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2"/>
        <v>9</v>
      </c>
      <c r="B81" s="419"/>
      <c r="C81" s="304"/>
      <c r="D81" s="304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6" thickBot="1">
      <c r="A82" s="411" t="s">
        <v>491</v>
      </c>
      <c r="B82" s="411"/>
      <c r="C82" s="411"/>
      <c r="D82" s="411"/>
      <c r="E82" s="411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2" t="s">
        <v>113</v>
      </c>
      <c r="B83" s="413"/>
      <c r="C83" s="439" t="s">
        <v>52</v>
      </c>
      <c r="D83" s="439"/>
      <c r="E83" s="439" t="s">
        <v>53</v>
      </c>
      <c r="F83" s="439"/>
      <c r="G83" s="439"/>
      <c r="H83" s="439"/>
      <c r="I83" s="439"/>
      <c r="J83" s="439"/>
      <c r="K83" s="439" t="s">
        <v>54</v>
      </c>
      <c r="L83" s="439"/>
      <c r="M83" s="439"/>
      <c r="N83" s="439"/>
      <c r="O83" s="439"/>
      <c r="P83" s="439"/>
      <c r="Q83" s="439"/>
      <c r="R83" s="439"/>
      <c r="S83" s="439"/>
      <c r="T83" s="439" t="s">
        <v>55</v>
      </c>
      <c r="U83" s="439"/>
      <c r="V83" s="439" t="s">
        <v>56</v>
      </c>
      <c r="W83" s="439"/>
      <c r="X83" s="439"/>
      <c r="Y83" s="439" t="s">
        <v>51</v>
      </c>
      <c r="Z83" s="439"/>
      <c r="AA83" s="439"/>
      <c r="AB83" s="439"/>
      <c r="AC83" s="439"/>
      <c r="AD83" s="440"/>
      <c r="AF83" s="50"/>
    </row>
    <row r="84" spans="1:32" ht="30.75" customHeight="1">
      <c r="A84" s="426">
        <v>1</v>
      </c>
      <c r="B84" s="427"/>
      <c r="C84" s="441"/>
      <c r="D84" s="441"/>
      <c r="E84" s="441"/>
      <c r="F84" s="441"/>
      <c r="G84" s="441"/>
      <c r="H84" s="441"/>
      <c r="I84" s="441"/>
      <c r="J84" s="441"/>
      <c r="K84" s="441"/>
      <c r="L84" s="441"/>
      <c r="M84" s="441"/>
      <c r="N84" s="441"/>
      <c r="O84" s="441"/>
      <c r="P84" s="441"/>
      <c r="Q84" s="441"/>
      <c r="R84" s="441"/>
      <c r="S84" s="441"/>
      <c r="T84" s="441"/>
      <c r="U84" s="441"/>
      <c r="V84" s="442"/>
      <c r="W84" s="442"/>
      <c r="X84" s="442"/>
      <c r="Y84" s="443"/>
      <c r="Z84" s="443"/>
      <c r="AA84" s="443"/>
      <c r="AB84" s="443"/>
      <c r="AC84" s="443"/>
      <c r="AD84" s="444"/>
      <c r="AF84" s="50"/>
    </row>
    <row r="85" spans="1:32" ht="30.75" customHeight="1">
      <c r="A85" s="418">
        <v>2</v>
      </c>
      <c r="B85" s="41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2"/>
      <c r="O85" s="452"/>
      <c r="P85" s="452"/>
      <c r="Q85" s="452"/>
      <c r="R85" s="452"/>
      <c r="S85" s="452"/>
      <c r="T85" s="453"/>
      <c r="U85" s="453"/>
      <c r="V85" s="454"/>
      <c r="W85" s="454"/>
      <c r="X85" s="454"/>
      <c r="Y85" s="445"/>
      <c r="Z85" s="445"/>
      <c r="AA85" s="445"/>
      <c r="AB85" s="445"/>
      <c r="AC85" s="445"/>
      <c r="AD85" s="446"/>
      <c r="AF85" s="50"/>
    </row>
    <row r="86" spans="1:32" ht="30.75" customHeight="1" thickBot="1">
      <c r="A86" s="447">
        <v>3</v>
      </c>
      <c r="B86" s="448"/>
      <c r="C86" s="449"/>
      <c r="D86" s="449"/>
      <c r="E86" s="449"/>
      <c r="F86" s="449"/>
      <c r="G86" s="449"/>
      <c r="H86" s="449"/>
      <c r="I86" s="449"/>
      <c r="J86" s="449"/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50"/>
      <c r="Z86" s="450"/>
      <c r="AA86" s="450"/>
      <c r="AB86" s="450"/>
      <c r="AC86" s="450"/>
      <c r="AD86" s="451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D8C8-2A26-4181-8A8E-41D7E4D00F20}">
  <sheetPr>
    <pageSetUpPr fitToPage="1"/>
  </sheetPr>
  <dimension ref="A1:AF87"/>
  <sheetViews>
    <sheetView zoomScale="72" zoomScaleNormal="72" zoomScaleSheetLayoutView="70" workbookViewId="0">
      <selection activeCell="K108" sqref="K108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492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7" si="8">$AD$22</f>
        <v>0.51666666666666661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0.51666666666666661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130</v>
      </c>
      <c r="F8" s="30" t="s">
        <v>126</v>
      </c>
      <c r="G8" s="33">
        <v>1</v>
      </c>
      <c r="H8" s="35">
        <v>24</v>
      </c>
      <c r="I8" s="7">
        <v>22000</v>
      </c>
      <c r="J8" s="5">
        <v>5399</v>
      </c>
      <c r="K8" s="15">
        <f>L8+3695+4307+3354+2397</f>
        <v>19152</v>
      </c>
      <c r="L8" s="15">
        <f>2778+338+2283</f>
        <v>5399</v>
      </c>
      <c r="M8" s="15">
        <f t="shared" si="1"/>
        <v>5399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0.51666666666666661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3307</v>
      </c>
      <c r="K9" s="15">
        <f>L9+2483+2720+3334+3355+5508+204+4399+3307</f>
        <v>25310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0.51666666666666661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10861</v>
      </c>
      <c r="K10" s="15">
        <f>L10+4000+2801+4378+6093+3959+7386</f>
        <v>39478</v>
      </c>
      <c r="L10" s="15">
        <f>4201+3330*2</f>
        <v>10861</v>
      </c>
      <c r="M10" s="15">
        <f t="shared" si="1"/>
        <v>10861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0.51666666666666661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>
        <v>24</v>
      </c>
      <c r="I11" s="7">
        <v>4000</v>
      </c>
      <c r="J11" s="14">
        <v>542</v>
      </c>
      <c r="K11" s="15">
        <f>L11+4550+5818+542</f>
        <v>10910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0.51666666666666661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128</v>
      </c>
      <c r="D12" s="52" t="s">
        <v>117</v>
      </c>
      <c r="E12" s="53" t="s">
        <v>467</v>
      </c>
      <c r="F12" s="30" t="s">
        <v>124</v>
      </c>
      <c r="G12" s="33">
        <v>1</v>
      </c>
      <c r="H12" s="35">
        <v>20</v>
      </c>
      <c r="I12" s="7">
        <v>2000</v>
      </c>
      <c r="J12" s="14">
        <v>4885</v>
      </c>
      <c r="K12" s="15">
        <f>L12+4075+2263</f>
        <v>11223</v>
      </c>
      <c r="L12" s="15">
        <f>2626+2259</f>
        <v>4885</v>
      </c>
      <c r="M12" s="15">
        <f t="shared" si="1"/>
        <v>4885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0.51666666666666661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190</v>
      </c>
      <c r="E13" s="53" t="s">
        <v>459</v>
      </c>
      <c r="F13" s="30" t="s">
        <v>131</v>
      </c>
      <c r="G13" s="33">
        <v>1</v>
      </c>
      <c r="H13" s="35">
        <v>24</v>
      </c>
      <c r="I13" s="7">
        <v>500</v>
      </c>
      <c r="J13" s="14">
        <v>568</v>
      </c>
      <c r="K13" s="15">
        <f>L13</f>
        <v>568</v>
      </c>
      <c r="L13" s="15">
        <v>568</v>
      </c>
      <c r="M13" s="15">
        <f t="shared" ref="M13" si="10">L13-N13</f>
        <v>568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5</v>
      </c>
      <c r="Q13" s="40">
        <f t="shared" ref="Q13" si="13">SUM(R13:AA13)</f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0.20833333333333334</v>
      </c>
      <c r="AD13" s="10">
        <f t="shared" ref="AD13" si="16">AC13*AB13*(1-O13)</f>
        <v>0.20833333333333334</v>
      </c>
      <c r="AE13" s="36">
        <f t="shared" si="8"/>
        <v>0.51666666666666661</v>
      </c>
      <c r="AF13" s="87">
        <f t="shared" ref="AF13" si="17">A13</f>
        <v>8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327</v>
      </c>
      <c r="E14" s="53" t="s">
        <v>493</v>
      </c>
      <c r="F14" s="30" t="s">
        <v>131</v>
      </c>
      <c r="G14" s="33">
        <v>1</v>
      </c>
      <c r="H14" s="35">
        <v>24</v>
      </c>
      <c r="I14" s="7">
        <v>1000</v>
      </c>
      <c r="J14" s="14">
        <v>2538</v>
      </c>
      <c r="K14" s="15">
        <f>L14</f>
        <v>2538</v>
      </c>
      <c r="L14" s="15">
        <v>2538</v>
      </c>
      <c r="M14" s="15">
        <f t="shared" si="1"/>
        <v>2538</v>
      </c>
      <c r="N14" s="15">
        <v>0</v>
      </c>
      <c r="O14" s="58">
        <f t="shared" si="2"/>
        <v>0</v>
      </c>
      <c r="P14" s="39">
        <f t="shared" si="3"/>
        <v>12</v>
      </c>
      <c r="Q14" s="40">
        <f t="shared" si="4"/>
        <v>12</v>
      </c>
      <c r="R14" s="7"/>
      <c r="S14" s="6"/>
      <c r="T14" s="16"/>
      <c r="U14" s="16"/>
      <c r="V14" s="17"/>
      <c r="W14" s="5">
        <v>12</v>
      </c>
      <c r="X14" s="16"/>
      <c r="Y14" s="16"/>
      <c r="Z14" s="16"/>
      <c r="AA14" s="18"/>
      <c r="AB14" s="8">
        <f t="shared" si="5"/>
        <v>1</v>
      </c>
      <c r="AC14" s="9">
        <f t="shared" si="6"/>
        <v>0.5</v>
      </c>
      <c r="AD14" s="10">
        <f t="shared" si="7"/>
        <v>0.5</v>
      </c>
      <c r="AE14" s="36">
        <f t="shared" si="8"/>
        <v>0.51666666666666661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466</v>
      </c>
      <c r="F15" s="30" t="s">
        <v>131</v>
      </c>
      <c r="G15" s="33">
        <v>1</v>
      </c>
      <c r="H15" s="35">
        <v>40</v>
      </c>
      <c r="I15" s="7">
        <v>100</v>
      </c>
      <c r="J15" s="5">
        <v>110</v>
      </c>
      <c r="K15" s="15">
        <f>L15</f>
        <v>110</v>
      </c>
      <c r="L15" s="15">
        <v>110</v>
      </c>
      <c r="M15" s="15">
        <f t="shared" si="1"/>
        <v>110</v>
      </c>
      <c r="N15" s="15">
        <v>0</v>
      </c>
      <c r="O15" s="58">
        <f t="shared" si="2"/>
        <v>0</v>
      </c>
      <c r="P15" s="39">
        <f t="shared" si="3"/>
        <v>4</v>
      </c>
      <c r="Q15" s="40">
        <f t="shared" si="4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0.16666666666666666</v>
      </c>
      <c r="AD15" s="10">
        <f t="shared" si="7"/>
        <v>0.16666666666666666</v>
      </c>
      <c r="AE15" s="36">
        <f t="shared" si="8"/>
        <v>0.51666666666666661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233</v>
      </c>
      <c r="D16" s="52"/>
      <c r="E16" s="53" t="s">
        <v>382</v>
      </c>
      <c r="F16" s="12">
        <v>8301</v>
      </c>
      <c r="G16" s="12" t="s">
        <v>204</v>
      </c>
      <c r="H16" s="13">
        <v>24</v>
      </c>
      <c r="I16" s="31">
        <v>2000</v>
      </c>
      <c r="J16" s="14">
        <v>2260</v>
      </c>
      <c r="K16" s="15">
        <f>L16</f>
        <v>2260</v>
      </c>
      <c r="L16" s="15">
        <f>2260</f>
        <v>2260</v>
      </c>
      <c r="M16" s="15">
        <f t="shared" si="1"/>
        <v>2260</v>
      </c>
      <c r="N16" s="15">
        <v>0</v>
      </c>
      <c r="O16" s="58">
        <f t="shared" si="2"/>
        <v>0</v>
      </c>
      <c r="P16" s="39">
        <f t="shared" si="3"/>
        <v>10</v>
      </c>
      <c r="Q16" s="40">
        <f t="shared" si="4"/>
        <v>14</v>
      </c>
      <c r="R16" s="7"/>
      <c r="S16" s="6"/>
      <c r="T16" s="16"/>
      <c r="U16" s="16"/>
      <c r="V16" s="17"/>
      <c r="W16" s="5">
        <v>14</v>
      </c>
      <c r="X16" s="16"/>
      <c r="Y16" s="16"/>
      <c r="Z16" s="16"/>
      <c r="AA16" s="18"/>
      <c r="AB16" s="8">
        <f t="shared" si="5"/>
        <v>1</v>
      </c>
      <c r="AC16" s="9">
        <f t="shared" si="6"/>
        <v>0.41666666666666669</v>
      </c>
      <c r="AD16" s="10">
        <f t="shared" si="7"/>
        <v>0.41666666666666669</v>
      </c>
      <c r="AE16" s="36">
        <f t="shared" si="8"/>
        <v>0.51666666666666661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128</v>
      </c>
      <c r="D17" s="52" t="s">
        <v>190</v>
      </c>
      <c r="E17" s="53" t="s">
        <v>380</v>
      </c>
      <c r="F17" s="12" t="s">
        <v>200</v>
      </c>
      <c r="G17" s="12">
        <v>1</v>
      </c>
      <c r="H17" s="13">
        <v>24</v>
      </c>
      <c r="I17" s="7">
        <v>60000</v>
      </c>
      <c r="J17" s="14">
        <v>5322</v>
      </c>
      <c r="K17" s="15">
        <f>L17+2357+5213+5517+5420+5503+5457+5438+2407</f>
        <v>42634</v>
      </c>
      <c r="L17" s="15">
        <f>2357+2965</f>
        <v>5322</v>
      </c>
      <c r="M17" s="15">
        <f t="shared" si="1"/>
        <v>5322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0.51666666666666661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310</v>
      </c>
      <c r="D18" s="52" t="s">
        <v>127</v>
      </c>
      <c r="E18" s="53" t="s">
        <v>494</v>
      </c>
      <c r="F18" s="12" t="s">
        <v>417</v>
      </c>
      <c r="G18" s="12">
        <v>1</v>
      </c>
      <c r="H18" s="13">
        <v>24</v>
      </c>
      <c r="I18" s="31">
        <v>500</v>
      </c>
      <c r="J18" s="14">
        <v>650</v>
      </c>
      <c r="K18" s="15">
        <f>L18</f>
        <v>650</v>
      </c>
      <c r="L18" s="15">
        <v>650</v>
      </c>
      <c r="M18" s="15">
        <f t="shared" si="1"/>
        <v>650</v>
      </c>
      <c r="N18" s="15">
        <v>0</v>
      </c>
      <c r="O18" s="58">
        <f t="shared" si="2"/>
        <v>0</v>
      </c>
      <c r="P18" s="39">
        <f t="shared" si="3"/>
        <v>8</v>
      </c>
      <c r="Q18" s="40">
        <f t="shared" si="4"/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5"/>
        <v>1</v>
      </c>
      <c r="AC18" s="9">
        <f t="shared" si="6"/>
        <v>0.33333333333333331</v>
      </c>
      <c r="AD18" s="10">
        <f t="shared" si="7"/>
        <v>0.33333333333333331</v>
      </c>
      <c r="AE18" s="36">
        <f t="shared" ref="AE18:AE21" si="18">$AD$22</f>
        <v>0.51666666666666661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f>48000+42000</f>
        <v>90000</v>
      </c>
      <c r="J19" s="5">
        <v>5660</v>
      </c>
      <c r="K19" s="15">
        <f>L19+4490+5516+5079+4632+5428+5727+5954+3807+5671+5681+3837+3725+5801+5150+5731+2573</f>
        <v>84462</v>
      </c>
      <c r="L19" s="15">
        <f>2547+3113</f>
        <v>5660</v>
      </c>
      <c r="M19" s="15">
        <f t="shared" si="1"/>
        <v>5660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18"/>
        <v>0.51666666666666661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310</v>
      </c>
      <c r="D20" s="52" t="s">
        <v>366</v>
      </c>
      <c r="E20" s="53" t="s">
        <v>357</v>
      </c>
      <c r="F20" s="30" t="s">
        <v>124</v>
      </c>
      <c r="G20" s="33" t="s">
        <v>204</v>
      </c>
      <c r="H20" s="35">
        <v>20</v>
      </c>
      <c r="I20" s="7">
        <v>24000</v>
      </c>
      <c r="J20" s="14">
        <v>3500</v>
      </c>
      <c r="K20" s="15">
        <f>L20+2858+3260+3809+4479+5691+802+2489</f>
        <v>26888</v>
      </c>
      <c r="L20" s="15">
        <f>500+3000</f>
        <v>3500</v>
      </c>
      <c r="M20" s="15">
        <f t="shared" si="1"/>
        <v>3500</v>
      </c>
      <c r="N20" s="15">
        <v>0</v>
      </c>
      <c r="O20" s="58">
        <f t="shared" si="2"/>
        <v>0</v>
      </c>
      <c r="P20" s="39">
        <f t="shared" si="3"/>
        <v>17</v>
      </c>
      <c r="Q20" s="40">
        <f t="shared" si="4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0.70833333333333337</v>
      </c>
      <c r="AD20" s="10">
        <f t="shared" ref="AD20" si="19">AC20*AB20*(1-O20)</f>
        <v>0.70833333333333337</v>
      </c>
      <c r="AE20" s="36">
        <f t="shared" si="18"/>
        <v>0.51666666666666661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149</v>
      </c>
      <c r="F21" s="12" t="s">
        <v>116</v>
      </c>
      <c r="G21" s="12">
        <v>4</v>
      </c>
      <c r="H21" s="35">
        <v>20</v>
      </c>
      <c r="I21" s="7">
        <v>200000</v>
      </c>
      <c r="J21" s="14">
        <v>31888</v>
      </c>
      <c r="K21" s="15">
        <f>L21+30112</f>
        <v>62000</v>
      </c>
      <c r="L21" s="15">
        <f>7972*4</f>
        <v>31888</v>
      </c>
      <c r="M21" s="15">
        <f t="shared" si="1"/>
        <v>31888</v>
      </c>
      <c r="N21" s="15">
        <v>0</v>
      </c>
      <c r="O21" s="58">
        <f t="shared" si="2"/>
        <v>0</v>
      </c>
      <c r="P21" s="39">
        <f t="shared" si="3"/>
        <v>12</v>
      </c>
      <c r="Q21" s="40">
        <f t="shared" si="4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</v>
      </c>
      <c r="AD21" s="10">
        <f t="shared" si="7"/>
        <v>0.5</v>
      </c>
      <c r="AE21" s="36">
        <f t="shared" si="18"/>
        <v>0.51666666666666661</v>
      </c>
      <c r="AF21" s="87">
        <f t="shared" si="9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 t="shared" ref="I22:N22" si="20">SUM(I6:I21)</f>
        <v>541100</v>
      </c>
      <c r="J22" s="19">
        <f t="shared" si="20"/>
        <v>77490</v>
      </c>
      <c r="K22" s="20">
        <f t="shared" si="20"/>
        <v>328183</v>
      </c>
      <c r="L22" s="21">
        <f t="shared" si="20"/>
        <v>73641</v>
      </c>
      <c r="M22" s="20">
        <f t="shared" si="20"/>
        <v>73641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186</v>
      </c>
      <c r="Q22" s="43">
        <f t="shared" si="21"/>
        <v>198</v>
      </c>
      <c r="R22" s="23">
        <f t="shared" si="21"/>
        <v>24</v>
      </c>
      <c r="S22" s="24">
        <f t="shared" si="21"/>
        <v>53</v>
      </c>
      <c r="T22" s="24">
        <f t="shared" si="21"/>
        <v>0</v>
      </c>
      <c r="U22" s="24">
        <f t="shared" si="21"/>
        <v>0</v>
      </c>
      <c r="V22" s="25">
        <f t="shared" si="21"/>
        <v>12</v>
      </c>
      <c r="W22" s="26">
        <f t="shared" si="21"/>
        <v>109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0.8</v>
      </c>
      <c r="AC22" s="4">
        <f>SUM(AC6:AC21)/15</f>
        <v>0.51666666666666661</v>
      </c>
      <c r="AD22" s="4">
        <f>SUM(AD6:AD21)/15</f>
        <v>0.51666666666666661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495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502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317" t="s">
        <v>46</v>
      </c>
      <c r="D51" s="317" t="s">
        <v>47</v>
      </c>
      <c r="E51" s="317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317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128</v>
      </c>
      <c r="B52" s="383"/>
      <c r="C52" s="319" t="s">
        <v>129</v>
      </c>
      <c r="D52" s="319" t="s">
        <v>190</v>
      </c>
      <c r="E52" s="319" t="s">
        <v>459</v>
      </c>
      <c r="F52" s="384" t="s">
        <v>174</v>
      </c>
      <c r="G52" s="385"/>
      <c r="H52" s="385"/>
      <c r="I52" s="385"/>
      <c r="J52" s="385"/>
      <c r="K52" s="385"/>
      <c r="L52" s="385"/>
      <c r="M52" s="386"/>
      <c r="N52" s="318" t="s">
        <v>128</v>
      </c>
      <c r="O52" s="324" t="s">
        <v>158</v>
      </c>
      <c r="P52" s="389" t="s">
        <v>327</v>
      </c>
      <c r="Q52" s="390"/>
      <c r="R52" s="383" t="s">
        <v>359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114</v>
      </c>
      <c r="B53" s="383"/>
      <c r="C53" s="319" t="s">
        <v>129</v>
      </c>
      <c r="D53" s="319" t="s">
        <v>327</v>
      </c>
      <c r="E53" s="319" t="s">
        <v>493</v>
      </c>
      <c r="F53" s="384" t="s">
        <v>123</v>
      </c>
      <c r="G53" s="385"/>
      <c r="H53" s="385"/>
      <c r="I53" s="385"/>
      <c r="J53" s="385"/>
      <c r="K53" s="385"/>
      <c r="L53" s="385"/>
      <c r="M53" s="386"/>
      <c r="N53" s="318" t="s">
        <v>310</v>
      </c>
      <c r="O53" s="324" t="s">
        <v>227</v>
      </c>
      <c r="P53" s="389" t="s">
        <v>500</v>
      </c>
      <c r="Q53" s="390"/>
      <c r="R53" s="383" t="s">
        <v>332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310</v>
      </c>
      <c r="B54" s="383"/>
      <c r="C54" s="319" t="s">
        <v>176</v>
      </c>
      <c r="D54" s="319" t="s">
        <v>488</v>
      </c>
      <c r="E54" s="319" t="s">
        <v>357</v>
      </c>
      <c r="F54" s="384" t="s">
        <v>496</v>
      </c>
      <c r="G54" s="385"/>
      <c r="H54" s="385"/>
      <c r="I54" s="385"/>
      <c r="J54" s="385"/>
      <c r="K54" s="385"/>
      <c r="L54" s="385"/>
      <c r="M54" s="386"/>
      <c r="N54" s="318" t="s">
        <v>128</v>
      </c>
      <c r="O54" s="324" t="s">
        <v>161</v>
      </c>
      <c r="P54" s="389" t="s">
        <v>117</v>
      </c>
      <c r="Q54" s="390"/>
      <c r="R54" s="383" t="s">
        <v>137</v>
      </c>
      <c r="S54" s="383"/>
      <c r="T54" s="383"/>
      <c r="U54" s="383"/>
      <c r="V54" s="387" t="s">
        <v>174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233</v>
      </c>
      <c r="B55" s="383"/>
      <c r="C55" s="319" t="s">
        <v>237</v>
      </c>
      <c r="D55" s="319"/>
      <c r="E55" s="319" t="s">
        <v>382</v>
      </c>
      <c r="F55" s="384" t="s">
        <v>497</v>
      </c>
      <c r="G55" s="385"/>
      <c r="H55" s="385"/>
      <c r="I55" s="385"/>
      <c r="J55" s="385"/>
      <c r="K55" s="385"/>
      <c r="L55" s="385"/>
      <c r="M55" s="386"/>
      <c r="N55" s="318" t="s">
        <v>114</v>
      </c>
      <c r="O55" s="324" t="s">
        <v>171</v>
      </c>
      <c r="P55" s="389" t="s">
        <v>117</v>
      </c>
      <c r="Q55" s="390"/>
      <c r="R55" s="383" t="s">
        <v>228</v>
      </c>
      <c r="S55" s="383"/>
      <c r="T55" s="383"/>
      <c r="U55" s="383"/>
      <c r="V55" s="387" t="s">
        <v>243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233</v>
      </c>
      <c r="B56" s="383"/>
      <c r="C56" s="319" t="s">
        <v>237</v>
      </c>
      <c r="D56" s="319"/>
      <c r="E56" s="319" t="s">
        <v>498</v>
      </c>
      <c r="F56" s="384" t="s">
        <v>499</v>
      </c>
      <c r="G56" s="385"/>
      <c r="H56" s="385"/>
      <c r="I56" s="385"/>
      <c r="J56" s="385"/>
      <c r="K56" s="385"/>
      <c r="L56" s="385"/>
      <c r="M56" s="386"/>
      <c r="N56" s="318"/>
      <c r="O56" s="324"/>
      <c r="P56" s="389"/>
      <c r="Q56" s="390"/>
      <c r="R56" s="383"/>
      <c r="S56" s="383"/>
      <c r="T56" s="383"/>
      <c r="U56" s="383"/>
      <c r="V56" s="387"/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310</v>
      </c>
      <c r="B57" s="383"/>
      <c r="C57" s="319" t="s">
        <v>227</v>
      </c>
      <c r="D57" s="319" t="s">
        <v>500</v>
      </c>
      <c r="E57" s="319" t="s">
        <v>332</v>
      </c>
      <c r="F57" s="384" t="s">
        <v>501</v>
      </c>
      <c r="G57" s="385"/>
      <c r="H57" s="385"/>
      <c r="I57" s="385"/>
      <c r="J57" s="385"/>
      <c r="K57" s="385"/>
      <c r="L57" s="385"/>
      <c r="M57" s="386"/>
      <c r="N57" s="318"/>
      <c r="O57" s="324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310</v>
      </c>
      <c r="B58" s="383"/>
      <c r="C58" s="319" t="s">
        <v>168</v>
      </c>
      <c r="D58" s="319" t="s">
        <v>127</v>
      </c>
      <c r="E58" s="319" t="s">
        <v>416</v>
      </c>
      <c r="F58" s="384" t="s">
        <v>329</v>
      </c>
      <c r="G58" s="385"/>
      <c r="H58" s="385"/>
      <c r="I58" s="385"/>
      <c r="J58" s="385"/>
      <c r="K58" s="385"/>
      <c r="L58" s="385"/>
      <c r="M58" s="386"/>
      <c r="N58" s="318"/>
      <c r="O58" s="324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 t="s">
        <v>114</v>
      </c>
      <c r="B59" s="383"/>
      <c r="C59" s="319" t="s">
        <v>354</v>
      </c>
      <c r="D59" s="319" t="s">
        <v>117</v>
      </c>
      <c r="E59" s="319" t="s">
        <v>466</v>
      </c>
      <c r="F59" s="384" t="s">
        <v>174</v>
      </c>
      <c r="G59" s="385"/>
      <c r="H59" s="385"/>
      <c r="I59" s="385"/>
      <c r="J59" s="385"/>
      <c r="K59" s="385"/>
      <c r="L59" s="385"/>
      <c r="M59" s="386"/>
      <c r="N59" s="318"/>
      <c r="O59" s="324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 t="s">
        <v>128</v>
      </c>
      <c r="B60" s="383"/>
      <c r="C60" s="319" t="s">
        <v>139</v>
      </c>
      <c r="D60" s="319" t="s">
        <v>125</v>
      </c>
      <c r="E60" s="319" t="s">
        <v>130</v>
      </c>
      <c r="F60" s="384" t="s">
        <v>503</v>
      </c>
      <c r="G60" s="385"/>
      <c r="H60" s="385"/>
      <c r="I60" s="385"/>
      <c r="J60" s="385"/>
      <c r="K60" s="385"/>
      <c r="L60" s="385"/>
      <c r="M60" s="386"/>
      <c r="N60" s="318"/>
      <c r="O60" s="324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/>
      <c r="B61" s="392"/>
      <c r="C61" s="321"/>
      <c r="D61" s="321"/>
      <c r="E61" s="321"/>
      <c r="F61" s="393"/>
      <c r="G61" s="393"/>
      <c r="H61" s="393"/>
      <c r="I61" s="393"/>
      <c r="J61" s="393"/>
      <c r="K61" s="393"/>
      <c r="L61" s="393"/>
      <c r="M61" s="394"/>
      <c r="N61" s="320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504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322" t="s">
        <v>2</v>
      </c>
      <c r="D63" s="322" t="s">
        <v>37</v>
      </c>
      <c r="E63" s="322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322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233</v>
      </c>
      <c r="D64" s="326"/>
      <c r="E64" s="323"/>
      <c r="F64" s="406" t="s">
        <v>382</v>
      </c>
      <c r="G64" s="407"/>
      <c r="H64" s="407"/>
      <c r="I64" s="407"/>
      <c r="J64" s="407"/>
      <c r="K64" s="407">
        <v>8301</v>
      </c>
      <c r="L64" s="407"/>
      <c r="M64" s="51" t="s">
        <v>323</v>
      </c>
      <c r="N64" s="408" t="s">
        <v>237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 t="s">
        <v>233</v>
      </c>
      <c r="D65" s="326"/>
      <c r="E65" s="323"/>
      <c r="F65" s="406" t="s">
        <v>498</v>
      </c>
      <c r="G65" s="407"/>
      <c r="H65" s="407"/>
      <c r="I65" s="407"/>
      <c r="J65" s="407"/>
      <c r="K65" s="407">
        <v>8301</v>
      </c>
      <c r="L65" s="407"/>
      <c r="M65" s="51" t="s">
        <v>323</v>
      </c>
      <c r="N65" s="408" t="s">
        <v>237</v>
      </c>
      <c r="O65" s="408"/>
      <c r="P65" s="409"/>
      <c r="Q65" s="409"/>
      <c r="R65" s="387" t="s">
        <v>505</v>
      </c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 t="s">
        <v>310</v>
      </c>
      <c r="D66" s="326"/>
      <c r="E66" s="323" t="s">
        <v>127</v>
      </c>
      <c r="F66" s="406" t="s">
        <v>416</v>
      </c>
      <c r="G66" s="407"/>
      <c r="H66" s="407"/>
      <c r="I66" s="407"/>
      <c r="J66" s="407"/>
      <c r="K66" s="407" t="s">
        <v>417</v>
      </c>
      <c r="L66" s="407"/>
      <c r="M66" s="51" t="s">
        <v>323</v>
      </c>
      <c r="N66" s="408" t="s">
        <v>168</v>
      </c>
      <c r="O66" s="408"/>
      <c r="P66" s="409">
        <v>50</v>
      </c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326"/>
      <c r="E67" s="323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326"/>
      <c r="E68" s="323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326"/>
      <c r="E69" s="323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326"/>
      <c r="E70" s="323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326"/>
      <c r="E71" s="323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506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325" t="s">
        <v>2</v>
      </c>
      <c r="D73" s="325" t="s">
        <v>37</v>
      </c>
      <c r="E73" s="325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327" t="s">
        <v>114</v>
      </c>
      <c r="D74" s="327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326"/>
      <c r="D75" s="326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22">A75+1</f>
        <v>3</v>
      </c>
      <c r="B76" s="419"/>
      <c r="C76" s="326"/>
      <c r="D76" s="326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22"/>
        <v>4</v>
      </c>
      <c r="B77" s="419"/>
      <c r="C77" s="326"/>
      <c r="D77" s="326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22"/>
        <v>5</v>
      </c>
      <c r="B78" s="419"/>
      <c r="C78" s="326"/>
      <c r="D78" s="326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22"/>
        <v>6</v>
      </c>
      <c r="B79" s="419"/>
      <c r="C79" s="326"/>
      <c r="D79" s="326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22"/>
        <v>7</v>
      </c>
      <c r="B80" s="419"/>
      <c r="C80" s="326"/>
      <c r="D80" s="326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22"/>
        <v>8</v>
      </c>
      <c r="B81" s="419"/>
      <c r="C81" s="326"/>
      <c r="D81" s="326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22"/>
        <v>9</v>
      </c>
      <c r="B82" s="419"/>
      <c r="C82" s="326"/>
      <c r="D82" s="326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507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CA57-C18A-483F-80D2-AACB29D70818}">
  <sheetPr>
    <pageSetUpPr fitToPage="1"/>
  </sheetPr>
  <dimension ref="A1:AF87"/>
  <sheetViews>
    <sheetView tabSelected="1" zoomScale="72" zoomScaleNormal="72" zoomScaleSheetLayoutView="70" workbookViewId="0">
      <selection activeCell="F78" sqref="F78:J78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341" t="s">
        <v>508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41"/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42"/>
      <c r="B3" s="342"/>
      <c r="C3" s="342"/>
      <c r="D3" s="342"/>
      <c r="E3" s="342"/>
      <c r="F3" s="342"/>
      <c r="G3" s="34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43" t="s">
        <v>0</v>
      </c>
      <c r="B4" s="345" t="s">
        <v>1</v>
      </c>
      <c r="C4" s="345" t="s">
        <v>2</v>
      </c>
      <c r="D4" s="348" t="s">
        <v>3</v>
      </c>
      <c r="E4" s="350" t="s">
        <v>4</v>
      </c>
      <c r="F4" s="348" t="s">
        <v>5</v>
      </c>
      <c r="G4" s="345" t="s">
        <v>6</v>
      </c>
      <c r="H4" s="351" t="s">
        <v>7</v>
      </c>
      <c r="I4" s="372" t="s">
        <v>8</v>
      </c>
      <c r="J4" s="373"/>
      <c r="K4" s="373"/>
      <c r="L4" s="373"/>
      <c r="M4" s="373"/>
      <c r="N4" s="373"/>
      <c r="O4" s="374"/>
      <c r="P4" s="375" t="s">
        <v>9</v>
      </c>
      <c r="Q4" s="376"/>
      <c r="R4" s="377" t="s">
        <v>10</v>
      </c>
      <c r="S4" s="377"/>
      <c r="T4" s="377"/>
      <c r="U4" s="377"/>
      <c r="V4" s="377"/>
      <c r="W4" s="378" t="s">
        <v>11</v>
      </c>
      <c r="X4" s="377"/>
      <c r="Y4" s="377"/>
      <c r="Z4" s="377"/>
      <c r="AA4" s="379"/>
      <c r="AB4" s="380" t="s">
        <v>12</v>
      </c>
      <c r="AC4" s="353" t="s">
        <v>13</v>
      </c>
      <c r="AD4" s="353" t="s">
        <v>14</v>
      </c>
      <c r="AE4" s="54"/>
    </row>
    <row r="5" spans="1:32" ht="51" customHeight="1" thickBot="1">
      <c r="A5" s="344"/>
      <c r="B5" s="346"/>
      <c r="C5" s="347"/>
      <c r="D5" s="349"/>
      <c r="E5" s="349"/>
      <c r="F5" s="349"/>
      <c r="G5" s="346"/>
      <c r="H5" s="352"/>
      <c r="I5" s="55" t="s">
        <v>15</v>
      </c>
      <c r="J5" s="56" t="s">
        <v>16</v>
      </c>
      <c r="K5" s="339" t="s">
        <v>17</v>
      </c>
      <c r="L5" s="339" t="s">
        <v>18</v>
      </c>
      <c r="M5" s="339" t="s">
        <v>19</v>
      </c>
      <c r="N5" s="33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381"/>
      <c r="AC5" s="354"/>
      <c r="AD5" s="354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>$AD$22</f>
        <v>0.5083333333333333</v>
      </c>
      <c r="AF6" s="87">
        <f t="shared" ref="AF6:AF21" si="8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>$AD$22</f>
        <v>0.5083333333333333</v>
      </c>
      <c r="AF7" s="87">
        <f t="shared" si="8"/>
        <v>2</v>
      </c>
    </row>
    <row r="8" spans="1:32" ht="27" customHeight="1">
      <c r="A8" s="102">
        <v>3</v>
      </c>
      <c r="B8" s="11" t="s">
        <v>57</v>
      </c>
      <c r="C8" s="34" t="s">
        <v>128</v>
      </c>
      <c r="D8" s="52" t="s">
        <v>125</v>
      </c>
      <c r="E8" s="53" t="s">
        <v>130</v>
      </c>
      <c r="F8" s="30" t="s">
        <v>126</v>
      </c>
      <c r="G8" s="33">
        <v>1</v>
      </c>
      <c r="H8" s="35">
        <v>24</v>
      </c>
      <c r="I8" s="7">
        <v>22000</v>
      </c>
      <c r="J8" s="5">
        <v>3847</v>
      </c>
      <c r="K8" s="15">
        <f>L8+3695+4307+3354+2397+5399</f>
        <v>22999</v>
      </c>
      <c r="L8" s="15">
        <f>2851+996</f>
        <v>3847</v>
      </c>
      <c r="M8" s="15">
        <f t="shared" si="1"/>
        <v>3847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>$AD$22</f>
        <v>0.5083333333333333</v>
      </c>
      <c r="AF8" s="87">
        <f t="shared" si="8"/>
        <v>3</v>
      </c>
    </row>
    <row r="9" spans="1:32" ht="27" customHeight="1">
      <c r="A9" s="103">
        <v>4</v>
      </c>
      <c r="B9" s="11" t="s">
        <v>57</v>
      </c>
      <c r="C9" s="11" t="s">
        <v>128</v>
      </c>
      <c r="D9" s="52" t="s">
        <v>327</v>
      </c>
      <c r="E9" s="53" t="s">
        <v>359</v>
      </c>
      <c r="F9" s="30" t="s">
        <v>365</v>
      </c>
      <c r="G9" s="33">
        <v>1</v>
      </c>
      <c r="H9" s="35">
        <v>24</v>
      </c>
      <c r="I9" s="7">
        <v>60000</v>
      </c>
      <c r="J9" s="14">
        <v>5387</v>
      </c>
      <c r="K9" s="15">
        <f>L9+2483+2720+3334+3355+5508+204+4399+3307</f>
        <v>30697</v>
      </c>
      <c r="L9" s="15">
        <f>3691+1696</f>
        <v>5387</v>
      </c>
      <c r="M9" s="15">
        <f t="shared" si="1"/>
        <v>5387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>$AD$22</f>
        <v>0.5083333333333333</v>
      </c>
      <c r="AF9" s="87">
        <f t="shared" si="8"/>
        <v>4</v>
      </c>
    </row>
    <row r="10" spans="1:32" ht="27" customHeight="1">
      <c r="A10" s="103">
        <v>5</v>
      </c>
      <c r="B10" s="11" t="s">
        <v>57</v>
      </c>
      <c r="C10" s="34" t="s">
        <v>310</v>
      </c>
      <c r="D10" s="52" t="s">
        <v>331</v>
      </c>
      <c r="E10" s="53" t="s">
        <v>332</v>
      </c>
      <c r="F10" s="30" t="s">
        <v>124</v>
      </c>
      <c r="G10" s="33">
        <v>1</v>
      </c>
      <c r="H10" s="35">
        <v>24</v>
      </c>
      <c r="I10" s="7">
        <v>75000</v>
      </c>
      <c r="J10" s="5">
        <v>4645</v>
      </c>
      <c r="K10" s="15">
        <f>L10+4000+2801+4378+6093+3959+7386+10861</f>
        <v>44123</v>
      </c>
      <c r="L10" s="15">
        <f>2427+1109*2</f>
        <v>4645</v>
      </c>
      <c r="M10" s="15">
        <f t="shared" si="1"/>
        <v>4645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>$AD$22</f>
        <v>0.5083333333333333</v>
      </c>
      <c r="AF10" s="87">
        <f t="shared" si="8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133</v>
      </c>
      <c r="E11" s="53" t="s">
        <v>141</v>
      </c>
      <c r="F11" s="12" t="s">
        <v>142</v>
      </c>
      <c r="G11" s="12">
        <v>1</v>
      </c>
      <c r="H11" s="13">
        <v>24</v>
      </c>
      <c r="I11" s="7">
        <v>4000</v>
      </c>
      <c r="J11" s="14">
        <v>542</v>
      </c>
      <c r="K11" s="15">
        <f>L11+4550+5818+542</f>
        <v>10910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>$AD$22</f>
        <v>0.5083333333333333</v>
      </c>
      <c r="AF11" s="87">
        <f t="shared" si="8"/>
        <v>6</v>
      </c>
    </row>
    <row r="12" spans="1:32" ht="27" customHeight="1">
      <c r="A12" s="103">
        <v>7</v>
      </c>
      <c r="B12" s="11" t="s">
        <v>57</v>
      </c>
      <c r="C12" s="11" t="s">
        <v>128</v>
      </c>
      <c r="D12" s="52" t="s">
        <v>117</v>
      </c>
      <c r="E12" s="53" t="s">
        <v>137</v>
      </c>
      <c r="F12" s="30" t="s">
        <v>124</v>
      </c>
      <c r="G12" s="33">
        <v>1</v>
      </c>
      <c r="H12" s="35">
        <v>20</v>
      </c>
      <c r="I12" s="7">
        <v>10000</v>
      </c>
      <c r="J12" s="14">
        <v>2164</v>
      </c>
      <c r="K12" s="15">
        <f>L12</f>
        <v>2164</v>
      </c>
      <c r="L12" s="15">
        <f>653+1511</f>
        <v>2164</v>
      </c>
      <c r="M12" s="15">
        <f t="shared" si="1"/>
        <v>2164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 t="shared" si="7"/>
        <v>0.58333333333333337</v>
      </c>
      <c r="AE12" s="36">
        <f>$AD$22</f>
        <v>0.5083333333333333</v>
      </c>
      <c r="AF12" s="87">
        <f t="shared" si="8"/>
        <v>7</v>
      </c>
    </row>
    <row r="13" spans="1:32" ht="27" customHeight="1">
      <c r="A13" s="103">
        <v>8</v>
      </c>
      <c r="B13" s="11" t="s">
        <v>57</v>
      </c>
      <c r="C13" s="11" t="s">
        <v>310</v>
      </c>
      <c r="D13" s="52" t="s">
        <v>117</v>
      </c>
      <c r="E13" s="53" t="s">
        <v>509</v>
      </c>
      <c r="F13" s="30" t="s">
        <v>305</v>
      </c>
      <c r="G13" s="33">
        <v>1</v>
      </c>
      <c r="H13" s="35">
        <v>24</v>
      </c>
      <c r="I13" s="7">
        <v>2100</v>
      </c>
      <c r="J13" s="14">
        <v>2542</v>
      </c>
      <c r="K13" s="15">
        <f>L13</f>
        <v>2542</v>
      </c>
      <c r="L13" s="15">
        <f>2542</f>
        <v>2542</v>
      </c>
      <c r="M13" s="15">
        <f t="shared" si="1"/>
        <v>2542</v>
      </c>
      <c r="N13" s="15">
        <v>0</v>
      </c>
      <c r="O13" s="58">
        <f t="shared" si="2"/>
        <v>0</v>
      </c>
      <c r="P13" s="39">
        <f t="shared" si="3"/>
        <v>16</v>
      </c>
      <c r="Q13" s="40">
        <f t="shared" si="4"/>
        <v>8</v>
      </c>
      <c r="R13" s="7"/>
      <c r="S13" s="6"/>
      <c r="T13" s="16">
        <v>8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0.66666666666666663</v>
      </c>
      <c r="AD13" s="10">
        <f t="shared" si="7"/>
        <v>0.66666666666666663</v>
      </c>
      <c r="AE13" s="36">
        <f>$AD$22</f>
        <v>0.5083333333333333</v>
      </c>
      <c r="AF13" s="87">
        <f t="shared" si="8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466</v>
      </c>
      <c r="F14" s="30" t="s">
        <v>131</v>
      </c>
      <c r="G14" s="33">
        <v>1</v>
      </c>
      <c r="H14" s="35">
        <v>40</v>
      </c>
      <c r="I14" s="7">
        <v>100</v>
      </c>
      <c r="J14" s="5">
        <v>110</v>
      </c>
      <c r="K14" s="15">
        <f>L14+110</f>
        <v>110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>$AD$22</f>
        <v>0.5083333333333333</v>
      </c>
      <c r="AF14" s="87">
        <f t="shared" si="8"/>
        <v>9</v>
      </c>
    </row>
    <row r="15" spans="1:32" ht="27" customHeight="1">
      <c r="A15" s="102">
        <v>10</v>
      </c>
      <c r="B15" s="11" t="s">
        <v>57</v>
      </c>
      <c r="C15" s="34" t="s">
        <v>233</v>
      </c>
      <c r="D15" s="52"/>
      <c r="E15" s="53" t="s">
        <v>382</v>
      </c>
      <c r="F15" s="12">
        <v>8301</v>
      </c>
      <c r="G15" s="12" t="s">
        <v>204</v>
      </c>
      <c r="H15" s="13">
        <v>24</v>
      </c>
      <c r="I15" s="31">
        <v>2000</v>
      </c>
      <c r="J15" s="14">
        <v>2350</v>
      </c>
      <c r="K15" s="15">
        <f>L15</f>
        <v>2350</v>
      </c>
      <c r="L15" s="15">
        <f>1200+1150</f>
        <v>2350</v>
      </c>
      <c r="M15" s="15">
        <f t="shared" si="1"/>
        <v>2350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>$AD$22</f>
        <v>0.5083333333333333</v>
      </c>
      <c r="AF15" s="87">
        <f t="shared" si="8"/>
        <v>10</v>
      </c>
    </row>
    <row r="16" spans="1:32" ht="27" customHeight="1">
      <c r="A16" s="102">
        <v>10</v>
      </c>
      <c r="B16" s="11" t="s">
        <v>57</v>
      </c>
      <c r="C16" s="34" t="s">
        <v>233</v>
      </c>
      <c r="D16" s="52"/>
      <c r="E16" s="53" t="s">
        <v>498</v>
      </c>
      <c r="F16" s="12">
        <v>8301</v>
      </c>
      <c r="G16" s="12">
        <v>1</v>
      </c>
      <c r="H16" s="13">
        <v>24</v>
      </c>
      <c r="I16" s="31">
        <v>2000</v>
      </c>
      <c r="J16" s="14">
        <v>1150</v>
      </c>
      <c r="K16" s="15">
        <f>L16</f>
        <v>1150</v>
      </c>
      <c r="L16" s="15">
        <v>1150</v>
      </c>
      <c r="M16" s="15">
        <f t="shared" ref="M16" si="9">L16-N16</f>
        <v>1150</v>
      </c>
      <c r="N16" s="15">
        <v>0</v>
      </c>
      <c r="O16" s="58">
        <f t="shared" ref="O16" si="10">IF(L16=0,"0",N16/L16)</f>
        <v>0</v>
      </c>
      <c r="P16" s="39">
        <f t="shared" ref="P16" si="11">IF(L16=0,"0",(24-Q16))</f>
        <v>8</v>
      </c>
      <c r="Q16" s="40">
        <f t="shared" ref="Q16" si="12">SUM(R16:AA16)</f>
        <v>16</v>
      </c>
      <c r="R16" s="7"/>
      <c r="S16" s="6"/>
      <c r="T16" s="16">
        <v>16</v>
      </c>
      <c r="U16" s="16"/>
      <c r="V16" s="17"/>
      <c r="W16" s="5"/>
      <c r="X16" s="16"/>
      <c r="Y16" s="16"/>
      <c r="Z16" s="16"/>
      <c r="AA16" s="18"/>
      <c r="AB16" s="8">
        <f t="shared" ref="AB16" si="13">IF(J16=0,"0",(L16/J16))</f>
        <v>1</v>
      </c>
      <c r="AC16" s="9">
        <f t="shared" ref="AC16" si="14">IF(P16=0,"0",(P16/24))</f>
        <v>0.33333333333333331</v>
      </c>
      <c r="AD16" s="10">
        <f t="shared" ref="AD16" si="15">AC16*AB16*(1-O16)</f>
        <v>0.33333333333333331</v>
      </c>
      <c r="AE16" s="36">
        <f>$AD$22</f>
        <v>0.5083333333333333</v>
      </c>
      <c r="AF16" s="87">
        <f t="shared" ref="AF16" si="16">A16</f>
        <v>10</v>
      </c>
    </row>
    <row r="17" spans="1:32" ht="30" customHeight="1">
      <c r="A17" s="102">
        <v>11</v>
      </c>
      <c r="B17" s="11" t="s">
        <v>57</v>
      </c>
      <c r="C17" s="11" t="s">
        <v>128</v>
      </c>
      <c r="D17" s="52" t="s">
        <v>190</v>
      </c>
      <c r="E17" s="53" t="s">
        <v>380</v>
      </c>
      <c r="F17" s="12" t="s">
        <v>200</v>
      </c>
      <c r="G17" s="12">
        <v>1</v>
      </c>
      <c r="H17" s="13">
        <v>24</v>
      </c>
      <c r="I17" s="7">
        <v>60000</v>
      </c>
      <c r="J17" s="14">
        <v>5509</v>
      </c>
      <c r="K17" s="15">
        <f>L17+2357+5213+5517+5420+5503+5457+5438+2407+5322</f>
        <v>48143</v>
      </c>
      <c r="L17" s="15">
        <f>2515+2994</f>
        <v>5509</v>
      </c>
      <c r="M17" s="15">
        <f t="shared" si="1"/>
        <v>5509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>$AD$22</f>
        <v>0.5083333333333333</v>
      </c>
      <c r="AF17" s="87">
        <f t="shared" si="8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127</v>
      </c>
      <c r="E18" s="53" t="s">
        <v>300</v>
      </c>
      <c r="F18" s="12" t="s">
        <v>313</v>
      </c>
      <c r="G18" s="12">
        <v>1</v>
      </c>
      <c r="H18" s="13">
        <v>24</v>
      </c>
      <c r="I18" s="31">
        <v>2000</v>
      </c>
      <c r="J18" s="14">
        <v>3034</v>
      </c>
      <c r="K18" s="15">
        <f>L18</f>
        <v>3034</v>
      </c>
      <c r="L18" s="15">
        <f>737+2297</f>
        <v>3034</v>
      </c>
      <c r="M18" s="15">
        <f t="shared" si="1"/>
        <v>3034</v>
      </c>
      <c r="N18" s="15">
        <v>0</v>
      </c>
      <c r="O18" s="58">
        <f t="shared" si="2"/>
        <v>0</v>
      </c>
      <c r="P18" s="39">
        <f t="shared" si="3"/>
        <v>19</v>
      </c>
      <c r="Q18" s="40">
        <f t="shared" si="4"/>
        <v>5</v>
      </c>
      <c r="R18" s="7"/>
      <c r="S18" s="6"/>
      <c r="T18" s="16"/>
      <c r="U18" s="16"/>
      <c r="V18" s="17"/>
      <c r="W18" s="5">
        <v>5</v>
      </c>
      <c r="X18" s="16"/>
      <c r="Y18" s="16"/>
      <c r="Z18" s="16"/>
      <c r="AA18" s="18"/>
      <c r="AB18" s="8">
        <f t="shared" si="5"/>
        <v>1</v>
      </c>
      <c r="AC18" s="9">
        <f t="shared" si="6"/>
        <v>0.79166666666666663</v>
      </c>
      <c r="AD18" s="10">
        <f t="shared" si="7"/>
        <v>0.79166666666666663</v>
      </c>
      <c r="AE18" s="36">
        <f>$AD$22</f>
        <v>0.5083333333333333</v>
      </c>
      <c r="AF18" s="87">
        <f t="shared" si="8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117</v>
      </c>
      <c r="E19" s="53" t="s">
        <v>228</v>
      </c>
      <c r="F19" s="30" t="s">
        <v>124</v>
      </c>
      <c r="G19" s="33">
        <v>1</v>
      </c>
      <c r="H19" s="35">
        <v>24</v>
      </c>
      <c r="I19" s="7">
        <f>48000+42000</f>
        <v>90000</v>
      </c>
      <c r="J19" s="5">
        <v>3935</v>
      </c>
      <c r="K19" s="15">
        <f>L19+4490+5516+5079+4632+5428+5727+5954+3807+5671+5681+3837+3725+5801+5150+5731+2573+5660</f>
        <v>88397</v>
      </c>
      <c r="L19" s="15">
        <f>703+3154+78</f>
        <v>3935</v>
      </c>
      <c r="M19" s="15">
        <f t="shared" si="1"/>
        <v>3935</v>
      </c>
      <c r="N19" s="15">
        <v>0</v>
      </c>
      <c r="O19" s="58">
        <f t="shared" si="2"/>
        <v>0</v>
      </c>
      <c r="P19" s="39">
        <f t="shared" si="3"/>
        <v>19</v>
      </c>
      <c r="Q19" s="40">
        <f t="shared" si="4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0.79166666666666663</v>
      </c>
      <c r="AD19" s="10">
        <f>AC19*AB19*(1-O19)</f>
        <v>0.79166666666666663</v>
      </c>
      <c r="AE19" s="36">
        <f>$AD$22</f>
        <v>0.5083333333333333</v>
      </c>
      <c r="AF19" s="87">
        <f t="shared" si="8"/>
        <v>13</v>
      </c>
    </row>
    <row r="20" spans="1:32" ht="27" customHeight="1">
      <c r="A20" s="103">
        <v>14</v>
      </c>
      <c r="B20" s="11" t="s">
        <v>57</v>
      </c>
      <c r="C20" s="11" t="s">
        <v>310</v>
      </c>
      <c r="D20" s="52" t="s">
        <v>366</v>
      </c>
      <c r="E20" s="53" t="s">
        <v>357</v>
      </c>
      <c r="F20" s="30" t="s">
        <v>124</v>
      </c>
      <c r="G20" s="33" t="s">
        <v>204</v>
      </c>
      <c r="H20" s="35">
        <v>20</v>
      </c>
      <c r="I20" s="7">
        <v>24000</v>
      </c>
      <c r="J20" s="14">
        <v>2676</v>
      </c>
      <c r="K20" s="15">
        <f>L20+2858+3260+3809+4479+5691+802+2489+3500</f>
        <v>29564</v>
      </c>
      <c r="L20" s="15">
        <f>2676</f>
        <v>2676</v>
      </c>
      <c r="M20" s="15">
        <f t="shared" si="1"/>
        <v>2676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ref="AD20" si="17">AC20*AB20*(1-O20)</f>
        <v>0.45833333333333331</v>
      </c>
      <c r="AE20" s="36">
        <f>$AD$22</f>
        <v>0.5083333333333333</v>
      </c>
      <c r="AF20" s="87">
        <f t="shared" si="8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149</v>
      </c>
      <c r="F21" s="12" t="s">
        <v>116</v>
      </c>
      <c r="G21" s="12">
        <v>4</v>
      </c>
      <c r="H21" s="35">
        <v>20</v>
      </c>
      <c r="I21" s="7">
        <v>200000</v>
      </c>
      <c r="J21" s="14">
        <v>35468</v>
      </c>
      <c r="K21" s="15">
        <f>L21+30112+31888</f>
        <v>97468</v>
      </c>
      <c r="L21" s="15">
        <f>8867*4</f>
        <v>35468</v>
      </c>
      <c r="M21" s="15">
        <f t="shared" si="1"/>
        <v>35468</v>
      </c>
      <c r="N21" s="15">
        <v>0</v>
      </c>
      <c r="O21" s="58">
        <f t="shared" si="2"/>
        <v>0</v>
      </c>
      <c r="P21" s="39">
        <f t="shared" si="3"/>
        <v>12</v>
      </c>
      <c r="Q21" s="40">
        <f t="shared" si="4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</v>
      </c>
      <c r="AD21" s="10">
        <f t="shared" si="7"/>
        <v>0.5</v>
      </c>
      <c r="AE21" s="36">
        <f>$AD$22</f>
        <v>0.5083333333333333</v>
      </c>
      <c r="AF21" s="87">
        <f t="shared" si="8"/>
        <v>15</v>
      </c>
    </row>
    <row r="22" spans="1:32" ht="31.5" customHeight="1" thickBot="1">
      <c r="A22" s="355" t="s">
        <v>34</v>
      </c>
      <c r="B22" s="356"/>
      <c r="C22" s="356"/>
      <c r="D22" s="356"/>
      <c r="E22" s="356"/>
      <c r="F22" s="356"/>
      <c r="G22" s="356"/>
      <c r="H22" s="357"/>
      <c r="I22" s="22">
        <f>SUM(I6:I21)</f>
        <v>553200</v>
      </c>
      <c r="J22" s="19">
        <f>SUM(J6:J21)</f>
        <v>73359</v>
      </c>
      <c r="K22" s="20">
        <f>SUM(K6:K21)</f>
        <v>383651</v>
      </c>
      <c r="L22" s="21">
        <f>SUM(L6:L21)</f>
        <v>72707</v>
      </c>
      <c r="M22" s="20">
        <f>SUM(M6:M21)</f>
        <v>72707</v>
      </c>
      <c r="N22" s="21">
        <f>SUM(N6:N21)</f>
        <v>0</v>
      </c>
      <c r="O22" s="41">
        <f t="shared" si="2"/>
        <v>0</v>
      </c>
      <c r="P22" s="42">
        <f>SUM(P6:P21)</f>
        <v>183</v>
      </c>
      <c r="Q22" s="43">
        <f>SUM(Q6:Q21)</f>
        <v>201</v>
      </c>
      <c r="R22" s="23">
        <f>SUM(R6:R21)</f>
        <v>24</v>
      </c>
      <c r="S22" s="24">
        <f>SUM(S6:S21)</f>
        <v>50</v>
      </c>
      <c r="T22" s="24">
        <f>SUM(T6:T21)</f>
        <v>24</v>
      </c>
      <c r="U22" s="24">
        <f>SUM(U6:U21)</f>
        <v>0</v>
      </c>
      <c r="V22" s="25">
        <f>SUM(V6:V21)</f>
        <v>12</v>
      </c>
      <c r="W22" s="26">
        <f>SUM(W6:W21)</f>
        <v>91</v>
      </c>
      <c r="X22" s="27">
        <f>SUM(X6:X21)</f>
        <v>0</v>
      </c>
      <c r="Y22" s="27">
        <f>SUM(Y6:Y21)</f>
        <v>0</v>
      </c>
      <c r="Z22" s="27">
        <f>SUM(Z6:Z21)</f>
        <v>0</v>
      </c>
      <c r="AA22" s="27">
        <f>SUM(AA6:AA21)</f>
        <v>0</v>
      </c>
      <c r="AB22" s="28">
        <f>SUM(AB6:AB21)/15</f>
        <v>0.8</v>
      </c>
      <c r="AC22" s="4">
        <f>SUM(AC6:AC21)/15</f>
        <v>0.5083333333333333</v>
      </c>
      <c r="AD22" s="4">
        <f>SUM(AD6:AD21)/15</f>
        <v>0.5083333333333333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58" t="s">
        <v>45</v>
      </c>
      <c r="B49" s="358"/>
      <c r="C49" s="358"/>
      <c r="D49" s="358"/>
      <c r="E49" s="3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59" t="s">
        <v>510</v>
      </c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1"/>
      <c r="N50" s="362" t="s">
        <v>514</v>
      </c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4"/>
    </row>
    <row r="51" spans="1:32" ht="27" customHeight="1">
      <c r="A51" s="365" t="s">
        <v>2</v>
      </c>
      <c r="B51" s="366"/>
      <c r="C51" s="338" t="s">
        <v>46</v>
      </c>
      <c r="D51" s="338" t="s">
        <v>47</v>
      </c>
      <c r="E51" s="338" t="s">
        <v>108</v>
      </c>
      <c r="F51" s="366" t="s">
        <v>107</v>
      </c>
      <c r="G51" s="366"/>
      <c r="H51" s="366"/>
      <c r="I51" s="366"/>
      <c r="J51" s="366"/>
      <c r="K51" s="366"/>
      <c r="L51" s="366"/>
      <c r="M51" s="367"/>
      <c r="N51" s="67" t="s">
        <v>112</v>
      </c>
      <c r="O51" s="338" t="s">
        <v>46</v>
      </c>
      <c r="P51" s="368" t="s">
        <v>47</v>
      </c>
      <c r="Q51" s="369"/>
      <c r="R51" s="368" t="s">
        <v>38</v>
      </c>
      <c r="S51" s="370"/>
      <c r="T51" s="370"/>
      <c r="U51" s="369"/>
      <c r="V51" s="368" t="s">
        <v>48</v>
      </c>
      <c r="W51" s="370"/>
      <c r="X51" s="370"/>
      <c r="Y51" s="370"/>
      <c r="Z51" s="370"/>
      <c r="AA51" s="370"/>
      <c r="AB51" s="370"/>
      <c r="AC51" s="370"/>
      <c r="AD51" s="371"/>
    </row>
    <row r="52" spans="1:32" ht="27" customHeight="1">
      <c r="A52" s="382" t="s">
        <v>128</v>
      </c>
      <c r="B52" s="383"/>
      <c r="C52" s="335" t="s">
        <v>139</v>
      </c>
      <c r="D52" s="335" t="s">
        <v>125</v>
      </c>
      <c r="E52" s="335" t="s">
        <v>130</v>
      </c>
      <c r="F52" s="384" t="s">
        <v>174</v>
      </c>
      <c r="G52" s="385"/>
      <c r="H52" s="385"/>
      <c r="I52" s="385"/>
      <c r="J52" s="385"/>
      <c r="K52" s="385"/>
      <c r="L52" s="385"/>
      <c r="M52" s="386"/>
      <c r="N52" s="334" t="s">
        <v>128</v>
      </c>
      <c r="O52" s="332" t="s">
        <v>161</v>
      </c>
      <c r="P52" s="389" t="s">
        <v>117</v>
      </c>
      <c r="Q52" s="390"/>
      <c r="R52" s="383" t="s">
        <v>137</v>
      </c>
      <c r="S52" s="383"/>
      <c r="T52" s="383"/>
      <c r="U52" s="383"/>
      <c r="V52" s="387" t="s">
        <v>174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82" t="s">
        <v>128</v>
      </c>
      <c r="B53" s="383"/>
      <c r="C53" s="335" t="s">
        <v>158</v>
      </c>
      <c r="D53" s="335" t="s">
        <v>327</v>
      </c>
      <c r="E53" s="335" t="s">
        <v>359</v>
      </c>
      <c r="F53" s="384" t="s">
        <v>174</v>
      </c>
      <c r="G53" s="385"/>
      <c r="H53" s="385"/>
      <c r="I53" s="385"/>
      <c r="J53" s="385"/>
      <c r="K53" s="385"/>
      <c r="L53" s="385"/>
      <c r="M53" s="386"/>
      <c r="N53" s="334" t="s">
        <v>310</v>
      </c>
      <c r="O53" s="332" t="s">
        <v>227</v>
      </c>
      <c r="P53" s="389" t="s">
        <v>500</v>
      </c>
      <c r="Q53" s="390"/>
      <c r="R53" s="383" t="s">
        <v>332</v>
      </c>
      <c r="S53" s="383"/>
      <c r="T53" s="383"/>
      <c r="U53" s="383"/>
      <c r="V53" s="387" t="s">
        <v>174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82" t="s">
        <v>310</v>
      </c>
      <c r="B54" s="383"/>
      <c r="C54" s="335" t="s">
        <v>176</v>
      </c>
      <c r="D54" s="335" t="s">
        <v>488</v>
      </c>
      <c r="E54" s="335" t="s">
        <v>357</v>
      </c>
      <c r="F54" s="384" t="s">
        <v>376</v>
      </c>
      <c r="G54" s="385"/>
      <c r="H54" s="385"/>
      <c r="I54" s="385"/>
      <c r="J54" s="385"/>
      <c r="K54" s="385"/>
      <c r="L54" s="385"/>
      <c r="M54" s="386"/>
      <c r="N54" s="334" t="s">
        <v>310</v>
      </c>
      <c r="O54" s="332" t="s">
        <v>176</v>
      </c>
      <c r="P54" s="389" t="s">
        <v>488</v>
      </c>
      <c r="Q54" s="390"/>
      <c r="R54" s="383" t="s">
        <v>357</v>
      </c>
      <c r="S54" s="383"/>
      <c r="T54" s="383"/>
      <c r="U54" s="383"/>
      <c r="V54" s="387" t="s">
        <v>174</v>
      </c>
      <c r="W54" s="387"/>
      <c r="X54" s="387"/>
      <c r="Y54" s="387"/>
      <c r="Z54" s="387"/>
      <c r="AA54" s="387"/>
      <c r="AB54" s="387"/>
      <c r="AC54" s="387"/>
      <c r="AD54" s="388"/>
    </row>
    <row r="55" spans="1:32" ht="27" customHeight="1">
      <c r="A55" s="382" t="s">
        <v>233</v>
      </c>
      <c r="B55" s="383"/>
      <c r="C55" s="335" t="s">
        <v>237</v>
      </c>
      <c r="D55" s="335"/>
      <c r="E55" s="335" t="s">
        <v>382</v>
      </c>
      <c r="F55" s="384" t="s">
        <v>497</v>
      </c>
      <c r="G55" s="385"/>
      <c r="H55" s="385"/>
      <c r="I55" s="385"/>
      <c r="J55" s="385"/>
      <c r="K55" s="385"/>
      <c r="L55" s="385"/>
      <c r="M55" s="386"/>
      <c r="N55" s="334" t="s">
        <v>114</v>
      </c>
      <c r="O55" s="332" t="s">
        <v>171</v>
      </c>
      <c r="P55" s="389" t="s">
        <v>117</v>
      </c>
      <c r="Q55" s="390"/>
      <c r="R55" s="383" t="s">
        <v>228</v>
      </c>
      <c r="S55" s="383"/>
      <c r="T55" s="383"/>
      <c r="U55" s="383"/>
      <c r="V55" s="387" t="s">
        <v>174</v>
      </c>
      <c r="W55" s="387"/>
      <c r="X55" s="387"/>
      <c r="Y55" s="387"/>
      <c r="Z55" s="387"/>
      <c r="AA55" s="387"/>
      <c r="AB55" s="387"/>
      <c r="AC55" s="387"/>
      <c r="AD55" s="388"/>
    </row>
    <row r="56" spans="1:32" ht="27" customHeight="1">
      <c r="A56" s="382" t="s">
        <v>233</v>
      </c>
      <c r="B56" s="383"/>
      <c r="C56" s="335" t="s">
        <v>237</v>
      </c>
      <c r="D56" s="335"/>
      <c r="E56" s="335" t="s">
        <v>498</v>
      </c>
      <c r="F56" s="384" t="s">
        <v>497</v>
      </c>
      <c r="G56" s="385"/>
      <c r="H56" s="385"/>
      <c r="I56" s="385"/>
      <c r="J56" s="385"/>
      <c r="K56" s="385"/>
      <c r="L56" s="385"/>
      <c r="M56" s="386"/>
      <c r="N56" s="334" t="s">
        <v>310</v>
      </c>
      <c r="O56" s="332" t="s">
        <v>129</v>
      </c>
      <c r="P56" s="389" t="s">
        <v>327</v>
      </c>
      <c r="Q56" s="390"/>
      <c r="R56" s="383" t="s">
        <v>515</v>
      </c>
      <c r="S56" s="383"/>
      <c r="T56" s="383"/>
      <c r="U56" s="383"/>
      <c r="V56" s="387" t="s">
        <v>123</v>
      </c>
      <c r="W56" s="387"/>
      <c r="X56" s="387"/>
      <c r="Y56" s="387"/>
      <c r="Z56" s="387"/>
      <c r="AA56" s="387"/>
      <c r="AB56" s="387"/>
      <c r="AC56" s="387"/>
      <c r="AD56" s="388"/>
    </row>
    <row r="57" spans="1:32" ht="27" customHeight="1">
      <c r="A57" s="382" t="s">
        <v>310</v>
      </c>
      <c r="B57" s="383"/>
      <c r="C57" s="335" t="s">
        <v>227</v>
      </c>
      <c r="D57" s="335" t="s">
        <v>500</v>
      </c>
      <c r="E57" s="335" t="s">
        <v>332</v>
      </c>
      <c r="F57" s="384" t="s">
        <v>511</v>
      </c>
      <c r="G57" s="385"/>
      <c r="H57" s="385"/>
      <c r="I57" s="385"/>
      <c r="J57" s="385"/>
      <c r="K57" s="385"/>
      <c r="L57" s="385"/>
      <c r="M57" s="386"/>
      <c r="N57" s="334"/>
      <c r="O57" s="332"/>
      <c r="P57" s="389"/>
      <c r="Q57" s="390"/>
      <c r="R57" s="383"/>
      <c r="S57" s="383"/>
      <c r="T57" s="383"/>
      <c r="U57" s="383"/>
      <c r="V57" s="387"/>
      <c r="W57" s="387"/>
      <c r="X57" s="387"/>
      <c r="Y57" s="387"/>
      <c r="Z57" s="387"/>
      <c r="AA57" s="387"/>
      <c r="AB57" s="387"/>
      <c r="AC57" s="387"/>
      <c r="AD57" s="388"/>
    </row>
    <row r="58" spans="1:32" ht="27" customHeight="1">
      <c r="A58" s="382" t="s">
        <v>114</v>
      </c>
      <c r="B58" s="383"/>
      <c r="C58" s="335" t="s">
        <v>168</v>
      </c>
      <c r="D58" s="335" t="s">
        <v>127</v>
      </c>
      <c r="E58" s="335" t="s">
        <v>512</v>
      </c>
      <c r="F58" s="384" t="s">
        <v>123</v>
      </c>
      <c r="G58" s="385"/>
      <c r="H58" s="385"/>
      <c r="I58" s="385"/>
      <c r="J58" s="385"/>
      <c r="K58" s="385"/>
      <c r="L58" s="385"/>
      <c r="M58" s="386"/>
      <c r="N58" s="334"/>
      <c r="O58" s="332"/>
      <c r="P58" s="389"/>
      <c r="Q58" s="390"/>
      <c r="R58" s="383"/>
      <c r="S58" s="383"/>
      <c r="T58" s="383"/>
      <c r="U58" s="383"/>
      <c r="V58" s="387"/>
      <c r="W58" s="387"/>
      <c r="X58" s="387"/>
      <c r="Y58" s="387"/>
      <c r="Z58" s="387"/>
      <c r="AA58" s="387"/>
      <c r="AB58" s="387"/>
      <c r="AC58" s="387"/>
      <c r="AD58" s="388"/>
    </row>
    <row r="59" spans="1:32" ht="27" customHeight="1">
      <c r="A59" s="382" t="s">
        <v>114</v>
      </c>
      <c r="B59" s="383"/>
      <c r="C59" s="335" t="s">
        <v>171</v>
      </c>
      <c r="D59" s="335" t="s">
        <v>117</v>
      </c>
      <c r="E59" s="335" t="s">
        <v>228</v>
      </c>
      <c r="F59" s="384" t="s">
        <v>513</v>
      </c>
      <c r="G59" s="385"/>
      <c r="H59" s="385"/>
      <c r="I59" s="385"/>
      <c r="J59" s="385"/>
      <c r="K59" s="385"/>
      <c r="L59" s="385"/>
      <c r="M59" s="386"/>
      <c r="N59" s="334"/>
      <c r="O59" s="332"/>
      <c r="P59" s="389"/>
      <c r="Q59" s="390"/>
      <c r="R59" s="383"/>
      <c r="S59" s="383"/>
      <c r="T59" s="383"/>
      <c r="U59" s="383"/>
      <c r="V59" s="387"/>
      <c r="W59" s="387"/>
      <c r="X59" s="387"/>
      <c r="Y59" s="387"/>
      <c r="Z59" s="387"/>
      <c r="AA59" s="387"/>
      <c r="AB59" s="387"/>
      <c r="AC59" s="387"/>
      <c r="AD59" s="388"/>
    </row>
    <row r="60" spans="1:32" ht="27" customHeight="1">
      <c r="A60" s="382" t="s">
        <v>128</v>
      </c>
      <c r="B60" s="383"/>
      <c r="C60" s="335" t="s">
        <v>161</v>
      </c>
      <c r="D60" s="335" t="s">
        <v>117</v>
      </c>
      <c r="E60" s="335" t="s">
        <v>137</v>
      </c>
      <c r="F60" s="384" t="s">
        <v>391</v>
      </c>
      <c r="G60" s="385"/>
      <c r="H60" s="385"/>
      <c r="I60" s="385"/>
      <c r="J60" s="385"/>
      <c r="K60" s="385"/>
      <c r="L60" s="385"/>
      <c r="M60" s="386"/>
      <c r="N60" s="334"/>
      <c r="O60" s="332"/>
      <c r="P60" s="383"/>
      <c r="Q60" s="383"/>
      <c r="R60" s="383"/>
      <c r="S60" s="383"/>
      <c r="T60" s="383"/>
      <c r="U60" s="383"/>
      <c r="V60" s="387"/>
      <c r="W60" s="387"/>
      <c r="X60" s="387"/>
      <c r="Y60" s="387"/>
      <c r="Z60" s="387"/>
      <c r="AA60" s="387"/>
      <c r="AB60" s="387"/>
      <c r="AC60" s="387"/>
      <c r="AD60" s="388"/>
      <c r="AF60" s="87">
        <f>8*3000</f>
        <v>24000</v>
      </c>
    </row>
    <row r="61" spans="1:32" ht="27" customHeight="1" thickBot="1">
      <c r="A61" s="391" t="s">
        <v>310</v>
      </c>
      <c r="B61" s="392"/>
      <c r="C61" s="337" t="s">
        <v>129</v>
      </c>
      <c r="D61" s="337" t="s">
        <v>117</v>
      </c>
      <c r="E61" s="337" t="s">
        <v>509</v>
      </c>
      <c r="F61" s="393" t="s">
        <v>123</v>
      </c>
      <c r="G61" s="393"/>
      <c r="H61" s="393"/>
      <c r="I61" s="393"/>
      <c r="J61" s="393"/>
      <c r="K61" s="393"/>
      <c r="L61" s="393"/>
      <c r="M61" s="394"/>
      <c r="N61" s="336"/>
      <c r="O61" s="114"/>
      <c r="P61" s="392"/>
      <c r="Q61" s="392"/>
      <c r="R61" s="392"/>
      <c r="S61" s="392"/>
      <c r="T61" s="392"/>
      <c r="U61" s="392"/>
      <c r="V61" s="395"/>
      <c r="W61" s="395"/>
      <c r="X61" s="395"/>
      <c r="Y61" s="395"/>
      <c r="Z61" s="395"/>
      <c r="AA61" s="395"/>
      <c r="AB61" s="395"/>
      <c r="AC61" s="395"/>
      <c r="AD61" s="396"/>
      <c r="AF61" s="87">
        <f>16*3000</f>
        <v>48000</v>
      </c>
    </row>
    <row r="62" spans="1:32" ht="27.75" thickBot="1">
      <c r="A62" s="397" t="s">
        <v>516</v>
      </c>
      <c r="B62" s="397"/>
      <c r="C62" s="397"/>
      <c r="D62" s="397"/>
      <c r="E62" s="39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398" t="s">
        <v>113</v>
      </c>
      <c r="B63" s="399"/>
      <c r="C63" s="333" t="s">
        <v>2</v>
      </c>
      <c r="D63" s="333" t="s">
        <v>37</v>
      </c>
      <c r="E63" s="333" t="s">
        <v>3</v>
      </c>
      <c r="F63" s="399" t="s">
        <v>110</v>
      </c>
      <c r="G63" s="399"/>
      <c r="H63" s="399"/>
      <c r="I63" s="399"/>
      <c r="J63" s="399"/>
      <c r="K63" s="399" t="s">
        <v>39</v>
      </c>
      <c r="L63" s="399"/>
      <c r="M63" s="333" t="s">
        <v>40</v>
      </c>
      <c r="N63" s="399" t="s">
        <v>41</v>
      </c>
      <c r="O63" s="399"/>
      <c r="P63" s="400" t="s">
        <v>42</v>
      </c>
      <c r="Q63" s="401"/>
      <c r="R63" s="400" t="s">
        <v>43</v>
      </c>
      <c r="S63" s="402"/>
      <c r="T63" s="402"/>
      <c r="U63" s="402"/>
      <c r="V63" s="402"/>
      <c r="W63" s="402"/>
      <c r="X63" s="402"/>
      <c r="Y63" s="402"/>
      <c r="Z63" s="402"/>
      <c r="AA63" s="401"/>
      <c r="AB63" s="399" t="s">
        <v>44</v>
      </c>
      <c r="AC63" s="399"/>
      <c r="AD63" s="403"/>
      <c r="AF63" s="87">
        <f>SUM(AF60:AF62)</f>
        <v>96000</v>
      </c>
    </row>
    <row r="64" spans="1:32" ht="25.5" customHeight="1">
      <c r="A64" s="404">
        <v>1</v>
      </c>
      <c r="B64" s="405"/>
      <c r="C64" s="117" t="s">
        <v>233</v>
      </c>
      <c r="D64" s="328"/>
      <c r="E64" s="331"/>
      <c r="F64" s="406" t="s">
        <v>382</v>
      </c>
      <c r="G64" s="407"/>
      <c r="H64" s="407"/>
      <c r="I64" s="407"/>
      <c r="J64" s="407"/>
      <c r="K64" s="407">
        <v>8301</v>
      </c>
      <c r="L64" s="407"/>
      <c r="M64" s="51" t="s">
        <v>323</v>
      </c>
      <c r="N64" s="408" t="s">
        <v>237</v>
      </c>
      <c r="O64" s="408"/>
      <c r="P64" s="409">
        <v>50</v>
      </c>
      <c r="Q64" s="409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407"/>
      <c r="AC64" s="407"/>
      <c r="AD64" s="410"/>
      <c r="AF64" s="50"/>
    </row>
    <row r="65" spans="1:32" ht="25.5" customHeight="1">
      <c r="A65" s="404">
        <v>2</v>
      </c>
      <c r="B65" s="405"/>
      <c r="C65" s="117" t="s">
        <v>310</v>
      </c>
      <c r="D65" s="328"/>
      <c r="E65" s="331" t="s">
        <v>117</v>
      </c>
      <c r="F65" s="406" t="s">
        <v>403</v>
      </c>
      <c r="G65" s="407"/>
      <c r="H65" s="407"/>
      <c r="I65" s="407"/>
      <c r="J65" s="407"/>
      <c r="K65" s="407" t="s">
        <v>340</v>
      </c>
      <c r="L65" s="407"/>
      <c r="M65" s="51" t="s">
        <v>323</v>
      </c>
      <c r="N65" s="408" t="s">
        <v>129</v>
      </c>
      <c r="O65" s="408"/>
      <c r="P65" s="409">
        <v>50</v>
      </c>
      <c r="Q65" s="409"/>
      <c r="R65" s="387"/>
      <c r="S65" s="387"/>
      <c r="T65" s="387"/>
      <c r="U65" s="387"/>
      <c r="V65" s="387"/>
      <c r="W65" s="387"/>
      <c r="X65" s="387"/>
      <c r="Y65" s="387"/>
      <c r="Z65" s="387"/>
      <c r="AA65" s="387"/>
      <c r="AB65" s="407"/>
      <c r="AC65" s="407"/>
      <c r="AD65" s="410"/>
      <c r="AF65" s="50"/>
    </row>
    <row r="66" spans="1:32" ht="25.5" customHeight="1">
      <c r="A66" s="404">
        <v>3</v>
      </c>
      <c r="B66" s="405"/>
      <c r="C66" s="117"/>
      <c r="D66" s="328"/>
      <c r="E66" s="331"/>
      <c r="F66" s="406"/>
      <c r="G66" s="407"/>
      <c r="H66" s="407"/>
      <c r="I66" s="407"/>
      <c r="J66" s="407"/>
      <c r="K66" s="407"/>
      <c r="L66" s="407"/>
      <c r="M66" s="51"/>
      <c r="N66" s="408"/>
      <c r="O66" s="408"/>
      <c r="P66" s="409"/>
      <c r="Q66" s="409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407"/>
      <c r="AC66" s="407"/>
      <c r="AD66" s="410"/>
      <c r="AF66" s="50"/>
    </row>
    <row r="67" spans="1:32" ht="25.5" customHeight="1">
      <c r="A67" s="404">
        <v>4</v>
      </c>
      <c r="B67" s="405"/>
      <c r="C67" s="117"/>
      <c r="D67" s="328"/>
      <c r="E67" s="331"/>
      <c r="F67" s="406"/>
      <c r="G67" s="407"/>
      <c r="H67" s="407"/>
      <c r="I67" s="407"/>
      <c r="J67" s="407"/>
      <c r="K67" s="407"/>
      <c r="L67" s="407"/>
      <c r="M67" s="51"/>
      <c r="N67" s="407"/>
      <c r="O67" s="407"/>
      <c r="P67" s="409"/>
      <c r="Q67" s="409"/>
      <c r="R67" s="387"/>
      <c r="S67" s="387"/>
      <c r="T67" s="387"/>
      <c r="U67" s="387"/>
      <c r="V67" s="387"/>
      <c r="W67" s="387"/>
      <c r="X67" s="387"/>
      <c r="Y67" s="387"/>
      <c r="Z67" s="387"/>
      <c r="AA67" s="387"/>
      <c r="AB67" s="407"/>
      <c r="AC67" s="407"/>
      <c r="AD67" s="410"/>
      <c r="AF67" s="50"/>
    </row>
    <row r="68" spans="1:32" ht="25.5" customHeight="1">
      <c r="A68" s="404">
        <v>5</v>
      </c>
      <c r="B68" s="405"/>
      <c r="C68" s="117"/>
      <c r="D68" s="328"/>
      <c r="E68" s="331"/>
      <c r="F68" s="406"/>
      <c r="G68" s="407"/>
      <c r="H68" s="407"/>
      <c r="I68" s="407"/>
      <c r="J68" s="407"/>
      <c r="K68" s="407"/>
      <c r="L68" s="407"/>
      <c r="M68" s="51"/>
      <c r="N68" s="407"/>
      <c r="O68" s="407"/>
      <c r="P68" s="409"/>
      <c r="Q68" s="409"/>
      <c r="R68" s="387"/>
      <c r="S68" s="387"/>
      <c r="T68" s="387"/>
      <c r="U68" s="387"/>
      <c r="V68" s="387"/>
      <c r="W68" s="387"/>
      <c r="X68" s="387"/>
      <c r="Y68" s="387"/>
      <c r="Z68" s="387"/>
      <c r="AA68" s="387"/>
      <c r="AB68" s="407"/>
      <c r="AC68" s="407"/>
      <c r="AD68" s="410"/>
      <c r="AF68" s="50"/>
    </row>
    <row r="69" spans="1:32" ht="25.5" customHeight="1">
      <c r="A69" s="404">
        <v>6</v>
      </c>
      <c r="B69" s="405"/>
      <c r="C69" s="117"/>
      <c r="D69" s="328"/>
      <c r="E69" s="331"/>
      <c r="F69" s="406"/>
      <c r="G69" s="407"/>
      <c r="H69" s="407"/>
      <c r="I69" s="407"/>
      <c r="J69" s="407"/>
      <c r="K69" s="407"/>
      <c r="L69" s="407"/>
      <c r="M69" s="51"/>
      <c r="N69" s="407"/>
      <c r="O69" s="407"/>
      <c r="P69" s="409"/>
      <c r="Q69" s="409"/>
      <c r="R69" s="387"/>
      <c r="S69" s="387"/>
      <c r="T69" s="387"/>
      <c r="U69" s="387"/>
      <c r="V69" s="387"/>
      <c r="W69" s="387"/>
      <c r="X69" s="387"/>
      <c r="Y69" s="387"/>
      <c r="Z69" s="387"/>
      <c r="AA69" s="387"/>
      <c r="AB69" s="407"/>
      <c r="AC69" s="407"/>
      <c r="AD69" s="410"/>
      <c r="AF69" s="50"/>
    </row>
    <row r="70" spans="1:32" ht="25.5" customHeight="1">
      <c r="A70" s="404">
        <v>7</v>
      </c>
      <c r="B70" s="405"/>
      <c r="C70" s="117"/>
      <c r="D70" s="328"/>
      <c r="E70" s="331"/>
      <c r="F70" s="406"/>
      <c r="G70" s="407"/>
      <c r="H70" s="407"/>
      <c r="I70" s="407"/>
      <c r="J70" s="407"/>
      <c r="K70" s="407"/>
      <c r="L70" s="407"/>
      <c r="M70" s="51"/>
      <c r="N70" s="407"/>
      <c r="O70" s="407"/>
      <c r="P70" s="409"/>
      <c r="Q70" s="409"/>
      <c r="R70" s="387"/>
      <c r="S70" s="387"/>
      <c r="T70" s="387"/>
      <c r="U70" s="387"/>
      <c r="V70" s="387"/>
      <c r="W70" s="387"/>
      <c r="X70" s="387"/>
      <c r="Y70" s="387"/>
      <c r="Z70" s="387"/>
      <c r="AA70" s="387"/>
      <c r="AB70" s="407"/>
      <c r="AC70" s="407"/>
      <c r="AD70" s="410"/>
      <c r="AF70" s="50"/>
    </row>
    <row r="71" spans="1:32" ht="25.5" customHeight="1">
      <c r="A71" s="404">
        <v>8</v>
      </c>
      <c r="B71" s="405"/>
      <c r="C71" s="117"/>
      <c r="D71" s="328"/>
      <c r="E71" s="331"/>
      <c r="F71" s="406"/>
      <c r="G71" s="407"/>
      <c r="H71" s="407"/>
      <c r="I71" s="407"/>
      <c r="J71" s="407"/>
      <c r="K71" s="407"/>
      <c r="L71" s="407"/>
      <c r="M71" s="51"/>
      <c r="N71" s="407"/>
      <c r="O71" s="407"/>
      <c r="P71" s="409"/>
      <c r="Q71" s="409"/>
      <c r="R71" s="387"/>
      <c r="S71" s="387"/>
      <c r="T71" s="387"/>
      <c r="U71" s="387"/>
      <c r="V71" s="387"/>
      <c r="W71" s="387"/>
      <c r="X71" s="387"/>
      <c r="Y71" s="387"/>
      <c r="Z71" s="387"/>
      <c r="AA71" s="387"/>
      <c r="AB71" s="407"/>
      <c r="AC71" s="407"/>
      <c r="AD71" s="410"/>
      <c r="AF71" s="50"/>
    </row>
    <row r="72" spans="1:32" ht="26.25" customHeight="1" thickBot="1">
      <c r="A72" s="411" t="s">
        <v>517</v>
      </c>
      <c r="B72" s="411"/>
      <c r="C72" s="411"/>
      <c r="D72" s="411"/>
      <c r="E72" s="411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2" t="s">
        <v>113</v>
      </c>
      <c r="B73" s="413"/>
      <c r="C73" s="330" t="s">
        <v>2</v>
      </c>
      <c r="D73" s="330" t="s">
        <v>37</v>
      </c>
      <c r="E73" s="330" t="s">
        <v>3</v>
      </c>
      <c r="F73" s="413" t="s">
        <v>38</v>
      </c>
      <c r="G73" s="413"/>
      <c r="H73" s="413"/>
      <c r="I73" s="413"/>
      <c r="J73" s="413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413" t="s">
        <v>49</v>
      </c>
      <c r="U73" s="413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0"/>
    </row>
    <row r="74" spans="1:32" ht="33.75" customHeight="1">
      <c r="A74" s="426">
        <v>1</v>
      </c>
      <c r="B74" s="427"/>
      <c r="C74" s="329" t="s">
        <v>114</v>
      </c>
      <c r="D74" s="329"/>
      <c r="E74" s="65" t="s">
        <v>120</v>
      </c>
      <c r="F74" s="428" t="s">
        <v>119</v>
      </c>
      <c r="G74" s="429"/>
      <c r="H74" s="429"/>
      <c r="I74" s="429"/>
      <c r="J74" s="430"/>
      <c r="K74" s="431" t="s">
        <v>121</v>
      </c>
      <c r="L74" s="432"/>
      <c r="M74" s="432"/>
      <c r="N74" s="432"/>
      <c r="O74" s="432"/>
      <c r="P74" s="432"/>
      <c r="Q74" s="432"/>
      <c r="R74" s="432"/>
      <c r="S74" s="433"/>
      <c r="T74" s="434">
        <v>43384</v>
      </c>
      <c r="U74" s="435"/>
      <c r="V74" s="436"/>
      <c r="W74" s="436"/>
      <c r="X74" s="437"/>
      <c r="Y74" s="437"/>
      <c r="Z74" s="437"/>
      <c r="AA74" s="437"/>
      <c r="AB74" s="437"/>
      <c r="AC74" s="437"/>
      <c r="AD74" s="438"/>
      <c r="AF74" s="50"/>
    </row>
    <row r="75" spans="1:32" ht="30" customHeight="1">
      <c r="A75" s="418">
        <f>A74+1</f>
        <v>2</v>
      </c>
      <c r="B75" s="419"/>
      <c r="C75" s="328"/>
      <c r="D75" s="328"/>
      <c r="E75" s="32"/>
      <c r="F75" s="419"/>
      <c r="G75" s="419"/>
      <c r="H75" s="419"/>
      <c r="I75" s="419"/>
      <c r="J75" s="419"/>
      <c r="K75" s="420"/>
      <c r="L75" s="421"/>
      <c r="M75" s="421"/>
      <c r="N75" s="421"/>
      <c r="O75" s="421"/>
      <c r="P75" s="421"/>
      <c r="Q75" s="421"/>
      <c r="R75" s="421"/>
      <c r="S75" s="422"/>
      <c r="T75" s="423"/>
      <c r="U75" s="423"/>
      <c r="V75" s="423"/>
      <c r="W75" s="423"/>
      <c r="X75" s="424"/>
      <c r="Y75" s="424"/>
      <c r="Z75" s="424"/>
      <c r="AA75" s="424"/>
      <c r="AB75" s="424"/>
      <c r="AC75" s="424"/>
      <c r="AD75" s="425"/>
      <c r="AF75" s="50"/>
    </row>
    <row r="76" spans="1:32" ht="30" customHeight="1">
      <c r="A76" s="418">
        <f t="shared" ref="A76:A82" si="18">A75+1</f>
        <v>3</v>
      </c>
      <c r="B76" s="419"/>
      <c r="C76" s="328"/>
      <c r="D76" s="328"/>
      <c r="E76" s="32"/>
      <c r="F76" s="419"/>
      <c r="G76" s="419"/>
      <c r="H76" s="419"/>
      <c r="I76" s="419"/>
      <c r="J76" s="419"/>
      <c r="K76" s="420"/>
      <c r="L76" s="421"/>
      <c r="M76" s="421"/>
      <c r="N76" s="421"/>
      <c r="O76" s="421"/>
      <c r="P76" s="421"/>
      <c r="Q76" s="421"/>
      <c r="R76" s="421"/>
      <c r="S76" s="422"/>
      <c r="T76" s="423"/>
      <c r="U76" s="423"/>
      <c r="V76" s="423"/>
      <c r="W76" s="423"/>
      <c r="X76" s="424"/>
      <c r="Y76" s="424"/>
      <c r="Z76" s="424"/>
      <c r="AA76" s="424"/>
      <c r="AB76" s="424"/>
      <c r="AC76" s="424"/>
      <c r="AD76" s="425"/>
      <c r="AF76" s="50"/>
    </row>
    <row r="77" spans="1:32" ht="30" customHeight="1">
      <c r="A77" s="418">
        <f t="shared" si="18"/>
        <v>4</v>
      </c>
      <c r="B77" s="419"/>
      <c r="C77" s="328"/>
      <c r="D77" s="328"/>
      <c r="E77" s="32"/>
      <c r="F77" s="419"/>
      <c r="G77" s="419"/>
      <c r="H77" s="419"/>
      <c r="I77" s="419"/>
      <c r="J77" s="419"/>
      <c r="K77" s="420"/>
      <c r="L77" s="421"/>
      <c r="M77" s="421"/>
      <c r="N77" s="421"/>
      <c r="O77" s="421"/>
      <c r="P77" s="421"/>
      <c r="Q77" s="421"/>
      <c r="R77" s="421"/>
      <c r="S77" s="422"/>
      <c r="T77" s="423"/>
      <c r="U77" s="423"/>
      <c r="V77" s="423"/>
      <c r="W77" s="423"/>
      <c r="X77" s="424"/>
      <c r="Y77" s="424"/>
      <c r="Z77" s="424"/>
      <c r="AA77" s="424"/>
      <c r="AB77" s="424"/>
      <c r="AC77" s="424"/>
      <c r="AD77" s="425"/>
      <c r="AF77" s="50"/>
    </row>
    <row r="78" spans="1:32" ht="30" customHeight="1">
      <c r="A78" s="418">
        <f t="shared" si="18"/>
        <v>5</v>
      </c>
      <c r="B78" s="419"/>
      <c r="C78" s="328"/>
      <c r="D78" s="328"/>
      <c r="E78" s="32"/>
      <c r="F78" s="419"/>
      <c r="G78" s="419"/>
      <c r="H78" s="419"/>
      <c r="I78" s="419"/>
      <c r="J78" s="419"/>
      <c r="K78" s="420"/>
      <c r="L78" s="421"/>
      <c r="M78" s="421"/>
      <c r="N78" s="421"/>
      <c r="O78" s="421"/>
      <c r="P78" s="421"/>
      <c r="Q78" s="421"/>
      <c r="R78" s="421"/>
      <c r="S78" s="422"/>
      <c r="T78" s="423"/>
      <c r="U78" s="423"/>
      <c r="V78" s="423"/>
      <c r="W78" s="423"/>
      <c r="X78" s="424"/>
      <c r="Y78" s="424"/>
      <c r="Z78" s="424"/>
      <c r="AA78" s="424"/>
      <c r="AB78" s="424"/>
      <c r="AC78" s="424"/>
      <c r="AD78" s="425"/>
      <c r="AF78" s="50"/>
    </row>
    <row r="79" spans="1:32" ht="30" customHeight="1">
      <c r="A79" s="418">
        <f t="shared" si="18"/>
        <v>6</v>
      </c>
      <c r="B79" s="419"/>
      <c r="C79" s="328"/>
      <c r="D79" s="328"/>
      <c r="E79" s="32"/>
      <c r="F79" s="419"/>
      <c r="G79" s="419"/>
      <c r="H79" s="419"/>
      <c r="I79" s="419"/>
      <c r="J79" s="419"/>
      <c r="K79" s="420"/>
      <c r="L79" s="421"/>
      <c r="M79" s="421"/>
      <c r="N79" s="421"/>
      <c r="O79" s="421"/>
      <c r="P79" s="421"/>
      <c r="Q79" s="421"/>
      <c r="R79" s="421"/>
      <c r="S79" s="422"/>
      <c r="T79" s="423"/>
      <c r="U79" s="423"/>
      <c r="V79" s="423"/>
      <c r="W79" s="423"/>
      <c r="X79" s="424"/>
      <c r="Y79" s="424"/>
      <c r="Z79" s="424"/>
      <c r="AA79" s="424"/>
      <c r="AB79" s="424"/>
      <c r="AC79" s="424"/>
      <c r="AD79" s="425"/>
      <c r="AF79" s="50"/>
    </row>
    <row r="80" spans="1:32" ht="30" customHeight="1">
      <c r="A80" s="418">
        <f t="shared" si="18"/>
        <v>7</v>
      </c>
      <c r="B80" s="419"/>
      <c r="C80" s="328"/>
      <c r="D80" s="328"/>
      <c r="E80" s="32"/>
      <c r="F80" s="419"/>
      <c r="G80" s="419"/>
      <c r="H80" s="419"/>
      <c r="I80" s="419"/>
      <c r="J80" s="419"/>
      <c r="K80" s="420"/>
      <c r="L80" s="421"/>
      <c r="M80" s="421"/>
      <c r="N80" s="421"/>
      <c r="O80" s="421"/>
      <c r="P80" s="421"/>
      <c r="Q80" s="421"/>
      <c r="R80" s="421"/>
      <c r="S80" s="422"/>
      <c r="T80" s="423"/>
      <c r="U80" s="423"/>
      <c r="V80" s="423"/>
      <c r="W80" s="423"/>
      <c r="X80" s="424"/>
      <c r="Y80" s="424"/>
      <c r="Z80" s="424"/>
      <c r="AA80" s="424"/>
      <c r="AB80" s="424"/>
      <c r="AC80" s="424"/>
      <c r="AD80" s="425"/>
      <c r="AF80" s="50"/>
    </row>
    <row r="81" spans="1:32" ht="30" customHeight="1">
      <c r="A81" s="418">
        <f t="shared" si="18"/>
        <v>8</v>
      </c>
      <c r="B81" s="419"/>
      <c r="C81" s="328"/>
      <c r="D81" s="328"/>
      <c r="E81" s="32"/>
      <c r="F81" s="419"/>
      <c r="G81" s="419"/>
      <c r="H81" s="419"/>
      <c r="I81" s="419"/>
      <c r="J81" s="419"/>
      <c r="K81" s="420"/>
      <c r="L81" s="421"/>
      <c r="M81" s="421"/>
      <c r="N81" s="421"/>
      <c r="O81" s="421"/>
      <c r="P81" s="421"/>
      <c r="Q81" s="421"/>
      <c r="R81" s="421"/>
      <c r="S81" s="422"/>
      <c r="T81" s="423"/>
      <c r="U81" s="423"/>
      <c r="V81" s="423"/>
      <c r="W81" s="423"/>
      <c r="X81" s="424"/>
      <c r="Y81" s="424"/>
      <c r="Z81" s="424"/>
      <c r="AA81" s="424"/>
      <c r="AB81" s="424"/>
      <c r="AC81" s="424"/>
      <c r="AD81" s="425"/>
      <c r="AF81" s="50"/>
    </row>
    <row r="82" spans="1:32" ht="30" customHeight="1">
      <c r="A82" s="418">
        <f t="shared" si="18"/>
        <v>9</v>
      </c>
      <c r="B82" s="419"/>
      <c r="C82" s="328"/>
      <c r="D82" s="328"/>
      <c r="E82" s="32"/>
      <c r="F82" s="419"/>
      <c r="G82" s="419"/>
      <c r="H82" s="419"/>
      <c r="I82" s="419"/>
      <c r="J82" s="419"/>
      <c r="K82" s="420"/>
      <c r="L82" s="421"/>
      <c r="M82" s="421"/>
      <c r="N82" s="421"/>
      <c r="O82" s="421"/>
      <c r="P82" s="421"/>
      <c r="Q82" s="421"/>
      <c r="R82" s="421"/>
      <c r="S82" s="422"/>
      <c r="T82" s="423"/>
      <c r="U82" s="423"/>
      <c r="V82" s="423"/>
      <c r="W82" s="423"/>
      <c r="X82" s="424"/>
      <c r="Y82" s="424"/>
      <c r="Z82" s="424"/>
      <c r="AA82" s="424"/>
      <c r="AB82" s="424"/>
      <c r="AC82" s="424"/>
      <c r="AD82" s="425"/>
      <c r="AF82" s="50"/>
    </row>
    <row r="83" spans="1:32" ht="36" thickBot="1">
      <c r="A83" s="411" t="s">
        <v>518</v>
      </c>
      <c r="B83" s="411"/>
      <c r="C83" s="411"/>
      <c r="D83" s="411"/>
      <c r="E83" s="411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2" t="s">
        <v>113</v>
      </c>
      <c r="B84" s="413"/>
      <c r="C84" s="439" t="s">
        <v>52</v>
      </c>
      <c r="D84" s="439"/>
      <c r="E84" s="439" t="s">
        <v>53</v>
      </c>
      <c r="F84" s="439"/>
      <c r="G84" s="439"/>
      <c r="H84" s="439"/>
      <c r="I84" s="439"/>
      <c r="J84" s="439"/>
      <c r="K84" s="439" t="s">
        <v>54</v>
      </c>
      <c r="L84" s="439"/>
      <c r="M84" s="439"/>
      <c r="N84" s="439"/>
      <c r="O84" s="439"/>
      <c r="P84" s="439"/>
      <c r="Q84" s="439"/>
      <c r="R84" s="439"/>
      <c r="S84" s="439"/>
      <c r="T84" s="439" t="s">
        <v>55</v>
      </c>
      <c r="U84" s="439"/>
      <c r="V84" s="439" t="s">
        <v>56</v>
      </c>
      <c r="W84" s="439"/>
      <c r="X84" s="439"/>
      <c r="Y84" s="439" t="s">
        <v>51</v>
      </c>
      <c r="Z84" s="439"/>
      <c r="AA84" s="439"/>
      <c r="AB84" s="439"/>
      <c r="AC84" s="439"/>
      <c r="AD84" s="440"/>
      <c r="AF84" s="50"/>
    </row>
    <row r="85" spans="1:32" ht="30.75" customHeight="1">
      <c r="A85" s="426">
        <v>1</v>
      </c>
      <c r="B85" s="427"/>
      <c r="C85" s="441"/>
      <c r="D85" s="441"/>
      <c r="E85" s="441"/>
      <c r="F85" s="441"/>
      <c r="G85" s="441"/>
      <c r="H85" s="441"/>
      <c r="I85" s="441"/>
      <c r="J85" s="441"/>
      <c r="K85" s="441"/>
      <c r="L85" s="441"/>
      <c r="M85" s="441"/>
      <c r="N85" s="441"/>
      <c r="O85" s="441"/>
      <c r="P85" s="441"/>
      <c r="Q85" s="441"/>
      <c r="R85" s="441"/>
      <c r="S85" s="441"/>
      <c r="T85" s="441"/>
      <c r="U85" s="441"/>
      <c r="V85" s="442"/>
      <c r="W85" s="442"/>
      <c r="X85" s="442"/>
      <c r="Y85" s="443"/>
      <c r="Z85" s="443"/>
      <c r="AA85" s="443"/>
      <c r="AB85" s="443"/>
      <c r="AC85" s="443"/>
      <c r="AD85" s="444"/>
      <c r="AF85" s="50"/>
    </row>
    <row r="86" spans="1:32" ht="30.75" customHeight="1">
      <c r="A86" s="418">
        <v>2</v>
      </c>
      <c r="B86" s="41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2"/>
      <c r="O86" s="452"/>
      <c r="P86" s="452"/>
      <c r="Q86" s="452"/>
      <c r="R86" s="452"/>
      <c r="S86" s="452"/>
      <c r="T86" s="453"/>
      <c r="U86" s="453"/>
      <c r="V86" s="454"/>
      <c r="W86" s="454"/>
      <c r="X86" s="454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48</vt:i4>
      </vt:variant>
    </vt:vector>
  </HeadingPairs>
  <TitlesOfParts>
    <vt:vector size="73" baseType="lpstr">
      <vt:lpstr>총괄</vt:lpstr>
      <vt:lpstr>01</vt:lpstr>
      <vt:lpstr>02</vt:lpstr>
      <vt:lpstr>03</vt:lpstr>
      <vt:lpstr>04</vt:lpstr>
      <vt:lpstr>05</vt:lpstr>
      <vt:lpstr>08</vt:lpstr>
      <vt:lpstr>09</vt:lpstr>
      <vt:lpstr>10</vt:lpstr>
      <vt:lpstr>11</vt:lpstr>
      <vt:lpstr>12</vt:lpstr>
      <vt:lpstr>15</vt:lpstr>
      <vt:lpstr>16</vt:lpstr>
      <vt:lpstr>17</vt:lpstr>
      <vt:lpstr>18</vt:lpstr>
      <vt:lpstr>19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'01'!Print_Area</vt:lpstr>
      <vt:lpstr>'02'!Print_Area</vt:lpstr>
      <vt:lpstr>'03'!Print_Area</vt:lpstr>
      <vt:lpstr>'04'!Print_Area</vt:lpstr>
      <vt:lpstr>'05'!Print_Area</vt:lpstr>
      <vt:lpstr>'08'!Print_Area</vt:lpstr>
      <vt:lpstr>'09'!Print_Area</vt:lpstr>
      <vt:lpstr>'10'!Print_Area</vt:lpstr>
      <vt:lpstr>'11'!Print_Area</vt:lpstr>
      <vt:lpstr>'12'!Print_Area</vt:lpstr>
      <vt:lpstr>'15'!Print_Area</vt:lpstr>
      <vt:lpstr>'16'!Print_Area</vt:lpstr>
      <vt:lpstr>'17'!Print_Area</vt:lpstr>
      <vt:lpstr>'18'!Print_Area</vt:lpstr>
      <vt:lpstr>'19'!Print_Area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'01'!ㅁ1</vt:lpstr>
      <vt:lpstr>'02'!ㅁ1</vt:lpstr>
      <vt:lpstr>'03'!ㅁ1</vt:lpstr>
      <vt:lpstr>'04'!ㅁ1</vt:lpstr>
      <vt:lpstr>'05'!ㅁ1</vt:lpstr>
      <vt:lpstr>'08'!ㅁ1</vt:lpstr>
      <vt:lpstr>'09'!ㅁ1</vt:lpstr>
      <vt:lpstr>'10'!ㅁ1</vt:lpstr>
      <vt:lpstr>'11'!ㅁ1</vt:lpstr>
      <vt:lpstr>'12'!ㅁ1</vt:lpstr>
      <vt:lpstr>'15'!ㅁ1</vt:lpstr>
      <vt:lpstr>'16'!ㅁ1</vt:lpstr>
      <vt:lpstr>'17'!ㅁ1</vt:lpstr>
      <vt:lpstr>'18'!ㅁ1</vt:lpstr>
      <vt:lpstr>'19'!ㅁ1</vt:lpstr>
      <vt:lpstr>'22'!ㅁ1</vt:lpstr>
      <vt:lpstr>'23'!ㅁ1</vt:lpstr>
      <vt:lpstr>'24'!ㅁ1</vt:lpstr>
      <vt:lpstr>'25'!ㅁ1</vt:lpstr>
      <vt:lpstr>'26'!ㅁ1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2018-10-10T23:54:56Z</cp:lastPrinted>
  <dcterms:created xsi:type="dcterms:W3CDTF">2014-05-16T00:06:55Z</dcterms:created>
  <dcterms:modified xsi:type="dcterms:W3CDTF">2019-05-01T05:00:23Z</dcterms:modified>
</cp:coreProperties>
</file>