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9년도\일일업무\생산일보\"/>
    </mc:Choice>
  </mc:AlternateContent>
  <xr:revisionPtr revIDLastSave="0" documentId="13_ncr:1_{7D009792-8ECD-442F-8694-ECAB6F3CD370}" xr6:coauthVersionLast="43" xr6:coauthVersionMax="43" xr10:uidLastSave="{00000000-0000-0000-0000-000000000000}"/>
  <bookViews>
    <workbookView xWindow="-120" yWindow="-120" windowWidth="29040" windowHeight="15840" firstSheet="1" activeTab="24" xr2:uid="{00000000-000D-0000-FFFF-FFFF00000000}"/>
  </bookViews>
  <sheets>
    <sheet name="총괄" sheetId="16" r:id="rId1"/>
    <sheet name="01" sheetId="1429" r:id="rId2"/>
    <sheet name="02" sheetId="1430" r:id="rId3"/>
    <sheet name="03" sheetId="1431" r:id="rId4"/>
    <sheet name="04" sheetId="1432" r:id="rId5"/>
    <sheet name="06" sheetId="1433" r:id="rId6"/>
    <sheet name="07" sheetId="1434" r:id="rId7"/>
    <sheet name="08" sheetId="1435" r:id="rId8"/>
    <sheet name="09" sheetId="1436" r:id="rId9"/>
    <sheet name="10" sheetId="1437" r:id="rId10"/>
    <sheet name="13" sheetId="1438" r:id="rId11"/>
    <sheet name="14" sheetId="1439" r:id="rId12"/>
    <sheet name="15" sheetId="1440" r:id="rId13"/>
    <sheet name="16" sheetId="1441" r:id="rId14"/>
    <sheet name="17" sheetId="1442" r:id="rId15"/>
    <sheet name="20" sheetId="1443" r:id="rId16"/>
    <sheet name="21" sheetId="1444" r:id="rId17"/>
    <sheet name="22" sheetId="1445" r:id="rId18"/>
    <sheet name="23" sheetId="1446" r:id="rId19"/>
    <sheet name="24" sheetId="1447" r:id="rId20"/>
    <sheet name="27" sheetId="1448" r:id="rId21"/>
    <sheet name="28" sheetId="1449" r:id="rId22"/>
    <sheet name="29" sheetId="1450" r:id="rId23"/>
    <sheet name="30" sheetId="1451" r:id="rId24"/>
    <sheet name="31" sheetId="1452" r:id="rId25"/>
  </sheets>
  <definedNames>
    <definedName name="_xlnm.Print_Area" localSheetId="1">'01'!$A$1:$AD$86</definedName>
    <definedName name="_xlnm.Print_Area" localSheetId="2">'02'!$A$1:$AD$87</definedName>
    <definedName name="_xlnm.Print_Area" localSheetId="3">'03'!$A$1:$AD$88</definedName>
    <definedName name="_xlnm.Print_Area" localSheetId="4">'04'!$A$1:$AD$87</definedName>
    <definedName name="_xlnm.Print_Area" localSheetId="5">'06'!$A$1:$AD$87</definedName>
    <definedName name="_xlnm.Print_Area" localSheetId="6">'07'!$A$1:$AD$86</definedName>
    <definedName name="_xlnm.Print_Area" localSheetId="7">'08'!$A$1:$AD$87</definedName>
    <definedName name="_xlnm.Print_Area" localSheetId="8">'09'!$A$1:$AD$86</definedName>
    <definedName name="_xlnm.Print_Area" localSheetId="9">'10'!$A$1:$AD$86</definedName>
    <definedName name="_xlnm.Print_Area" localSheetId="10">'13'!$A$1:$AD$86</definedName>
    <definedName name="_xlnm.Print_Area" localSheetId="11">'14'!$A$1:$AD$86</definedName>
    <definedName name="_xlnm.Print_Area" localSheetId="12">'15'!$A$1:$AD$87</definedName>
    <definedName name="_xlnm.Print_Area" localSheetId="13">'16'!$A$1:$AD$87</definedName>
    <definedName name="_xlnm.Print_Area" localSheetId="14">'17'!$A$1:$AD$86</definedName>
    <definedName name="_xlnm.Print_Area" localSheetId="15">'20'!$A$1:$AD$86</definedName>
    <definedName name="_xlnm.Print_Area" localSheetId="16">'21'!$A$1:$AD$86</definedName>
    <definedName name="_xlnm.Print_Area" localSheetId="17">'22'!$A$1:$AD$86</definedName>
    <definedName name="_xlnm.Print_Area" localSheetId="18">'23'!$A$1:$AD$91</definedName>
    <definedName name="_xlnm.Print_Area" localSheetId="19">'24'!$A$1:$AD$91</definedName>
    <definedName name="_xlnm.Print_Area" localSheetId="20">'27'!$A$1:$AD$87</definedName>
    <definedName name="_xlnm.Print_Area" localSheetId="21">'28'!$A$1:$AD$87</definedName>
    <definedName name="_xlnm.Print_Area" localSheetId="22">'29'!$A$1:$AD$86</definedName>
    <definedName name="_xlnm.Print_Area" localSheetId="23">'30'!$A$1:$AD$86</definedName>
    <definedName name="_xlnm.Print_Area" localSheetId="24">'31'!$A$1:$AD$86</definedName>
    <definedName name="ㅁ1" localSheetId="1">'01'!$M$1048521:$M$1048576</definedName>
    <definedName name="ㅁ1" localSheetId="2">'02'!$M$1048522:$M$1048576</definedName>
    <definedName name="ㅁ1" localSheetId="3">'03'!$M$1048523:$M$1048576</definedName>
    <definedName name="ㅁ1" localSheetId="4">'04'!$M$1048522:$M$1048576</definedName>
    <definedName name="ㅁ1" localSheetId="5">'06'!$M$1048522:$M$1048576</definedName>
    <definedName name="ㅁ1" localSheetId="6">'07'!$M$1048521:$M$1048576</definedName>
    <definedName name="ㅁ1" localSheetId="7">'08'!$M$1048522:$M$1048576</definedName>
    <definedName name="ㅁ1" localSheetId="8">'09'!$M$1048521:$M$1048576</definedName>
    <definedName name="ㅁ1" localSheetId="9">'10'!$M$1048521:$M$1048576</definedName>
    <definedName name="ㅁ1" localSheetId="10">'13'!$M$1048521:$M$1048576</definedName>
    <definedName name="ㅁ1" localSheetId="11">'14'!$M$1048521:$M$1048576</definedName>
    <definedName name="ㅁ1" localSheetId="12">'15'!$M$1048522:$M$1048576</definedName>
    <definedName name="ㅁ1" localSheetId="13">'16'!$M$1048522:$M$1048576</definedName>
    <definedName name="ㅁ1" localSheetId="14">'17'!$M$1048521:$M$1048576</definedName>
    <definedName name="ㅁ1" localSheetId="15">'20'!$M$1048521:$M$1048576</definedName>
    <definedName name="ㅁ1" localSheetId="16">'21'!$M$1048521:$M$1048576</definedName>
    <definedName name="ㅁ1" localSheetId="17">'22'!$M$1048521:$M$1048576</definedName>
    <definedName name="ㅁ1" localSheetId="18">'23'!$M$1048526:$M$1048576</definedName>
    <definedName name="ㅁ1" localSheetId="19">'24'!$M$1048526:$M$1048576</definedName>
    <definedName name="ㅁ1" localSheetId="20">'27'!$M$1048522:$M$1048576</definedName>
    <definedName name="ㅁ1" localSheetId="21">'28'!$M$1048522:$M$1048576</definedName>
    <definedName name="ㅁ1" localSheetId="22">'29'!$M$1048521:$M$1048576</definedName>
    <definedName name="ㅁ1" localSheetId="23">'30'!$M$1048521:$M$1048576</definedName>
    <definedName name="ㅁ1" localSheetId="24">'31'!$M$1048521:$M$1048576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0" i="1452"/>
  <c r="L19" i="1452"/>
  <c r="AB19" i="1452" s="1"/>
  <c r="L18" i="1452"/>
  <c r="L17" i="1452"/>
  <c r="K17" i="1452"/>
  <c r="L16" i="1452"/>
  <c r="K16" i="1452" s="1"/>
  <c r="L15" i="1452"/>
  <c r="K15" i="1452" s="1"/>
  <c r="L13" i="1452"/>
  <c r="K13" i="1452"/>
  <c r="L11" i="1452"/>
  <c r="K11" i="1452"/>
  <c r="L9" i="1452"/>
  <c r="L8" i="1452"/>
  <c r="M8" i="1452" s="1"/>
  <c r="K19" i="1452"/>
  <c r="K18" i="1452"/>
  <c r="K14" i="1452"/>
  <c r="K10" i="1452"/>
  <c r="K9" i="1452"/>
  <c r="A74" i="1452"/>
  <c r="A75" i="1452" s="1"/>
  <c r="A76" i="1452" s="1"/>
  <c r="A77" i="1452" s="1"/>
  <c r="A78" i="1452" s="1"/>
  <c r="A79" i="1452" s="1"/>
  <c r="A80" i="1452" s="1"/>
  <c r="A81" i="1452" s="1"/>
  <c r="AF62" i="1452"/>
  <c r="AF60" i="1452"/>
  <c r="AF59" i="1452"/>
  <c r="AA21" i="1452"/>
  <c r="Z21" i="1452"/>
  <c r="Y21" i="1452"/>
  <c r="X21" i="1452"/>
  <c r="W21" i="1452"/>
  <c r="V21" i="1452"/>
  <c r="U21" i="1452"/>
  <c r="T21" i="1452"/>
  <c r="S21" i="1452"/>
  <c r="R21" i="1452"/>
  <c r="N21" i="1452"/>
  <c r="J21" i="1452"/>
  <c r="I21" i="1452"/>
  <c r="AF20" i="1452"/>
  <c r="AB20" i="1452"/>
  <c r="Q20" i="1452"/>
  <c r="M20" i="1452"/>
  <c r="K20" i="1452"/>
  <c r="AF19" i="1452"/>
  <c r="Q19" i="1452"/>
  <c r="M19" i="1452"/>
  <c r="P19" i="1452"/>
  <c r="AC19" i="1452" s="1"/>
  <c r="AF18" i="1452"/>
  <c r="Q18" i="1452"/>
  <c r="AF17" i="1452"/>
  <c r="AB17" i="1452"/>
  <c r="Q17" i="1452"/>
  <c r="M17" i="1452"/>
  <c r="AF16" i="1452"/>
  <c r="Q16" i="1452"/>
  <c r="P16" i="1452" s="1"/>
  <c r="AC16" i="1452" s="1"/>
  <c r="M16" i="1452"/>
  <c r="AF15" i="1452"/>
  <c r="Q15" i="1452"/>
  <c r="P15" i="1452"/>
  <c r="AC15" i="1452" s="1"/>
  <c r="AF14" i="1452"/>
  <c r="AB14" i="1452"/>
  <c r="Q14" i="1452"/>
  <c r="P14" i="1452"/>
  <c r="AC14" i="1452" s="1"/>
  <c r="O14" i="1452"/>
  <c r="M14" i="1452"/>
  <c r="AF13" i="1452"/>
  <c r="AB13" i="1452"/>
  <c r="Q13" i="1452"/>
  <c r="P13" i="1452" s="1"/>
  <c r="AC13" i="1452" s="1"/>
  <c r="O13" i="1452"/>
  <c r="M13" i="1452"/>
  <c r="AF12" i="1452"/>
  <c r="AB12" i="1452"/>
  <c r="Q12" i="1452"/>
  <c r="P12" i="1452"/>
  <c r="AC12" i="1452" s="1"/>
  <c r="O12" i="1452"/>
  <c r="M12" i="1452"/>
  <c r="K12" i="1452"/>
  <c r="AF11" i="1452"/>
  <c r="AB11" i="1452"/>
  <c r="Q11" i="1452"/>
  <c r="P11" i="1452" s="1"/>
  <c r="AC11" i="1452" s="1"/>
  <c r="O11" i="1452"/>
  <c r="M11" i="1452"/>
  <c r="AF10" i="1452"/>
  <c r="AB10" i="1452"/>
  <c r="Q10" i="1452"/>
  <c r="P10" i="1452" s="1"/>
  <c r="AC10" i="1452" s="1"/>
  <c r="O10" i="1452"/>
  <c r="M10" i="1452"/>
  <c r="AF9" i="1452"/>
  <c r="AB9" i="1452"/>
  <c r="Q9" i="1452"/>
  <c r="P9" i="1452" s="1"/>
  <c r="AC9" i="1452" s="1"/>
  <c r="O9" i="1452"/>
  <c r="M9" i="1452"/>
  <c r="AF8" i="1452"/>
  <c r="Q8" i="1452"/>
  <c r="O8" i="1452"/>
  <c r="AF7" i="1452"/>
  <c r="AB7" i="1452"/>
  <c r="Q7" i="1452"/>
  <c r="P7" i="1452"/>
  <c r="AC7" i="1452" s="1"/>
  <c r="AD7" i="1452" s="1"/>
  <c r="O7" i="1452"/>
  <c r="M7" i="1452"/>
  <c r="K7" i="1452"/>
  <c r="AF6" i="1452"/>
  <c r="AB6" i="1452"/>
  <c r="Q6" i="1452"/>
  <c r="P6" i="1452"/>
  <c r="AC6" i="1452" s="1"/>
  <c r="O6" i="1452"/>
  <c r="M6" i="1452"/>
  <c r="K6" i="1452"/>
  <c r="P20" i="1452" l="1"/>
  <c r="AC20" i="1452" s="1"/>
  <c r="AD20" i="1452" s="1"/>
  <c r="O20" i="1452"/>
  <c r="P18" i="1452"/>
  <c r="AC18" i="1452" s="1"/>
  <c r="P17" i="1452"/>
  <c r="AC17" i="1452" s="1"/>
  <c r="AD17" i="1452" s="1"/>
  <c r="O17" i="1452"/>
  <c r="AB16" i="1452"/>
  <c r="AD16" i="1452" s="1"/>
  <c r="AD14" i="1452"/>
  <c r="AD11" i="1452"/>
  <c r="Q21" i="1452"/>
  <c r="L21" i="1452"/>
  <c r="O21" i="1452" s="1"/>
  <c r="AB8" i="1452"/>
  <c r="K8" i="1452"/>
  <c r="AD12" i="1452"/>
  <c r="AD10" i="1452"/>
  <c r="AD9" i="1452"/>
  <c r="AD13" i="1452"/>
  <c r="AD6" i="1452"/>
  <c r="K21" i="1452"/>
  <c r="P8" i="1452"/>
  <c r="AC8" i="1452" s="1"/>
  <c r="M15" i="1452"/>
  <c r="AB15" i="1452"/>
  <c r="O16" i="1452"/>
  <c r="M18" i="1452"/>
  <c r="AB18" i="1452"/>
  <c r="O19" i="1452"/>
  <c r="AD19" i="1452" s="1"/>
  <c r="O15" i="1452"/>
  <c r="O18" i="1452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19" i="1451"/>
  <c r="L18" i="1451"/>
  <c r="K18" i="1451" s="1"/>
  <c r="L16" i="1451"/>
  <c r="K16" i="1451"/>
  <c r="L15" i="1451"/>
  <c r="K15" i="1451" s="1"/>
  <c r="L14" i="1451"/>
  <c r="K13" i="1451"/>
  <c r="L11" i="1451"/>
  <c r="L9" i="1451"/>
  <c r="L8" i="1451"/>
  <c r="K19" i="1451"/>
  <c r="K12" i="1451"/>
  <c r="K11" i="1451"/>
  <c r="K10" i="1451"/>
  <c r="K9" i="1451"/>
  <c r="K8" i="1451"/>
  <c r="A74" i="1451"/>
  <c r="A75" i="1451" s="1"/>
  <c r="A76" i="1451" s="1"/>
  <c r="A77" i="1451" s="1"/>
  <c r="A78" i="1451" s="1"/>
  <c r="A79" i="1451" s="1"/>
  <c r="A80" i="1451" s="1"/>
  <c r="A81" i="1451" s="1"/>
  <c r="AF62" i="1451"/>
  <c r="AF60" i="1451"/>
  <c r="AF59" i="1451"/>
  <c r="AA21" i="1451"/>
  <c r="Z21" i="1451"/>
  <c r="Y21" i="1451"/>
  <c r="X21" i="1451"/>
  <c r="W21" i="1451"/>
  <c r="V21" i="1451"/>
  <c r="U21" i="1451"/>
  <c r="T21" i="1451"/>
  <c r="S21" i="1451"/>
  <c r="R21" i="1451"/>
  <c r="N21" i="1451"/>
  <c r="J21" i="1451"/>
  <c r="I21" i="1451"/>
  <c r="AF20" i="1451"/>
  <c r="AB20" i="1451"/>
  <c r="Q20" i="1451"/>
  <c r="P20" i="1451"/>
  <c r="AC20" i="1451" s="1"/>
  <c r="AD20" i="1451" s="1"/>
  <c r="O20" i="1451"/>
  <c r="M20" i="1451"/>
  <c r="K20" i="1451"/>
  <c r="AF19" i="1451"/>
  <c r="Q19" i="1451"/>
  <c r="P19" i="1451"/>
  <c r="AC19" i="1451" s="1"/>
  <c r="AF18" i="1451"/>
  <c r="Q18" i="1451"/>
  <c r="P18" i="1451"/>
  <c r="AC18" i="1451" s="1"/>
  <c r="O18" i="1451"/>
  <c r="AF17" i="1451"/>
  <c r="AB17" i="1451"/>
  <c r="Q17" i="1451"/>
  <c r="P17" i="1451"/>
  <c r="AC17" i="1451" s="1"/>
  <c r="AD17" i="1451" s="1"/>
  <c r="O17" i="1451"/>
  <c r="M17" i="1451"/>
  <c r="K17" i="1451"/>
  <c r="AF16" i="1451"/>
  <c r="Q16" i="1451"/>
  <c r="P16" i="1451" s="1"/>
  <c r="AC16" i="1451" s="1"/>
  <c r="AF15" i="1451"/>
  <c r="Q15" i="1451"/>
  <c r="P15" i="1451" s="1"/>
  <c r="AC15" i="1451" s="1"/>
  <c r="O15" i="1451"/>
  <c r="AF14" i="1451"/>
  <c r="AB14" i="1451"/>
  <c r="Q14" i="1451"/>
  <c r="M14" i="1451"/>
  <c r="AF13" i="1451"/>
  <c r="AB13" i="1451"/>
  <c r="Q13" i="1451"/>
  <c r="P13" i="1451" s="1"/>
  <c r="AC13" i="1451" s="1"/>
  <c r="O13" i="1451"/>
  <c r="M13" i="1451"/>
  <c r="AF12" i="1451"/>
  <c r="Q12" i="1451"/>
  <c r="P12" i="1451"/>
  <c r="AC12" i="1451" s="1"/>
  <c r="O12" i="1451"/>
  <c r="AB12" i="1451"/>
  <c r="AF11" i="1451"/>
  <c r="AC11" i="1451"/>
  <c r="AB11" i="1451"/>
  <c r="Q11" i="1451"/>
  <c r="P11" i="1451"/>
  <c r="O11" i="1451"/>
  <c r="M11" i="1451"/>
  <c r="AF10" i="1451"/>
  <c r="Q10" i="1451"/>
  <c r="P10" i="1451"/>
  <c r="AC10" i="1451" s="1"/>
  <c r="AF9" i="1451"/>
  <c r="Q9" i="1451"/>
  <c r="P9" i="1451" s="1"/>
  <c r="AC9" i="1451" s="1"/>
  <c r="O9" i="1451"/>
  <c r="AF8" i="1451"/>
  <c r="Q8" i="1451"/>
  <c r="P8" i="1451"/>
  <c r="AC8" i="1451" s="1"/>
  <c r="O8" i="1451"/>
  <c r="L21" i="1451"/>
  <c r="O21" i="1451" s="1"/>
  <c r="AF7" i="1451"/>
  <c r="AC7" i="1451"/>
  <c r="AD7" i="1451" s="1"/>
  <c r="AB7" i="1451"/>
  <c r="Q7" i="1451"/>
  <c r="P7" i="1451"/>
  <c r="O7" i="1451"/>
  <c r="M7" i="1451"/>
  <c r="K7" i="1451"/>
  <c r="AF6" i="1451"/>
  <c r="AB6" i="1451"/>
  <c r="Q6" i="1451"/>
  <c r="P6" i="1451"/>
  <c r="O6" i="1451"/>
  <c r="M6" i="1451"/>
  <c r="K6" i="1451"/>
  <c r="AD18" i="1452" l="1"/>
  <c r="P21" i="1452"/>
  <c r="AD8" i="1452"/>
  <c r="M21" i="1452"/>
  <c r="AB21" i="1452"/>
  <c r="AD15" i="1452"/>
  <c r="AC21" i="1452"/>
  <c r="P14" i="1451"/>
  <c r="AC14" i="1451" s="1"/>
  <c r="AD14" i="1451"/>
  <c r="O14" i="1451"/>
  <c r="K14" i="1451"/>
  <c r="Q21" i="1451"/>
  <c r="AD11" i="1451"/>
  <c r="AD13" i="1451"/>
  <c r="AD12" i="1451"/>
  <c r="M10" i="1451"/>
  <c r="M16" i="1451"/>
  <c r="AB16" i="1451"/>
  <c r="M9" i="1451"/>
  <c r="AB9" i="1451"/>
  <c r="AD9" i="1451" s="1"/>
  <c r="O10" i="1451"/>
  <c r="M15" i="1451"/>
  <c r="AB15" i="1451"/>
  <c r="AD15" i="1451" s="1"/>
  <c r="O16" i="1451"/>
  <c r="M18" i="1451"/>
  <c r="AB18" i="1451"/>
  <c r="AD18" i="1451" s="1"/>
  <c r="O19" i="1451"/>
  <c r="AB10" i="1451"/>
  <c r="M19" i="1451"/>
  <c r="AB19" i="1451"/>
  <c r="AD19" i="1451" s="1"/>
  <c r="AC6" i="1451"/>
  <c r="M8" i="1451"/>
  <c r="AB8" i="1451"/>
  <c r="M12" i="1451"/>
  <c r="K21" i="1451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19" i="1450"/>
  <c r="K19" i="1450" s="1"/>
  <c r="L18" i="1450"/>
  <c r="K18" i="1450" s="1"/>
  <c r="L16" i="1450"/>
  <c r="K16" i="1450" s="1"/>
  <c r="L15" i="1450"/>
  <c r="K15" i="1450" s="1"/>
  <c r="K13" i="1450"/>
  <c r="L12" i="1450"/>
  <c r="K12" i="1450" s="1"/>
  <c r="L11" i="1450"/>
  <c r="K11" i="1450" s="1"/>
  <c r="L10" i="1450"/>
  <c r="L9" i="1450"/>
  <c r="L8" i="1450"/>
  <c r="O8" i="1450" s="1"/>
  <c r="K17" i="1450"/>
  <c r="K10" i="1450"/>
  <c r="K9" i="1450"/>
  <c r="A74" i="1450"/>
  <c r="A75" i="1450" s="1"/>
  <c r="A76" i="1450" s="1"/>
  <c r="A77" i="1450" s="1"/>
  <c r="A78" i="1450" s="1"/>
  <c r="A79" i="1450" s="1"/>
  <c r="A80" i="1450" s="1"/>
  <c r="A81" i="1450" s="1"/>
  <c r="AF60" i="1450"/>
  <c r="AF62" i="1450" s="1"/>
  <c r="AF59" i="1450"/>
  <c r="AA21" i="1450"/>
  <c r="Z21" i="1450"/>
  <c r="Y21" i="1450"/>
  <c r="X21" i="1450"/>
  <c r="W21" i="1450"/>
  <c r="V21" i="1450"/>
  <c r="U21" i="1450"/>
  <c r="T21" i="1450"/>
  <c r="S21" i="1450"/>
  <c r="R21" i="1450"/>
  <c r="N21" i="1450"/>
  <c r="J21" i="1450"/>
  <c r="I21" i="1450"/>
  <c r="AF20" i="1450"/>
  <c r="AB20" i="1450"/>
  <c r="Q20" i="1450"/>
  <c r="P20" i="1450"/>
  <c r="AC20" i="1450" s="1"/>
  <c r="AD20" i="1450" s="1"/>
  <c r="O20" i="1450"/>
  <c r="M20" i="1450"/>
  <c r="K20" i="1450"/>
  <c r="AF19" i="1450"/>
  <c r="AB19" i="1450"/>
  <c r="Q19" i="1450"/>
  <c r="P19" i="1450" s="1"/>
  <c r="AC19" i="1450" s="1"/>
  <c r="M19" i="1450"/>
  <c r="O19" i="1450"/>
  <c r="AF18" i="1450"/>
  <c r="Q18" i="1450"/>
  <c r="AF17" i="1450"/>
  <c r="AB17" i="1450"/>
  <c r="Q17" i="1450"/>
  <c r="P17" i="1450"/>
  <c r="AC17" i="1450" s="1"/>
  <c r="M17" i="1450"/>
  <c r="O17" i="1450"/>
  <c r="AF16" i="1450"/>
  <c r="AB16" i="1450"/>
  <c r="Q16" i="1450"/>
  <c r="P16" i="1450" s="1"/>
  <c r="AC16" i="1450" s="1"/>
  <c r="O16" i="1450"/>
  <c r="M16" i="1450"/>
  <c r="AF15" i="1450"/>
  <c r="Q15" i="1450"/>
  <c r="AB15" i="1450"/>
  <c r="AF14" i="1450"/>
  <c r="AB14" i="1450"/>
  <c r="Q14" i="1450"/>
  <c r="P14" i="1450"/>
  <c r="AC14" i="1450" s="1"/>
  <c r="O14" i="1450"/>
  <c r="M14" i="1450"/>
  <c r="K14" i="1450"/>
  <c r="AF13" i="1450"/>
  <c r="AB13" i="1450"/>
  <c r="Q13" i="1450"/>
  <c r="P13" i="1450"/>
  <c r="AC13" i="1450" s="1"/>
  <c r="O13" i="1450"/>
  <c r="M13" i="1450"/>
  <c r="AF12" i="1450"/>
  <c r="AB12" i="1450"/>
  <c r="Q12" i="1450"/>
  <c r="O12" i="1450"/>
  <c r="AF11" i="1450"/>
  <c r="AB11" i="1450"/>
  <c r="Q11" i="1450"/>
  <c r="P11" i="1450" s="1"/>
  <c r="AC11" i="1450" s="1"/>
  <c r="O11" i="1450"/>
  <c r="M11" i="1450"/>
  <c r="AF10" i="1450"/>
  <c r="Q10" i="1450"/>
  <c r="AB10" i="1450"/>
  <c r="AF9" i="1450"/>
  <c r="AB9" i="1450"/>
  <c r="Q9" i="1450"/>
  <c r="P9" i="1450"/>
  <c r="AC9" i="1450" s="1"/>
  <c r="M9" i="1450"/>
  <c r="O9" i="1450"/>
  <c r="AF8" i="1450"/>
  <c r="Q8" i="1450"/>
  <c r="AF7" i="1450"/>
  <c r="AB7" i="1450"/>
  <c r="Q7" i="1450"/>
  <c r="P7" i="1450"/>
  <c r="AC7" i="1450" s="1"/>
  <c r="AD7" i="1450" s="1"/>
  <c r="O7" i="1450"/>
  <c r="M7" i="1450"/>
  <c r="K7" i="1450"/>
  <c r="AF6" i="1450"/>
  <c r="AB6" i="1450"/>
  <c r="Q6" i="1450"/>
  <c r="P6" i="1450"/>
  <c r="O6" i="1450"/>
  <c r="M6" i="1450"/>
  <c r="K6" i="1450"/>
  <c r="AD21" i="1452" l="1"/>
  <c r="AE19" i="1452" s="1"/>
  <c r="M21" i="1451"/>
  <c r="AD16" i="1451"/>
  <c r="P21" i="1451"/>
  <c r="AB21" i="1451"/>
  <c r="AD10" i="1451"/>
  <c r="AC21" i="1451"/>
  <c r="AD6" i="1451"/>
  <c r="AD8" i="1451"/>
  <c r="M12" i="1450"/>
  <c r="P12" i="1450"/>
  <c r="AC12" i="1450" s="1"/>
  <c r="P18" i="1450"/>
  <c r="AC18" i="1450" s="1"/>
  <c r="AD19" i="1450"/>
  <c r="O18" i="1450"/>
  <c r="AD16" i="1450"/>
  <c r="AD13" i="1450"/>
  <c r="AD9" i="1450"/>
  <c r="Q21" i="1450"/>
  <c r="P8" i="1450"/>
  <c r="AC8" i="1450" s="1"/>
  <c r="K8" i="1450"/>
  <c r="AD11" i="1450"/>
  <c r="AD14" i="1450"/>
  <c r="AD12" i="1450"/>
  <c r="AD17" i="1450"/>
  <c r="O10" i="1450"/>
  <c r="O15" i="1450"/>
  <c r="AC6" i="1450"/>
  <c r="M8" i="1450"/>
  <c r="AB8" i="1450"/>
  <c r="P10" i="1450"/>
  <c r="AC10" i="1450" s="1"/>
  <c r="P15" i="1450"/>
  <c r="AC15" i="1450" s="1"/>
  <c r="M18" i="1450"/>
  <c r="AB18" i="1450"/>
  <c r="AD18" i="1450" s="1"/>
  <c r="L21" i="1450"/>
  <c r="O21" i="1450" s="1"/>
  <c r="K21" i="1450"/>
  <c r="M10" i="1450"/>
  <c r="M15" i="1450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0" i="1449"/>
  <c r="L19" i="1449"/>
  <c r="K19" i="1449" s="1"/>
  <c r="K18" i="1449"/>
  <c r="AF18" i="1449"/>
  <c r="AB18" i="1449"/>
  <c r="Q18" i="1449"/>
  <c r="P18" i="1449" s="1"/>
  <c r="AC18" i="1449" s="1"/>
  <c r="AD18" i="1449" s="1"/>
  <c r="O18" i="1449"/>
  <c r="M18" i="1449"/>
  <c r="L17" i="1449"/>
  <c r="K17" i="1449"/>
  <c r="L15" i="1449"/>
  <c r="L12" i="1449"/>
  <c r="K12" i="1449" s="1"/>
  <c r="L10" i="1449"/>
  <c r="L9" i="1449"/>
  <c r="K9" i="1449" s="1"/>
  <c r="L8" i="1449"/>
  <c r="K8" i="1449"/>
  <c r="K21" i="1449"/>
  <c r="K20" i="1449"/>
  <c r="K14" i="1449"/>
  <c r="K13" i="1449"/>
  <c r="K10" i="1449"/>
  <c r="AE18" i="1452" l="1"/>
  <c r="AE12" i="1452"/>
  <c r="AE6" i="1452"/>
  <c r="AE7" i="1452"/>
  <c r="AE17" i="1452"/>
  <c r="AE16" i="1452"/>
  <c r="AE9" i="1452"/>
  <c r="AE11" i="1452"/>
  <c r="AE20" i="1452"/>
  <c r="AE8" i="1452"/>
  <c r="AE10" i="1452"/>
  <c r="AE14" i="1452"/>
  <c r="AE15" i="1452"/>
  <c r="AE13" i="1452"/>
  <c r="AD21" i="1451"/>
  <c r="AE7" i="1451" s="1"/>
  <c r="AD10" i="1450"/>
  <c r="AB21" i="1450"/>
  <c r="AD8" i="1450"/>
  <c r="P21" i="1450"/>
  <c r="M21" i="1450"/>
  <c r="AC21" i="1450"/>
  <c r="AD6" i="1450"/>
  <c r="AD15" i="1450"/>
  <c r="A75" i="1449"/>
  <c r="A76" i="1449" s="1"/>
  <c r="A77" i="1449" s="1"/>
  <c r="A78" i="1449" s="1"/>
  <c r="A79" i="1449" s="1"/>
  <c r="A80" i="1449" s="1"/>
  <c r="A81" i="1449" s="1"/>
  <c r="A82" i="1449" s="1"/>
  <c r="AF63" i="1449"/>
  <c r="AF61" i="1449"/>
  <c r="AF60" i="1449"/>
  <c r="AA22" i="1449"/>
  <c r="Z22" i="1449"/>
  <c r="Y22" i="1449"/>
  <c r="X22" i="1449"/>
  <c r="W22" i="1449"/>
  <c r="V22" i="1449"/>
  <c r="U22" i="1449"/>
  <c r="T22" i="1449"/>
  <c r="S22" i="1449"/>
  <c r="R22" i="1449"/>
  <c r="N22" i="1449"/>
  <c r="J22" i="1449"/>
  <c r="I22" i="1449"/>
  <c r="AF21" i="1449"/>
  <c r="Q21" i="1449"/>
  <c r="P21" i="1449"/>
  <c r="AC21" i="1449" s="1"/>
  <c r="AD21" i="1449" s="1"/>
  <c r="O21" i="1449"/>
  <c r="M21" i="1449"/>
  <c r="AB21" i="1449"/>
  <c r="AF20" i="1449"/>
  <c r="AB20" i="1449"/>
  <c r="Q20" i="1449"/>
  <c r="P20" i="1449" s="1"/>
  <c r="AC20" i="1449" s="1"/>
  <c r="O20" i="1449"/>
  <c r="M20" i="1449"/>
  <c r="AF19" i="1449"/>
  <c r="AB19" i="1449"/>
  <c r="Q19" i="1449"/>
  <c r="P19" i="1449" s="1"/>
  <c r="AC19" i="1449" s="1"/>
  <c r="O19" i="1449"/>
  <c r="M19" i="1449"/>
  <c r="AF17" i="1449"/>
  <c r="AB17" i="1449"/>
  <c r="Q17" i="1449"/>
  <c r="P17" i="1449" s="1"/>
  <c r="AC17" i="1449" s="1"/>
  <c r="O17" i="1449"/>
  <c r="M17" i="1449"/>
  <c r="AF16" i="1449"/>
  <c r="AB16" i="1449"/>
  <c r="Q16" i="1449"/>
  <c r="P16" i="1449"/>
  <c r="AC16" i="1449" s="1"/>
  <c r="O16" i="1449"/>
  <c r="M16" i="1449"/>
  <c r="K16" i="1449"/>
  <c r="AF15" i="1449"/>
  <c r="AB15" i="1449"/>
  <c r="Q15" i="1449"/>
  <c r="P15" i="1449" s="1"/>
  <c r="AC15" i="1449" s="1"/>
  <c r="O15" i="1449"/>
  <c r="M15" i="1449"/>
  <c r="K15" i="1449"/>
  <c r="AF14" i="1449"/>
  <c r="Q14" i="1449"/>
  <c r="P14" i="1449"/>
  <c r="AC14" i="1449" s="1"/>
  <c r="O14" i="1449"/>
  <c r="M14" i="1449"/>
  <c r="AB14" i="1449"/>
  <c r="AF13" i="1449"/>
  <c r="AB13" i="1449"/>
  <c r="Q13" i="1449"/>
  <c r="P13" i="1449" s="1"/>
  <c r="AC13" i="1449" s="1"/>
  <c r="O13" i="1449"/>
  <c r="M13" i="1449"/>
  <c r="AF12" i="1449"/>
  <c r="Q12" i="1449"/>
  <c r="P12" i="1449" s="1"/>
  <c r="AC12" i="1449" s="1"/>
  <c r="AF11" i="1449"/>
  <c r="AB11" i="1449"/>
  <c r="Q11" i="1449"/>
  <c r="P11" i="1449"/>
  <c r="AC11" i="1449" s="1"/>
  <c r="O11" i="1449"/>
  <c r="M11" i="1449"/>
  <c r="K11" i="1449"/>
  <c r="AF10" i="1449"/>
  <c r="AB10" i="1449"/>
  <c r="Q10" i="1449"/>
  <c r="P10" i="1449" s="1"/>
  <c r="AC10" i="1449" s="1"/>
  <c r="O10" i="1449"/>
  <c r="M10" i="1449"/>
  <c r="AF9" i="1449"/>
  <c r="Q9" i="1449"/>
  <c r="L22" i="1449"/>
  <c r="O22" i="1449" s="1"/>
  <c r="AF8" i="1449"/>
  <c r="AB8" i="1449"/>
  <c r="Q8" i="1449"/>
  <c r="P8" i="1449" s="1"/>
  <c r="AC8" i="1449" s="1"/>
  <c r="O8" i="1449"/>
  <c r="M8" i="1449"/>
  <c r="AF7" i="1449"/>
  <c r="AB7" i="1449"/>
  <c r="Q7" i="1449"/>
  <c r="P7" i="1449"/>
  <c r="AC7" i="1449" s="1"/>
  <c r="O7" i="1449"/>
  <c r="M7" i="1449"/>
  <c r="K7" i="1449"/>
  <c r="AF6" i="1449"/>
  <c r="AB6" i="1449"/>
  <c r="Q6" i="1449"/>
  <c r="P6" i="1449"/>
  <c r="O6" i="1449"/>
  <c r="M6" i="1449"/>
  <c r="K6" i="1449"/>
  <c r="AE11" i="1451" l="1"/>
  <c r="AE9" i="1451"/>
  <c r="AE16" i="1451"/>
  <c r="AE10" i="1451"/>
  <c r="AE17" i="1451"/>
  <c r="AE8" i="1451"/>
  <c r="AE19" i="1451"/>
  <c r="AE12" i="1451"/>
  <c r="AE6" i="1451"/>
  <c r="AE15" i="1451"/>
  <c r="AE20" i="1451"/>
  <c r="AE18" i="1451"/>
  <c r="AE14" i="1451"/>
  <c r="AE13" i="1451"/>
  <c r="AD21" i="1450"/>
  <c r="AD7" i="1449"/>
  <c r="AD20" i="1449"/>
  <c r="AD11" i="1449"/>
  <c r="AD19" i="1449"/>
  <c r="Q22" i="1449"/>
  <c r="AD8" i="1449"/>
  <c r="AD16" i="1449"/>
  <c r="AD17" i="1449"/>
  <c r="AD10" i="1449"/>
  <c r="AD13" i="1449"/>
  <c r="AD15" i="1449"/>
  <c r="AD14" i="1449"/>
  <c r="AB9" i="1449"/>
  <c r="M12" i="1449"/>
  <c r="O9" i="1449"/>
  <c r="O12" i="1449"/>
  <c r="M9" i="1449"/>
  <c r="AB12" i="1449"/>
  <c r="AC6" i="1449"/>
  <c r="K22" i="1449"/>
  <c r="P9" i="1449"/>
  <c r="AC9" i="1449" s="1"/>
  <c r="AE18" i="1448"/>
  <c r="AE19" i="1448"/>
  <c r="AE20" i="1448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1" i="1448"/>
  <c r="K21" i="1448" s="1"/>
  <c r="L20" i="1448"/>
  <c r="O20" i="1448" s="1"/>
  <c r="AF19" i="1448"/>
  <c r="Q19" i="1448"/>
  <c r="P19" i="1448" s="1"/>
  <c r="AC19" i="1448" s="1"/>
  <c r="AB19" i="1448"/>
  <c r="K19" i="1448"/>
  <c r="AF17" i="1448"/>
  <c r="AB17" i="1448"/>
  <c r="Q17" i="1448"/>
  <c r="P17" i="1448" s="1"/>
  <c r="AC17" i="1448" s="1"/>
  <c r="O17" i="1448"/>
  <c r="M17" i="1448"/>
  <c r="K17" i="1448"/>
  <c r="K18" i="1448"/>
  <c r="K15" i="1448"/>
  <c r="L14" i="1448"/>
  <c r="K14" i="1448" s="1"/>
  <c r="L13" i="1448"/>
  <c r="K13" i="1448" s="1"/>
  <c r="L12" i="1448"/>
  <c r="O12" i="1448" s="1"/>
  <c r="L10" i="1448"/>
  <c r="K10" i="1448" s="1"/>
  <c r="L9" i="1448"/>
  <c r="K9" i="1448" s="1"/>
  <c r="A75" i="1448"/>
  <c r="A76" i="1448" s="1"/>
  <c r="A77" i="1448" s="1"/>
  <c r="A78" i="1448" s="1"/>
  <c r="A79" i="1448" s="1"/>
  <c r="A80" i="1448" s="1"/>
  <c r="A81" i="1448" s="1"/>
  <c r="A82" i="1448" s="1"/>
  <c r="AF61" i="1448"/>
  <c r="AF60" i="1448"/>
  <c r="AA22" i="1448"/>
  <c r="Z22" i="1448"/>
  <c r="Y22" i="1448"/>
  <c r="X22" i="1448"/>
  <c r="W22" i="1448"/>
  <c r="V22" i="1448"/>
  <c r="U22" i="1448"/>
  <c r="T22" i="1448"/>
  <c r="S22" i="1448"/>
  <c r="R22" i="1448"/>
  <c r="N22" i="1448"/>
  <c r="J22" i="1448"/>
  <c r="I22" i="1448"/>
  <c r="AF21" i="1448"/>
  <c r="Q21" i="1448"/>
  <c r="O21" i="1448"/>
  <c r="AF20" i="1448"/>
  <c r="Q20" i="1448"/>
  <c r="P20" i="1448" s="1"/>
  <c r="AC20" i="1448" s="1"/>
  <c r="AF18" i="1448"/>
  <c r="AB18" i="1448"/>
  <c r="Q18" i="1448"/>
  <c r="P18" i="1448" s="1"/>
  <c r="AC18" i="1448" s="1"/>
  <c r="O18" i="1448"/>
  <c r="M18" i="1448"/>
  <c r="AF16" i="1448"/>
  <c r="AB16" i="1448"/>
  <c r="Q16" i="1448"/>
  <c r="P16" i="1448"/>
  <c r="AC16" i="1448" s="1"/>
  <c r="O16" i="1448"/>
  <c r="M16" i="1448"/>
  <c r="K16" i="1448"/>
  <c r="AF15" i="1448"/>
  <c r="AB15" i="1448"/>
  <c r="Q15" i="1448"/>
  <c r="P15" i="1448"/>
  <c r="AC15" i="1448" s="1"/>
  <c r="O15" i="1448"/>
  <c r="M15" i="1448"/>
  <c r="AF14" i="1448"/>
  <c r="Q14" i="1448"/>
  <c r="AF13" i="1448"/>
  <c r="AB13" i="1448"/>
  <c r="Q13" i="1448"/>
  <c r="P13" i="1448" s="1"/>
  <c r="AC13" i="1448" s="1"/>
  <c r="O13" i="1448"/>
  <c r="M13" i="1448"/>
  <c r="AF12" i="1448"/>
  <c r="Q12" i="1448"/>
  <c r="AF11" i="1448"/>
  <c r="AB11" i="1448"/>
  <c r="Q11" i="1448"/>
  <c r="P11" i="1448"/>
  <c r="AC11" i="1448" s="1"/>
  <c r="O11" i="1448"/>
  <c r="M11" i="1448"/>
  <c r="K11" i="1448"/>
  <c r="AF10" i="1448"/>
  <c r="Q10" i="1448"/>
  <c r="M10" i="1448"/>
  <c r="AF9" i="1448"/>
  <c r="Q9" i="1448"/>
  <c r="P9" i="1448" s="1"/>
  <c r="AC9" i="1448" s="1"/>
  <c r="O9" i="1448"/>
  <c r="M9" i="1448"/>
  <c r="AF8" i="1448"/>
  <c r="AB8" i="1448"/>
  <c r="Q8" i="1448"/>
  <c r="P8" i="1448"/>
  <c r="AC8" i="1448" s="1"/>
  <c r="O8" i="1448"/>
  <c r="M8" i="1448"/>
  <c r="K8" i="1448"/>
  <c r="AF7" i="1448"/>
  <c r="AB7" i="1448"/>
  <c r="Q7" i="1448"/>
  <c r="P7" i="1448"/>
  <c r="AC7" i="1448" s="1"/>
  <c r="O7" i="1448"/>
  <c r="M7" i="1448"/>
  <c r="K7" i="1448"/>
  <c r="AF6" i="1448"/>
  <c r="AB6" i="1448"/>
  <c r="Q6" i="1448"/>
  <c r="P6" i="1448"/>
  <c r="AC6" i="1448" s="1"/>
  <c r="O6" i="1448"/>
  <c r="M6" i="1448"/>
  <c r="K6" i="1448"/>
  <c r="AE19" i="1450" l="1"/>
  <c r="AE17" i="1450"/>
  <c r="AE14" i="1450"/>
  <c r="AE12" i="1450"/>
  <c r="AE9" i="1450"/>
  <c r="AE6" i="1450"/>
  <c r="AE10" i="1450"/>
  <c r="AE20" i="1450"/>
  <c r="AE13" i="1450"/>
  <c r="AE7" i="1450"/>
  <c r="AE18" i="1450"/>
  <c r="AE16" i="1450"/>
  <c r="AE11" i="1450"/>
  <c r="AE8" i="1450"/>
  <c r="AE15" i="1450"/>
  <c r="AD12" i="1449"/>
  <c r="AB22" i="1449"/>
  <c r="P22" i="1449"/>
  <c r="M22" i="1449"/>
  <c r="AC22" i="1449"/>
  <c r="AD6" i="1449"/>
  <c r="AD9" i="1449"/>
  <c r="AB14" i="1448"/>
  <c r="K20" i="1448"/>
  <c r="AB10" i="1448"/>
  <c r="M14" i="1448"/>
  <c r="O14" i="1448"/>
  <c r="K12" i="1448"/>
  <c r="AD7" i="1448"/>
  <c r="AF63" i="1448"/>
  <c r="AD17" i="1448"/>
  <c r="M20" i="1448"/>
  <c r="AB20" i="1448"/>
  <c r="O19" i="1448"/>
  <c r="AD19" i="1448" s="1"/>
  <c r="M19" i="1448"/>
  <c r="AD8" i="1448"/>
  <c r="AD20" i="1448"/>
  <c r="P10" i="1448"/>
  <c r="AC10" i="1448" s="1"/>
  <c r="AD18" i="1448"/>
  <c r="P14" i="1448"/>
  <c r="AC14" i="1448" s="1"/>
  <c r="AD14" i="1448" s="1"/>
  <c r="AD13" i="1448"/>
  <c r="Q22" i="1448"/>
  <c r="AB9" i="1448"/>
  <c r="AD9" i="1448" s="1"/>
  <c r="AD11" i="1448"/>
  <c r="AD16" i="1448"/>
  <c r="AD15" i="1448"/>
  <c r="P12" i="1448"/>
  <c r="AC12" i="1448" s="1"/>
  <c r="K22" i="1448"/>
  <c r="P21" i="1448"/>
  <c r="AC21" i="1448" s="1"/>
  <c r="AD6" i="1448"/>
  <c r="O10" i="1448"/>
  <c r="M12" i="1448"/>
  <c r="AB12" i="1448"/>
  <c r="M21" i="1448"/>
  <c r="AB21" i="1448"/>
  <c r="L22" i="1448"/>
  <c r="O22" i="1448" s="1"/>
  <c r="Y18" i="16"/>
  <c r="Y17" i="16"/>
  <c r="Y16" i="16"/>
  <c r="Y15" i="16"/>
  <c r="Y14" i="16"/>
  <c r="Y13" i="16"/>
  <c r="Y12" i="16"/>
  <c r="Y11" i="16"/>
  <c r="Y10" i="16"/>
  <c r="Y8" i="16"/>
  <c r="Y6" i="16"/>
  <c r="Y5" i="16"/>
  <c r="Y4" i="16"/>
  <c r="Y3" i="16"/>
  <c r="K11" i="1447"/>
  <c r="K24" i="1447"/>
  <c r="AF21" i="1447"/>
  <c r="AB21" i="1447"/>
  <c r="Q21" i="1447"/>
  <c r="P21" i="1447" s="1"/>
  <c r="AC21" i="1447" s="1"/>
  <c r="O21" i="1447"/>
  <c r="M21" i="1447"/>
  <c r="K21" i="1447"/>
  <c r="L25" i="1447"/>
  <c r="K25" i="1447" s="1"/>
  <c r="K22" i="1447"/>
  <c r="AF22" i="1447"/>
  <c r="AB22" i="1447"/>
  <c r="Q22" i="1447"/>
  <c r="P22" i="1447" s="1"/>
  <c r="AC22" i="1447" s="1"/>
  <c r="O22" i="1447"/>
  <c r="M22" i="1447"/>
  <c r="K23" i="1447"/>
  <c r="K20" i="1447"/>
  <c r="L15" i="1447"/>
  <c r="O15" i="1447" s="1"/>
  <c r="AF14" i="1447"/>
  <c r="AB14" i="1447"/>
  <c r="Q14" i="1447"/>
  <c r="P14" i="1447" s="1"/>
  <c r="AC14" i="1447" s="1"/>
  <c r="O14" i="1447"/>
  <c r="M14" i="1447"/>
  <c r="K14" i="1447"/>
  <c r="AF13" i="1447"/>
  <c r="AB13" i="1447"/>
  <c r="Q13" i="1447"/>
  <c r="P13" i="1447" s="1"/>
  <c r="AC13" i="1447" s="1"/>
  <c r="O13" i="1447"/>
  <c r="M13" i="1447"/>
  <c r="K13" i="1447"/>
  <c r="L12" i="1447"/>
  <c r="K12" i="1447"/>
  <c r="L10" i="1447"/>
  <c r="O10" i="1447" s="1"/>
  <c r="K19" i="1447"/>
  <c r="K10" i="1447"/>
  <c r="K9" i="1447"/>
  <c r="A79" i="1447"/>
  <c r="A80" i="1447" s="1"/>
  <c r="A81" i="1447" s="1"/>
  <c r="A82" i="1447" s="1"/>
  <c r="A83" i="1447" s="1"/>
  <c r="A84" i="1447" s="1"/>
  <c r="A85" i="1447" s="1"/>
  <c r="A86" i="1447" s="1"/>
  <c r="AF65" i="1447"/>
  <c r="AF64" i="1447"/>
  <c r="AA26" i="1447"/>
  <c r="Z26" i="1447"/>
  <c r="Y26" i="1447"/>
  <c r="X26" i="1447"/>
  <c r="W26" i="1447"/>
  <c r="V26" i="1447"/>
  <c r="U26" i="1447"/>
  <c r="T26" i="1447"/>
  <c r="S26" i="1447"/>
  <c r="R26" i="1447"/>
  <c r="N26" i="1447"/>
  <c r="J26" i="1447"/>
  <c r="I26" i="1447"/>
  <c r="AF25" i="1447"/>
  <c r="Q25" i="1447"/>
  <c r="O25" i="1447"/>
  <c r="AF24" i="1447"/>
  <c r="Q24" i="1447"/>
  <c r="P24" i="1447" s="1"/>
  <c r="AC24" i="1447" s="1"/>
  <c r="O24" i="1447"/>
  <c r="AB24" i="1447"/>
  <c r="AF23" i="1447"/>
  <c r="AB23" i="1447"/>
  <c r="Q23" i="1447"/>
  <c r="P23" i="1447" s="1"/>
  <c r="AC23" i="1447" s="1"/>
  <c r="O23" i="1447"/>
  <c r="M23" i="1447"/>
  <c r="AF20" i="1447"/>
  <c r="AB20" i="1447"/>
  <c r="Q20" i="1447"/>
  <c r="P20" i="1447" s="1"/>
  <c r="AC20" i="1447" s="1"/>
  <c r="O20" i="1447"/>
  <c r="M20" i="1447"/>
  <c r="AF19" i="1447"/>
  <c r="AB19" i="1447"/>
  <c r="Q19" i="1447"/>
  <c r="P19" i="1447" s="1"/>
  <c r="AC19" i="1447" s="1"/>
  <c r="O19" i="1447"/>
  <c r="M19" i="1447"/>
  <c r="AF18" i="1447"/>
  <c r="AB18" i="1447"/>
  <c r="Q18" i="1447"/>
  <c r="P18" i="1447"/>
  <c r="AC18" i="1447" s="1"/>
  <c r="O18" i="1447"/>
  <c r="M18" i="1447"/>
  <c r="K18" i="1447"/>
  <c r="AF17" i="1447"/>
  <c r="AB17" i="1447"/>
  <c r="Q17" i="1447"/>
  <c r="P17" i="1447"/>
  <c r="AC17" i="1447" s="1"/>
  <c r="O17" i="1447"/>
  <c r="M17" i="1447"/>
  <c r="K17" i="1447"/>
  <c r="AF16" i="1447"/>
  <c r="AB16" i="1447"/>
  <c r="Q16" i="1447"/>
  <c r="P16" i="1447"/>
  <c r="AC16" i="1447" s="1"/>
  <c r="O16" i="1447"/>
  <c r="M16" i="1447"/>
  <c r="K16" i="1447"/>
  <c r="AF15" i="1447"/>
  <c r="Q15" i="1447"/>
  <c r="AF12" i="1447"/>
  <c r="Q12" i="1447"/>
  <c r="AB12" i="1447"/>
  <c r="AF11" i="1447"/>
  <c r="AB11" i="1447"/>
  <c r="Q11" i="1447"/>
  <c r="P11" i="1447"/>
  <c r="AC11" i="1447" s="1"/>
  <c r="O11" i="1447"/>
  <c r="M11" i="1447"/>
  <c r="AF10" i="1447"/>
  <c r="Q10" i="1447"/>
  <c r="P10" i="1447" s="1"/>
  <c r="AC10" i="1447" s="1"/>
  <c r="AF9" i="1447"/>
  <c r="AB9" i="1447"/>
  <c r="Q9" i="1447"/>
  <c r="P9" i="1447" s="1"/>
  <c r="AC9" i="1447" s="1"/>
  <c r="O9" i="1447"/>
  <c r="M9" i="1447"/>
  <c r="AF8" i="1447"/>
  <c r="AB8" i="1447"/>
  <c r="Q8" i="1447"/>
  <c r="P8" i="1447"/>
  <c r="AC8" i="1447" s="1"/>
  <c r="O8" i="1447"/>
  <c r="M8" i="1447"/>
  <c r="K8" i="1447"/>
  <c r="AF7" i="1447"/>
  <c r="AB7" i="1447"/>
  <c r="Q7" i="1447"/>
  <c r="P7" i="1447"/>
  <c r="AC7" i="1447" s="1"/>
  <c r="O7" i="1447"/>
  <c r="M7" i="1447"/>
  <c r="K7" i="1447"/>
  <c r="AF6" i="1447"/>
  <c r="AB6" i="1447"/>
  <c r="Q6" i="1447"/>
  <c r="P6" i="1447"/>
  <c r="O6" i="1447"/>
  <c r="M6" i="1447"/>
  <c r="K6" i="1447"/>
  <c r="AD22" i="1449" l="1"/>
  <c r="AD10" i="1448"/>
  <c r="M22" i="1448"/>
  <c r="AC22" i="1448"/>
  <c r="AB22" i="1448"/>
  <c r="AD12" i="1448"/>
  <c r="AD21" i="1448"/>
  <c r="P22" i="1448"/>
  <c r="P12" i="1447"/>
  <c r="AC12" i="1447" s="1"/>
  <c r="AD13" i="1447"/>
  <c r="L26" i="1447"/>
  <c r="O26" i="1447" s="1"/>
  <c r="AD21" i="1447"/>
  <c r="AD22" i="1447"/>
  <c r="AD14" i="1447"/>
  <c r="K15" i="1447"/>
  <c r="K26" i="1447" s="1"/>
  <c r="AF67" i="1447"/>
  <c r="AD9" i="1447"/>
  <c r="AD20" i="1447"/>
  <c r="Q26" i="1447"/>
  <c r="AD23" i="1447"/>
  <c r="AD8" i="1447"/>
  <c r="AD16" i="1447"/>
  <c r="AD7" i="1447"/>
  <c r="AD19" i="1447"/>
  <c r="AD18" i="1447"/>
  <c r="AD11" i="1447"/>
  <c r="AD17" i="1447"/>
  <c r="AD24" i="1447"/>
  <c r="M10" i="1447"/>
  <c r="AB10" i="1447"/>
  <c r="O12" i="1447"/>
  <c r="P15" i="1447"/>
  <c r="AC15" i="1447" s="1"/>
  <c r="M24" i="1447"/>
  <c r="P25" i="1447"/>
  <c r="AC25" i="1447" s="1"/>
  <c r="AC6" i="1447"/>
  <c r="M15" i="1447"/>
  <c r="AB15" i="1447"/>
  <c r="M25" i="1447"/>
  <c r="AB25" i="1447"/>
  <c r="M12" i="1447"/>
  <c r="AE20" i="1449" l="1"/>
  <c r="AE18" i="1449"/>
  <c r="AE19" i="1449"/>
  <c r="AE14" i="1449"/>
  <c r="AE10" i="1449"/>
  <c r="AE9" i="1449"/>
  <c r="AE15" i="1449"/>
  <c r="AE7" i="1449"/>
  <c r="AE17" i="1449"/>
  <c r="AE6" i="1449"/>
  <c r="AE13" i="1449"/>
  <c r="AE21" i="1449"/>
  <c r="AE8" i="1449"/>
  <c r="AE16" i="1449"/>
  <c r="AE12" i="1449"/>
  <c r="AE11" i="1449"/>
  <c r="AD22" i="1448"/>
  <c r="AE17" i="1448" s="1"/>
  <c r="AD12" i="1447"/>
  <c r="Y9" i="16" s="1"/>
  <c r="M26" i="1447"/>
  <c r="AB26" i="1447"/>
  <c r="AD10" i="1447"/>
  <c r="Y7" i="16" s="1"/>
  <c r="AC26" i="1447"/>
  <c r="AD6" i="1447"/>
  <c r="AD25" i="1447"/>
  <c r="AD15" i="1447"/>
  <c r="P26" i="1447"/>
  <c r="AE11" i="1448" l="1"/>
  <c r="AE6" i="1448"/>
  <c r="AE13" i="1448"/>
  <c r="AE21" i="1448"/>
  <c r="AE7" i="1448"/>
  <c r="AE14" i="1448"/>
  <c r="AE10" i="1448"/>
  <c r="AE9" i="1448"/>
  <c r="AE15" i="1448"/>
  <c r="AE12" i="1448"/>
  <c r="AE16" i="1448"/>
  <c r="AE8" i="1448"/>
  <c r="AD26" i="1447"/>
  <c r="AE21" i="1447" s="1"/>
  <c r="AE14" i="1447" l="1"/>
  <c r="AE22" i="1447"/>
  <c r="AE20" i="1447"/>
  <c r="AE15" i="1447"/>
  <c r="AE7" i="1447"/>
  <c r="AE12" i="1447"/>
  <c r="AE16" i="1447"/>
  <c r="AE13" i="1447"/>
  <c r="AE6" i="1447"/>
  <c r="AE9" i="1447"/>
  <c r="AE19" i="1447"/>
  <c r="AE18" i="1447"/>
  <c r="AE24" i="1447"/>
  <c r="AE23" i="1447"/>
  <c r="AE10" i="1447"/>
  <c r="AE11" i="1447"/>
  <c r="AE8" i="1447"/>
  <c r="AE25" i="1447"/>
  <c r="AE17" i="1447"/>
  <c r="X18" i="16" l="1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AF12" i="1446"/>
  <c r="AB12" i="1446"/>
  <c r="Q12" i="1446"/>
  <c r="P12" i="1446"/>
  <c r="AC12" i="1446" s="1"/>
  <c r="AD12" i="1446" s="1"/>
  <c r="O12" i="1446"/>
  <c r="M12" i="1446"/>
  <c r="K12" i="1446"/>
  <c r="L24" i="1446"/>
  <c r="O24" i="1446" s="1"/>
  <c r="AF23" i="1446"/>
  <c r="Q23" i="1446"/>
  <c r="L23" i="1446"/>
  <c r="AB23" i="1446" s="1"/>
  <c r="AF22" i="1446"/>
  <c r="AB22" i="1446"/>
  <c r="Q22" i="1446"/>
  <c r="P22" i="1446" s="1"/>
  <c r="AC22" i="1446" s="1"/>
  <c r="O22" i="1446"/>
  <c r="M22" i="1446"/>
  <c r="K22" i="1446"/>
  <c r="AF21" i="1446"/>
  <c r="AB21" i="1446"/>
  <c r="Q21" i="1446"/>
  <c r="P21" i="1446"/>
  <c r="AC21" i="1446" s="1"/>
  <c r="AD21" i="1446" s="1"/>
  <c r="O21" i="1446"/>
  <c r="M21" i="1446"/>
  <c r="K21" i="1446"/>
  <c r="L25" i="1446"/>
  <c r="L20" i="1446"/>
  <c r="K19" i="1446"/>
  <c r="L15" i="1446"/>
  <c r="K15" i="1446" s="1"/>
  <c r="L14" i="1446"/>
  <c r="K14" i="1446" s="1"/>
  <c r="K13" i="1446"/>
  <c r="L11" i="1446"/>
  <c r="K11" i="1446"/>
  <c r="K10" i="1446"/>
  <c r="AF10" i="1446"/>
  <c r="AB10" i="1446"/>
  <c r="Q10" i="1446"/>
  <c r="P10" i="1446"/>
  <c r="AC10" i="1446" s="1"/>
  <c r="O10" i="1446"/>
  <c r="M10" i="1446"/>
  <c r="K25" i="1446"/>
  <c r="K20" i="1446"/>
  <c r="K9" i="1446"/>
  <c r="A79" i="1446"/>
  <c r="A80" i="1446" s="1"/>
  <c r="A81" i="1446" s="1"/>
  <c r="A82" i="1446" s="1"/>
  <c r="A83" i="1446" s="1"/>
  <c r="A84" i="1446" s="1"/>
  <c r="A85" i="1446" s="1"/>
  <c r="A86" i="1446" s="1"/>
  <c r="AF65" i="1446"/>
  <c r="AF64" i="1446"/>
  <c r="AF67" i="1446" s="1"/>
  <c r="AA26" i="1446"/>
  <c r="Z26" i="1446"/>
  <c r="Y26" i="1446"/>
  <c r="X26" i="1446"/>
  <c r="W26" i="1446"/>
  <c r="V26" i="1446"/>
  <c r="U26" i="1446"/>
  <c r="T26" i="1446"/>
  <c r="S26" i="1446"/>
  <c r="R26" i="1446"/>
  <c r="N26" i="1446"/>
  <c r="J26" i="1446"/>
  <c r="I26" i="1446"/>
  <c r="AF25" i="1446"/>
  <c r="Q25" i="1446"/>
  <c r="O25" i="1446"/>
  <c r="AF24" i="1446"/>
  <c r="Q24" i="1446"/>
  <c r="P24" i="1446" s="1"/>
  <c r="AC24" i="1446" s="1"/>
  <c r="AF20" i="1446"/>
  <c r="AB20" i="1446"/>
  <c r="Q20" i="1446"/>
  <c r="O20" i="1446"/>
  <c r="M20" i="1446"/>
  <c r="AF19" i="1446"/>
  <c r="AB19" i="1446"/>
  <c r="Q19" i="1446"/>
  <c r="P19" i="1446" s="1"/>
  <c r="AC19" i="1446" s="1"/>
  <c r="O19" i="1446"/>
  <c r="M19" i="1446"/>
  <c r="AF18" i="1446"/>
  <c r="AB18" i="1446"/>
  <c r="Q18" i="1446"/>
  <c r="P18" i="1446"/>
  <c r="AC18" i="1446" s="1"/>
  <c r="O18" i="1446"/>
  <c r="M18" i="1446"/>
  <c r="K18" i="1446"/>
  <c r="AF17" i="1446"/>
  <c r="AB17" i="1446"/>
  <c r="Q17" i="1446"/>
  <c r="P17" i="1446"/>
  <c r="AC17" i="1446" s="1"/>
  <c r="O17" i="1446"/>
  <c r="M17" i="1446"/>
  <c r="K17" i="1446"/>
  <c r="AF16" i="1446"/>
  <c r="AB16" i="1446"/>
  <c r="Q16" i="1446"/>
  <c r="P16" i="1446"/>
  <c r="AC16" i="1446" s="1"/>
  <c r="O16" i="1446"/>
  <c r="M16" i="1446"/>
  <c r="K16" i="1446"/>
  <c r="AF15" i="1446"/>
  <c r="Q15" i="1446"/>
  <c r="P15" i="1446" s="1"/>
  <c r="AC15" i="1446" s="1"/>
  <c r="AF14" i="1446"/>
  <c r="Q14" i="1446"/>
  <c r="P14" i="1446" s="1"/>
  <c r="AC14" i="1446" s="1"/>
  <c r="O14" i="1446"/>
  <c r="AF13" i="1446"/>
  <c r="Q13" i="1446"/>
  <c r="P13" i="1446" s="1"/>
  <c r="AC13" i="1446" s="1"/>
  <c r="O13" i="1446"/>
  <c r="AB13" i="1446"/>
  <c r="AF11" i="1446"/>
  <c r="AB11" i="1446"/>
  <c r="Q11" i="1446"/>
  <c r="O11" i="1446"/>
  <c r="M11" i="1446"/>
  <c r="AF9" i="1446"/>
  <c r="Q9" i="1446"/>
  <c r="P9" i="1446"/>
  <c r="AC9" i="1446" s="1"/>
  <c r="AF8" i="1446"/>
  <c r="AB8" i="1446"/>
  <c r="Q8" i="1446"/>
  <c r="P8" i="1446"/>
  <c r="AC8" i="1446" s="1"/>
  <c r="O8" i="1446"/>
  <c r="M8" i="1446"/>
  <c r="K8" i="1446"/>
  <c r="AF7" i="1446"/>
  <c r="AB7" i="1446"/>
  <c r="Q7" i="1446"/>
  <c r="P7" i="1446"/>
  <c r="AC7" i="1446" s="1"/>
  <c r="O7" i="1446"/>
  <c r="M7" i="1446"/>
  <c r="K7" i="1446"/>
  <c r="AF6" i="1446"/>
  <c r="AB6" i="1446"/>
  <c r="Q6" i="1446"/>
  <c r="P6" i="1446"/>
  <c r="AC6" i="1446" s="1"/>
  <c r="O6" i="1446"/>
  <c r="M6" i="1446"/>
  <c r="K6" i="1446"/>
  <c r="O23" i="1446" l="1"/>
  <c r="AD7" i="1446"/>
  <c r="AD22" i="1446"/>
  <c r="K23" i="1446"/>
  <c r="P23" i="1446"/>
  <c r="AC23" i="1446" s="1"/>
  <c r="AD23" i="1446" s="1"/>
  <c r="M23" i="1446"/>
  <c r="AB24" i="1446"/>
  <c r="K24" i="1446"/>
  <c r="K26" i="1446" s="1"/>
  <c r="P11" i="1446"/>
  <c r="AC11" i="1446" s="1"/>
  <c r="AD11" i="1446" s="1"/>
  <c r="P25" i="1446"/>
  <c r="AC25" i="1446" s="1"/>
  <c r="P20" i="1446"/>
  <c r="AC20" i="1446" s="1"/>
  <c r="AD20" i="1446" s="1"/>
  <c r="AD10" i="1446"/>
  <c r="Q26" i="1446"/>
  <c r="AD8" i="1446"/>
  <c r="AD17" i="1446"/>
  <c r="AD18" i="1446"/>
  <c r="AD19" i="1446"/>
  <c r="AD16" i="1446"/>
  <c r="AD24" i="1446"/>
  <c r="AD6" i="1446"/>
  <c r="AD13" i="1446"/>
  <c r="AB9" i="1446"/>
  <c r="O9" i="1446"/>
  <c r="M25" i="1446"/>
  <c r="AB25" i="1446"/>
  <c r="L26" i="1446"/>
  <c r="O26" i="1446" s="1"/>
  <c r="M9" i="1446"/>
  <c r="M15" i="1446"/>
  <c r="AB15" i="1446"/>
  <c r="AD15" i="1446" s="1"/>
  <c r="M14" i="1446"/>
  <c r="AB14" i="1446"/>
  <c r="AD14" i="1446" s="1"/>
  <c r="O15" i="1446"/>
  <c r="M13" i="1446"/>
  <c r="M24" i="144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0" i="1445"/>
  <c r="K20" i="1445" s="1"/>
  <c r="L19" i="1445"/>
  <c r="L18" i="1445"/>
  <c r="K18" i="1445" s="1"/>
  <c r="L13" i="1445"/>
  <c r="K13" i="1445"/>
  <c r="L12" i="1445"/>
  <c r="K12" i="1445" s="1"/>
  <c r="L11" i="1445"/>
  <c r="K11" i="1445" s="1"/>
  <c r="L10" i="1445"/>
  <c r="P10" i="1445" s="1"/>
  <c r="AC10" i="1445" s="1"/>
  <c r="L9" i="1445"/>
  <c r="K9" i="1445" s="1"/>
  <c r="A74" i="1445"/>
  <c r="A75" i="1445" s="1"/>
  <c r="A76" i="1445" s="1"/>
  <c r="A77" i="1445" s="1"/>
  <c r="A78" i="1445" s="1"/>
  <c r="A79" i="1445" s="1"/>
  <c r="A80" i="1445" s="1"/>
  <c r="A81" i="1445" s="1"/>
  <c r="AF62" i="1445"/>
  <c r="AF60" i="1445"/>
  <c r="AF59" i="1445"/>
  <c r="AA21" i="1445"/>
  <c r="Z21" i="1445"/>
  <c r="Y21" i="1445"/>
  <c r="X21" i="1445"/>
  <c r="W21" i="1445"/>
  <c r="V21" i="1445"/>
  <c r="U21" i="1445"/>
  <c r="T21" i="1445"/>
  <c r="S21" i="1445"/>
  <c r="R21" i="1445"/>
  <c r="N21" i="1445"/>
  <c r="J21" i="1445"/>
  <c r="I21" i="1445"/>
  <c r="AF20" i="1445"/>
  <c r="AB20" i="1445"/>
  <c r="Q20" i="1445"/>
  <c r="P20" i="1445"/>
  <c r="AC20" i="1445" s="1"/>
  <c r="O20" i="1445"/>
  <c r="AF19" i="1445"/>
  <c r="AB19" i="1445"/>
  <c r="Q19" i="1445"/>
  <c r="P19" i="1445" s="1"/>
  <c r="AC19" i="1445" s="1"/>
  <c r="O19" i="1445"/>
  <c r="M19" i="1445"/>
  <c r="K19" i="1445"/>
  <c r="AF18" i="1445"/>
  <c r="AB18" i="1445"/>
  <c r="Q18" i="1445"/>
  <c r="P18" i="1445" s="1"/>
  <c r="AC18" i="1445" s="1"/>
  <c r="O18" i="1445"/>
  <c r="M18" i="1445"/>
  <c r="AF17" i="1445"/>
  <c r="AB17" i="1445"/>
  <c r="Q17" i="1445"/>
  <c r="P17" i="1445"/>
  <c r="AC17" i="1445" s="1"/>
  <c r="AD17" i="1445" s="1"/>
  <c r="O17" i="1445"/>
  <c r="M17" i="1445"/>
  <c r="K17" i="1445"/>
  <c r="AF16" i="1445"/>
  <c r="AB16" i="1445"/>
  <c r="Q16" i="1445"/>
  <c r="P16" i="1445"/>
  <c r="AC16" i="1445" s="1"/>
  <c r="O16" i="1445"/>
  <c r="M16" i="1445"/>
  <c r="K16" i="1445"/>
  <c r="AF15" i="1445"/>
  <c r="AC15" i="1445"/>
  <c r="AD15" i="1445" s="1"/>
  <c r="AB15" i="1445"/>
  <c r="Q15" i="1445"/>
  <c r="P15" i="1445"/>
  <c r="O15" i="1445"/>
  <c r="M15" i="1445"/>
  <c r="K15" i="1445"/>
  <c r="AF14" i="1445"/>
  <c r="AC14" i="1445"/>
  <c r="AB14" i="1445"/>
  <c r="Q14" i="1445"/>
  <c r="P14" i="1445"/>
  <c r="O14" i="1445"/>
  <c r="M14" i="1445"/>
  <c r="K14" i="1445"/>
  <c r="AF13" i="1445"/>
  <c r="Q13" i="1445"/>
  <c r="O13" i="1445"/>
  <c r="AB13" i="1445"/>
  <c r="AF12" i="1445"/>
  <c r="Q12" i="1445"/>
  <c r="AF11" i="1445"/>
  <c r="Q11" i="1445"/>
  <c r="P11" i="1445" s="1"/>
  <c r="AC11" i="1445" s="1"/>
  <c r="AF10" i="1445"/>
  <c r="Q10" i="1445"/>
  <c r="AF9" i="1445"/>
  <c r="AB9" i="1445"/>
  <c r="Q9" i="1445"/>
  <c r="P9" i="1445"/>
  <c r="AC9" i="1445" s="1"/>
  <c r="O9" i="1445"/>
  <c r="M9" i="1445"/>
  <c r="AF8" i="1445"/>
  <c r="AC8" i="1445"/>
  <c r="AD8" i="1445" s="1"/>
  <c r="AB8" i="1445"/>
  <c r="Q8" i="1445"/>
  <c r="P8" i="1445"/>
  <c r="O8" i="1445"/>
  <c r="M8" i="1445"/>
  <c r="K8" i="1445"/>
  <c r="AF7" i="1445"/>
  <c r="AC7" i="1445"/>
  <c r="AD7" i="1445" s="1"/>
  <c r="AB7" i="1445"/>
  <c r="Q7" i="1445"/>
  <c r="P7" i="1445"/>
  <c r="O7" i="1445"/>
  <c r="M7" i="1445"/>
  <c r="K7" i="1445"/>
  <c r="AF6" i="1445"/>
  <c r="AC6" i="1445"/>
  <c r="AB6" i="1445"/>
  <c r="Q6" i="1445"/>
  <c r="P6" i="1445"/>
  <c r="O6" i="1445"/>
  <c r="M6" i="1445"/>
  <c r="K6" i="1445"/>
  <c r="AD25" i="1446" l="1"/>
  <c r="AC26" i="1446"/>
  <c r="P26" i="1446"/>
  <c r="AB26" i="1446"/>
  <c r="M26" i="1446"/>
  <c r="AD9" i="1446"/>
  <c r="AD26" i="1446" s="1"/>
  <c r="M20" i="1445"/>
  <c r="AD19" i="1445"/>
  <c r="AB12" i="1445"/>
  <c r="O12" i="1445"/>
  <c r="M12" i="1445"/>
  <c r="P12" i="1445"/>
  <c r="AC12" i="1445" s="1"/>
  <c r="M10" i="1445"/>
  <c r="K10" i="1445"/>
  <c r="O10" i="1445"/>
  <c r="AB10" i="1445"/>
  <c r="AD10" i="1445" s="1"/>
  <c r="Q21" i="1445"/>
  <c r="AD9" i="1445"/>
  <c r="AD14" i="1445"/>
  <c r="AD18" i="1445"/>
  <c r="AD16" i="1445"/>
  <c r="K21" i="1445"/>
  <c r="AD20" i="1445"/>
  <c r="M11" i="1445"/>
  <c r="AB11" i="1445"/>
  <c r="P13" i="1445"/>
  <c r="AC13" i="1445" s="1"/>
  <c r="AD13" i="1445" s="1"/>
  <c r="L21" i="1445"/>
  <c r="O21" i="1445" s="1"/>
  <c r="O11" i="1445"/>
  <c r="AD6" i="1445"/>
  <c r="M13" i="1445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0" i="1444"/>
  <c r="K20" i="1444" s="1"/>
  <c r="L13" i="1444"/>
  <c r="K13" i="1444" s="1"/>
  <c r="L12" i="1444"/>
  <c r="K12" i="1444"/>
  <c r="L11" i="1444"/>
  <c r="L10" i="1444"/>
  <c r="K19" i="1444"/>
  <c r="K18" i="1444"/>
  <c r="K17" i="1444"/>
  <c r="K11" i="1444"/>
  <c r="K10" i="1444"/>
  <c r="A75" i="1444"/>
  <c r="A76" i="1444" s="1"/>
  <c r="A77" i="1444" s="1"/>
  <c r="A78" i="1444" s="1"/>
  <c r="A79" i="1444" s="1"/>
  <c r="A80" i="1444" s="1"/>
  <c r="A81" i="1444" s="1"/>
  <c r="A74" i="1444"/>
  <c r="AF60" i="1444"/>
  <c r="AF59" i="1444"/>
  <c r="AF62" i="1444" s="1"/>
  <c r="AA21" i="1444"/>
  <c r="Z21" i="1444"/>
  <c r="Y21" i="1444"/>
  <c r="X21" i="1444"/>
  <c r="W21" i="1444"/>
  <c r="V21" i="1444"/>
  <c r="U21" i="1444"/>
  <c r="T21" i="1444"/>
  <c r="S21" i="1444"/>
  <c r="R21" i="1444"/>
  <c r="N21" i="1444"/>
  <c r="J21" i="1444"/>
  <c r="I21" i="1444"/>
  <c r="AF20" i="1444"/>
  <c r="Q20" i="1444"/>
  <c r="O20" i="1444"/>
  <c r="AF19" i="1444"/>
  <c r="Q19" i="1444"/>
  <c r="P19" i="1444"/>
  <c r="AC19" i="1444" s="1"/>
  <c r="AB19" i="1444"/>
  <c r="AF18" i="1444"/>
  <c r="Q18" i="1444"/>
  <c r="P18" i="1444" s="1"/>
  <c r="AC18" i="1444" s="1"/>
  <c r="O18" i="1444"/>
  <c r="AB18" i="1444"/>
  <c r="AF17" i="1444"/>
  <c r="AC17" i="1444"/>
  <c r="AB17" i="1444"/>
  <c r="Q17" i="1444"/>
  <c r="P17" i="1444"/>
  <c r="O17" i="1444"/>
  <c r="M17" i="1444"/>
  <c r="AF16" i="1444"/>
  <c r="AB16" i="1444"/>
  <c r="Q16" i="1444"/>
  <c r="P16" i="1444"/>
  <c r="AC16" i="1444" s="1"/>
  <c r="AD16" i="1444" s="1"/>
  <c r="O16" i="1444"/>
  <c r="M16" i="1444"/>
  <c r="K16" i="1444"/>
  <c r="AF15" i="1444"/>
  <c r="AB15" i="1444"/>
  <c r="Q15" i="1444"/>
  <c r="P15" i="1444"/>
  <c r="AC15" i="1444" s="1"/>
  <c r="AD15" i="1444" s="1"/>
  <c r="O15" i="1444"/>
  <c r="M15" i="1444"/>
  <c r="K15" i="1444"/>
  <c r="AF14" i="1444"/>
  <c r="AB14" i="1444"/>
  <c r="Q14" i="1444"/>
  <c r="P14" i="1444"/>
  <c r="AC14" i="1444" s="1"/>
  <c r="O14" i="1444"/>
  <c r="M14" i="1444"/>
  <c r="K14" i="1444"/>
  <c r="AF13" i="1444"/>
  <c r="AB13" i="1444"/>
  <c r="Q13" i="1444"/>
  <c r="P13" i="1444"/>
  <c r="AC13" i="1444" s="1"/>
  <c r="O13" i="1444"/>
  <c r="M13" i="1444"/>
  <c r="AF12" i="1444"/>
  <c r="AB12" i="1444"/>
  <c r="Q12" i="1444"/>
  <c r="P12" i="1444" s="1"/>
  <c r="AC12" i="1444" s="1"/>
  <c r="M12" i="1444"/>
  <c r="AF11" i="1444"/>
  <c r="Q11" i="1444"/>
  <c r="O11" i="1444"/>
  <c r="AF10" i="1444"/>
  <c r="Q10" i="1444"/>
  <c r="P10" i="1444" s="1"/>
  <c r="AC10" i="1444" s="1"/>
  <c r="AB10" i="1444"/>
  <c r="AF9" i="1444"/>
  <c r="AC9" i="1444"/>
  <c r="AD9" i="1444" s="1"/>
  <c r="AB9" i="1444"/>
  <c r="Q9" i="1444"/>
  <c r="P9" i="1444"/>
  <c r="O9" i="1444"/>
  <c r="M9" i="1444"/>
  <c r="K9" i="1444"/>
  <c r="AF8" i="1444"/>
  <c r="AB8" i="1444"/>
  <c r="Q8" i="1444"/>
  <c r="P8" i="1444"/>
  <c r="AC8" i="1444" s="1"/>
  <c r="AD8" i="1444" s="1"/>
  <c r="O8" i="1444"/>
  <c r="M8" i="1444"/>
  <c r="K8" i="1444"/>
  <c r="AF7" i="1444"/>
  <c r="AC7" i="1444"/>
  <c r="AD7" i="1444" s="1"/>
  <c r="AB7" i="1444"/>
  <c r="Q7" i="1444"/>
  <c r="P7" i="1444"/>
  <c r="O7" i="1444"/>
  <c r="M7" i="1444"/>
  <c r="K7" i="1444"/>
  <c r="AF6" i="1444"/>
  <c r="AB6" i="1444"/>
  <c r="Q6" i="1444"/>
  <c r="P6" i="1444"/>
  <c r="AC6" i="1444" s="1"/>
  <c r="O6" i="1444"/>
  <c r="M6" i="1444"/>
  <c r="K6" i="1444"/>
  <c r="AE23" i="1446" l="1"/>
  <c r="AE12" i="1446"/>
  <c r="AE10" i="1446"/>
  <c r="AE22" i="1446"/>
  <c r="AE21" i="1446"/>
  <c r="AE20" i="1446"/>
  <c r="AE11" i="1446"/>
  <c r="AE7" i="1446"/>
  <c r="AE16" i="1446"/>
  <c r="AE13" i="1446"/>
  <c r="AE25" i="1446"/>
  <c r="AE9" i="1446"/>
  <c r="AE24" i="1446"/>
  <c r="AE18" i="1446"/>
  <c r="AE14" i="1446"/>
  <c r="AE8" i="1446"/>
  <c r="AE6" i="1446"/>
  <c r="AE19" i="1446"/>
  <c r="AE17" i="1446"/>
  <c r="AE15" i="1446"/>
  <c r="M21" i="1445"/>
  <c r="AD12" i="1445"/>
  <c r="AB21" i="1445"/>
  <c r="AD11" i="1445"/>
  <c r="AD21" i="1445" s="1"/>
  <c r="P21" i="1445"/>
  <c r="AC21" i="1445"/>
  <c r="Q21" i="1444"/>
  <c r="AD13" i="1444"/>
  <c r="AD14" i="1444"/>
  <c r="AD17" i="1444"/>
  <c r="AD6" i="1444"/>
  <c r="AD10" i="1444"/>
  <c r="AD18" i="1444"/>
  <c r="O10" i="1444"/>
  <c r="K21" i="1444"/>
  <c r="P11" i="1444"/>
  <c r="AC11" i="1444" s="1"/>
  <c r="M18" i="1444"/>
  <c r="O19" i="1444"/>
  <c r="AD19" i="1444" s="1"/>
  <c r="P20" i="1444"/>
  <c r="AC20" i="1444" s="1"/>
  <c r="M11" i="1444"/>
  <c r="AB11" i="1444"/>
  <c r="AB21" i="1444" s="1"/>
  <c r="O12" i="1444"/>
  <c r="AD12" i="1444" s="1"/>
  <c r="M20" i="1444"/>
  <c r="AB20" i="1444"/>
  <c r="L21" i="1444"/>
  <c r="O21" i="1444" s="1"/>
  <c r="M10" i="1444"/>
  <c r="M19" i="1444"/>
  <c r="L20" i="1443"/>
  <c r="O20" i="1443" s="1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18" i="1443"/>
  <c r="K18" i="1443"/>
  <c r="L19" i="1443"/>
  <c r="K19" i="1443"/>
  <c r="L17" i="1443"/>
  <c r="K17" i="1443"/>
  <c r="L13" i="1443"/>
  <c r="K13" i="1443" s="1"/>
  <c r="L12" i="1443"/>
  <c r="K12" i="1443" s="1"/>
  <c r="L11" i="1443"/>
  <c r="K11" i="1443" s="1"/>
  <c r="L10" i="1443"/>
  <c r="K10" i="1443"/>
  <c r="K20" i="1443"/>
  <c r="K14" i="1443"/>
  <c r="A75" i="1443"/>
  <c r="A76" i="1443" s="1"/>
  <c r="A77" i="1443" s="1"/>
  <c r="A78" i="1443" s="1"/>
  <c r="A79" i="1443" s="1"/>
  <c r="A80" i="1443" s="1"/>
  <c r="A81" i="1443" s="1"/>
  <c r="A74" i="1443"/>
  <c r="AF60" i="1443"/>
  <c r="AF59" i="1443"/>
  <c r="AF62" i="1443" s="1"/>
  <c r="AA21" i="1443"/>
  <c r="Z21" i="1443"/>
  <c r="Y21" i="1443"/>
  <c r="X21" i="1443"/>
  <c r="W21" i="1443"/>
  <c r="V21" i="1443"/>
  <c r="U21" i="1443"/>
  <c r="T21" i="1443"/>
  <c r="S21" i="1443"/>
  <c r="R21" i="1443"/>
  <c r="N21" i="1443"/>
  <c r="J21" i="1443"/>
  <c r="I21" i="1443"/>
  <c r="AF20" i="1443"/>
  <c r="Q20" i="1443"/>
  <c r="AF19" i="1443"/>
  <c r="AB19" i="1443"/>
  <c r="Q19" i="1443"/>
  <c r="P19" i="1443" s="1"/>
  <c r="AC19" i="1443" s="1"/>
  <c r="O19" i="1443"/>
  <c r="M19" i="1443"/>
  <c r="AF18" i="1443"/>
  <c r="AB18" i="1443"/>
  <c r="Q18" i="1443"/>
  <c r="M18" i="1443"/>
  <c r="AF17" i="1443"/>
  <c r="AB17" i="1443"/>
  <c r="Q17" i="1443"/>
  <c r="P17" i="1443" s="1"/>
  <c r="AC17" i="1443" s="1"/>
  <c r="O17" i="1443"/>
  <c r="M17" i="1443"/>
  <c r="AF16" i="1443"/>
  <c r="AB16" i="1443"/>
  <c r="Q16" i="1443"/>
  <c r="P16" i="1443"/>
  <c r="AC16" i="1443" s="1"/>
  <c r="AD16" i="1443" s="1"/>
  <c r="O16" i="1443"/>
  <c r="M16" i="1443"/>
  <c r="K16" i="1443"/>
  <c r="AF15" i="1443"/>
  <c r="AB15" i="1443"/>
  <c r="Q15" i="1443"/>
  <c r="P15" i="1443"/>
  <c r="AC15" i="1443" s="1"/>
  <c r="O15" i="1443"/>
  <c r="M15" i="1443"/>
  <c r="K15" i="1443"/>
  <c r="AF14" i="1443"/>
  <c r="AB14" i="1443"/>
  <c r="Q14" i="1443"/>
  <c r="P14" i="1443" s="1"/>
  <c r="AC14" i="1443" s="1"/>
  <c r="O14" i="1443"/>
  <c r="M14" i="1443"/>
  <c r="AF13" i="1443"/>
  <c r="AB13" i="1443"/>
  <c r="Q13" i="1443"/>
  <c r="P13" i="1443" s="1"/>
  <c r="AC13" i="1443" s="1"/>
  <c r="O13" i="1443"/>
  <c r="M13" i="1443"/>
  <c r="AF12" i="1443"/>
  <c r="AB12" i="1443"/>
  <c r="Q12" i="1443"/>
  <c r="O12" i="1443"/>
  <c r="M12" i="1443"/>
  <c r="P12" i="1443"/>
  <c r="AC12" i="1443" s="1"/>
  <c r="AF11" i="1443"/>
  <c r="Q11" i="1443"/>
  <c r="AF10" i="1443"/>
  <c r="AB10" i="1443"/>
  <c r="Q10" i="1443"/>
  <c r="M10" i="1443"/>
  <c r="AF9" i="1443"/>
  <c r="AC9" i="1443"/>
  <c r="AD9" i="1443" s="1"/>
  <c r="AB9" i="1443"/>
  <c r="Q9" i="1443"/>
  <c r="P9" i="1443"/>
  <c r="O9" i="1443"/>
  <c r="M9" i="1443"/>
  <c r="K9" i="1443"/>
  <c r="AF8" i="1443"/>
  <c r="AB8" i="1443"/>
  <c r="Q8" i="1443"/>
  <c r="P8" i="1443"/>
  <c r="AC8" i="1443" s="1"/>
  <c r="AD8" i="1443" s="1"/>
  <c r="O8" i="1443"/>
  <c r="M8" i="1443"/>
  <c r="K8" i="1443"/>
  <c r="AF7" i="1443"/>
  <c r="AC7" i="1443"/>
  <c r="AD7" i="1443" s="1"/>
  <c r="AB7" i="1443"/>
  <c r="Q7" i="1443"/>
  <c r="P7" i="1443"/>
  <c r="O7" i="1443"/>
  <c r="M7" i="1443"/>
  <c r="K7" i="1443"/>
  <c r="AF6" i="1443"/>
  <c r="AB6" i="1443"/>
  <c r="Q6" i="1443"/>
  <c r="P6" i="1443"/>
  <c r="O6" i="1443"/>
  <c r="M6" i="1443"/>
  <c r="K6" i="1443"/>
  <c r="AE12" i="1445" l="1"/>
  <c r="AE13" i="1445"/>
  <c r="AE9" i="1445"/>
  <c r="AE7" i="1445"/>
  <c r="AE16" i="1445"/>
  <c r="AE19" i="1445"/>
  <c r="AE17" i="1445"/>
  <c r="AE15" i="1445"/>
  <c r="AE8" i="1445"/>
  <c r="AE6" i="1445"/>
  <c r="AE20" i="1445"/>
  <c r="AE10" i="1445"/>
  <c r="AE18" i="1445"/>
  <c r="AE14" i="1445"/>
  <c r="AE11" i="1445"/>
  <c r="AD20" i="1444"/>
  <c r="M21" i="1444"/>
  <c r="P21" i="1444"/>
  <c r="AD11" i="1444"/>
  <c r="AD21" i="1444" s="1"/>
  <c r="AC21" i="1444"/>
  <c r="P18" i="1443"/>
  <c r="AC18" i="1443" s="1"/>
  <c r="O18" i="1443"/>
  <c r="AD17" i="1443"/>
  <c r="AD12" i="1443"/>
  <c r="O11" i="1443"/>
  <c r="Q21" i="1443"/>
  <c r="P10" i="1443"/>
  <c r="AC10" i="1443" s="1"/>
  <c r="O10" i="1443"/>
  <c r="AD13" i="1443"/>
  <c r="AD15" i="1443"/>
  <c r="AD14" i="1443"/>
  <c r="AD19" i="1443"/>
  <c r="AB11" i="1443"/>
  <c r="M20" i="1443"/>
  <c r="L21" i="1443"/>
  <c r="O21" i="1443" s="1"/>
  <c r="AC6" i="1443"/>
  <c r="P11" i="1443"/>
  <c r="AC11" i="1443" s="1"/>
  <c r="P20" i="1443"/>
  <c r="AC20" i="1443" s="1"/>
  <c r="M11" i="1443"/>
  <c r="AB20" i="1443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0" i="1442"/>
  <c r="K14" i="1442"/>
  <c r="L12" i="1442"/>
  <c r="M12" i="1442" s="1"/>
  <c r="L11" i="1442"/>
  <c r="K20" i="1442"/>
  <c r="K18" i="1442"/>
  <c r="K17" i="1442"/>
  <c r="K15" i="1442"/>
  <c r="K12" i="1442"/>
  <c r="K9" i="1442"/>
  <c r="A75" i="1442"/>
  <c r="A76" i="1442" s="1"/>
  <c r="A77" i="1442" s="1"/>
  <c r="A78" i="1442" s="1"/>
  <c r="A79" i="1442" s="1"/>
  <c r="A80" i="1442" s="1"/>
  <c r="A81" i="1442" s="1"/>
  <c r="A74" i="1442"/>
  <c r="AF60" i="1442"/>
  <c r="AF59" i="1442"/>
  <c r="AA21" i="1442"/>
  <c r="Z21" i="1442"/>
  <c r="Y21" i="1442"/>
  <c r="X21" i="1442"/>
  <c r="W21" i="1442"/>
  <c r="V21" i="1442"/>
  <c r="U21" i="1442"/>
  <c r="T21" i="1442"/>
  <c r="S21" i="1442"/>
  <c r="R21" i="1442"/>
  <c r="N21" i="1442"/>
  <c r="J21" i="1442"/>
  <c r="I21" i="1442"/>
  <c r="AF20" i="1442"/>
  <c r="Q20" i="1442"/>
  <c r="O20" i="1442"/>
  <c r="AF19" i="1442"/>
  <c r="AB19" i="1442"/>
  <c r="Q19" i="1442"/>
  <c r="P19" i="1442"/>
  <c r="AC19" i="1442" s="1"/>
  <c r="O19" i="1442"/>
  <c r="M19" i="1442"/>
  <c r="K19" i="1442"/>
  <c r="AF18" i="1442"/>
  <c r="AB18" i="1442"/>
  <c r="Q18" i="1442"/>
  <c r="P18" i="1442"/>
  <c r="AC18" i="1442" s="1"/>
  <c r="M18" i="1442"/>
  <c r="O18" i="1442"/>
  <c r="AF17" i="1442"/>
  <c r="Q17" i="1442"/>
  <c r="O17" i="1442"/>
  <c r="AF16" i="1442"/>
  <c r="AB16" i="1442"/>
  <c r="Q16" i="1442"/>
  <c r="P16" i="1442"/>
  <c r="AC16" i="1442" s="1"/>
  <c r="O16" i="1442"/>
  <c r="M16" i="1442"/>
  <c r="K16" i="1442"/>
  <c r="AF15" i="1442"/>
  <c r="AB15" i="1442"/>
  <c r="Q15" i="1442"/>
  <c r="P15" i="1442"/>
  <c r="AC15" i="1442" s="1"/>
  <c r="O15" i="1442"/>
  <c r="M15" i="1442"/>
  <c r="AF14" i="1442"/>
  <c r="AB14" i="1442"/>
  <c r="Q14" i="1442"/>
  <c r="P14" i="1442"/>
  <c r="AC14" i="1442" s="1"/>
  <c r="O14" i="1442"/>
  <c r="M14" i="1442"/>
  <c r="AF13" i="1442"/>
  <c r="AB13" i="1442"/>
  <c r="Q13" i="1442"/>
  <c r="P13" i="1442"/>
  <c r="AC13" i="1442" s="1"/>
  <c r="O13" i="1442"/>
  <c r="M13" i="1442"/>
  <c r="K13" i="1442"/>
  <c r="AF12" i="1442"/>
  <c r="AB12" i="1442"/>
  <c r="Q12" i="1442"/>
  <c r="P12" i="1442" s="1"/>
  <c r="AC12" i="1442" s="1"/>
  <c r="O12" i="1442"/>
  <c r="AF11" i="1442"/>
  <c r="Q11" i="1442"/>
  <c r="O11" i="1442"/>
  <c r="AF10" i="1442"/>
  <c r="AB10" i="1442"/>
  <c r="Q10" i="1442"/>
  <c r="P10" i="1442"/>
  <c r="AC10" i="1442" s="1"/>
  <c r="O10" i="1442"/>
  <c r="M10" i="1442"/>
  <c r="K10" i="1442"/>
  <c r="AF9" i="1442"/>
  <c r="AB9" i="1442"/>
  <c r="Q9" i="1442"/>
  <c r="P9" i="1442"/>
  <c r="AC9" i="1442" s="1"/>
  <c r="M9" i="1442"/>
  <c r="AF8" i="1442"/>
  <c r="AB8" i="1442"/>
  <c r="Q8" i="1442"/>
  <c r="P8" i="1442"/>
  <c r="AC8" i="1442" s="1"/>
  <c r="AD8" i="1442" s="1"/>
  <c r="O8" i="1442"/>
  <c r="M8" i="1442"/>
  <c r="K8" i="1442"/>
  <c r="AF7" i="1442"/>
  <c r="AB7" i="1442"/>
  <c r="Q7" i="1442"/>
  <c r="P7" i="1442"/>
  <c r="AC7" i="1442" s="1"/>
  <c r="AD7" i="1442" s="1"/>
  <c r="O7" i="1442"/>
  <c r="M7" i="1442"/>
  <c r="K7" i="1442"/>
  <c r="AF6" i="1442"/>
  <c r="AB6" i="1442"/>
  <c r="Q6" i="1442"/>
  <c r="P6" i="1442"/>
  <c r="AC6" i="1442" s="1"/>
  <c r="O6" i="1442"/>
  <c r="M6" i="1442"/>
  <c r="K6" i="1442"/>
  <c r="AE18" i="1444" l="1"/>
  <c r="AE15" i="1444"/>
  <c r="AE13" i="1444"/>
  <c r="AE9" i="1444"/>
  <c r="AE7" i="1444"/>
  <c r="AE16" i="1444"/>
  <c r="AE19" i="1444"/>
  <c r="AE10" i="1444"/>
  <c r="AE6" i="1444"/>
  <c r="AE17" i="1444"/>
  <c r="AE12" i="1444"/>
  <c r="AE20" i="1444"/>
  <c r="AE14" i="1444"/>
  <c r="AE11" i="1444"/>
  <c r="AE8" i="1444"/>
  <c r="M21" i="1443"/>
  <c r="AD18" i="1443"/>
  <c r="AD11" i="1443"/>
  <c r="AB21" i="1443"/>
  <c r="AD10" i="1443"/>
  <c r="K21" i="1443"/>
  <c r="AD20" i="1443"/>
  <c r="U17" i="16" s="1"/>
  <c r="AC21" i="1443"/>
  <c r="AD6" i="1443"/>
  <c r="P21" i="1443"/>
  <c r="L21" i="1442"/>
  <c r="O21" i="1442" s="1"/>
  <c r="AD18" i="1442"/>
  <c r="K11" i="1442"/>
  <c r="AF62" i="1442"/>
  <c r="AD14" i="1442"/>
  <c r="Q21" i="1442"/>
  <c r="AD15" i="1442"/>
  <c r="AD10" i="1442"/>
  <c r="AD13" i="1442"/>
  <c r="AD16" i="1442"/>
  <c r="AD19" i="1442"/>
  <c r="AD12" i="1442"/>
  <c r="AD6" i="1442"/>
  <c r="K21" i="1442"/>
  <c r="P11" i="1442"/>
  <c r="AC11" i="1442" s="1"/>
  <c r="P17" i="1442"/>
  <c r="AC17" i="1442" s="1"/>
  <c r="P20" i="1442"/>
  <c r="AC20" i="1442" s="1"/>
  <c r="O9" i="1442"/>
  <c r="AD9" i="1442" s="1"/>
  <c r="M11" i="1442"/>
  <c r="AB11" i="1442"/>
  <c r="M17" i="1442"/>
  <c r="AB17" i="1442"/>
  <c r="M20" i="1442"/>
  <c r="AB20" i="1442"/>
  <c r="Q18" i="16"/>
  <c r="Q17" i="16"/>
  <c r="Q16" i="16"/>
  <c r="Q15" i="16"/>
  <c r="Q14" i="16"/>
  <c r="Q13" i="16"/>
  <c r="Q12" i="16"/>
  <c r="Q11" i="16"/>
  <c r="Q10" i="16"/>
  <c r="Q9" i="16"/>
  <c r="Q8" i="16"/>
  <c r="L21" i="1441"/>
  <c r="K21" i="1441"/>
  <c r="L19" i="1441"/>
  <c r="AD21" i="1443" l="1"/>
  <c r="AD20" i="1442"/>
  <c r="M21" i="1442"/>
  <c r="AD11" i="1442"/>
  <c r="AB21" i="1442"/>
  <c r="AC21" i="1442"/>
  <c r="AD17" i="1442"/>
  <c r="P21" i="1442"/>
  <c r="K19" i="1441"/>
  <c r="L18" i="1441"/>
  <c r="AE18" i="1443" l="1"/>
  <c r="U18" i="16"/>
  <c r="AE12" i="1443"/>
  <c r="AE6" i="1443"/>
  <c r="AE8" i="1443"/>
  <c r="AE14" i="1443"/>
  <c r="AE17" i="1443"/>
  <c r="AE10" i="1443"/>
  <c r="AE7" i="1443"/>
  <c r="AE13" i="1443"/>
  <c r="AE20" i="1443"/>
  <c r="AE19" i="1443"/>
  <c r="AE16" i="1443"/>
  <c r="AE11" i="1443"/>
  <c r="AE15" i="1443"/>
  <c r="AE9" i="1443"/>
  <c r="AD21" i="1442"/>
  <c r="AE11" i="1442" s="1"/>
  <c r="AF16" i="1441"/>
  <c r="AB16" i="1441"/>
  <c r="Q16" i="1441"/>
  <c r="P16" i="1441" s="1"/>
  <c r="AC16" i="1441" s="1"/>
  <c r="O16" i="1441"/>
  <c r="M16" i="1441"/>
  <c r="K16" i="1441"/>
  <c r="K15" i="1441"/>
  <c r="K14" i="1441"/>
  <c r="L12" i="1441"/>
  <c r="K12" i="1441" s="1"/>
  <c r="L11" i="1441"/>
  <c r="O11" i="1441" s="1"/>
  <c r="L9" i="1441"/>
  <c r="K20" i="1441"/>
  <c r="K18" i="1441"/>
  <c r="K9" i="1441"/>
  <c r="A75" i="1441"/>
  <c r="A76" i="1441" s="1"/>
  <c r="A77" i="1441" s="1"/>
  <c r="A78" i="1441" s="1"/>
  <c r="A79" i="1441" s="1"/>
  <c r="A80" i="1441" s="1"/>
  <c r="A81" i="1441" s="1"/>
  <c r="A82" i="1441" s="1"/>
  <c r="AF61" i="1441"/>
  <c r="AF60" i="1441"/>
  <c r="AA22" i="1441"/>
  <c r="Z22" i="1441"/>
  <c r="Y22" i="1441"/>
  <c r="X22" i="1441"/>
  <c r="W22" i="1441"/>
  <c r="V22" i="1441"/>
  <c r="U22" i="1441"/>
  <c r="T22" i="1441"/>
  <c r="S22" i="1441"/>
  <c r="R22" i="1441"/>
  <c r="N22" i="1441"/>
  <c r="J22" i="1441"/>
  <c r="I22" i="1441"/>
  <c r="AF21" i="1441"/>
  <c r="Q21" i="1441"/>
  <c r="P21" i="1441" s="1"/>
  <c r="AC21" i="1441" s="1"/>
  <c r="O21" i="1441"/>
  <c r="AF20" i="1441"/>
  <c r="Q20" i="1441"/>
  <c r="P20" i="1441"/>
  <c r="AC20" i="1441" s="1"/>
  <c r="O20" i="1441"/>
  <c r="AB20" i="1441"/>
  <c r="AF19" i="1441"/>
  <c r="AB19" i="1441"/>
  <c r="Q19" i="1441"/>
  <c r="P19" i="1441" s="1"/>
  <c r="AC19" i="1441" s="1"/>
  <c r="O19" i="1441"/>
  <c r="M19" i="1441"/>
  <c r="AF18" i="1441"/>
  <c r="Q18" i="1441"/>
  <c r="P18" i="1441" s="1"/>
  <c r="AC18" i="1441" s="1"/>
  <c r="AF17" i="1441"/>
  <c r="AB17" i="1441"/>
  <c r="Q17" i="1441"/>
  <c r="P17" i="1441"/>
  <c r="AC17" i="1441" s="1"/>
  <c r="O17" i="1441"/>
  <c r="M17" i="1441"/>
  <c r="K17" i="1441"/>
  <c r="AF15" i="1441"/>
  <c r="AB15" i="1441"/>
  <c r="Q15" i="1441"/>
  <c r="P15" i="1441" s="1"/>
  <c r="AC15" i="1441" s="1"/>
  <c r="O15" i="1441"/>
  <c r="M15" i="1441"/>
  <c r="AF14" i="1441"/>
  <c r="AB14" i="1441"/>
  <c r="Q14" i="1441"/>
  <c r="P14" i="1441" s="1"/>
  <c r="AC14" i="1441" s="1"/>
  <c r="O14" i="1441"/>
  <c r="M14" i="1441"/>
  <c r="AF13" i="1441"/>
  <c r="AB13" i="1441"/>
  <c r="Q13" i="1441"/>
  <c r="P13" i="1441"/>
  <c r="AC13" i="1441" s="1"/>
  <c r="O13" i="1441"/>
  <c r="M13" i="1441"/>
  <c r="K13" i="1441"/>
  <c r="AF12" i="1441"/>
  <c r="Q12" i="1441"/>
  <c r="AF11" i="1441"/>
  <c r="Q11" i="1441"/>
  <c r="AF10" i="1441"/>
  <c r="AB10" i="1441"/>
  <c r="Q10" i="1441"/>
  <c r="P10" i="1441"/>
  <c r="AC10" i="1441" s="1"/>
  <c r="O10" i="1441"/>
  <c r="M10" i="1441"/>
  <c r="K10" i="1441"/>
  <c r="AF9" i="1441"/>
  <c r="Q9" i="1441"/>
  <c r="P9" i="1441" s="1"/>
  <c r="AC9" i="1441" s="1"/>
  <c r="O9" i="1441"/>
  <c r="AF8" i="1441"/>
  <c r="AB8" i="1441"/>
  <c r="Q8" i="1441"/>
  <c r="P8" i="1441"/>
  <c r="AC8" i="1441" s="1"/>
  <c r="O8" i="1441"/>
  <c r="M8" i="1441"/>
  <c r="K8" i="1441"/>
  <c r="AF7" i="1441"/>
  <c r="AB7" i="1441"/>
  <c r="Q7" i="1441"/>
  <c r="P7" i="1441"/>
  <c r="AC7" i="1441" s="1"/>
  <c r="O7" i="1441"/>
  <c r="M7" i="1441"/>
  <c r="K7" i="1441"/>
  <c r="AF6" i="1441"/>
  <c r="AC6" i="1441"/>
  <c r="AB6" i="1441"/>
  <c r="Q6" i="1441"/>
  <c r="P6" i="1441"/>
  <c r="O6" i="1441"/>
  <c r="M6" i="1441"/>
  <c r="K6" i="1441"/>
  <c r="AE14" i="1442" l="1"/>
  <c r="AE20" i="1442"/>
  <c r="AE19" i="1442"/>
  <c r="AE9" i="1442"/>
  <c r="AE18" i="1442"/>
  <c r="AE13" i="1442"/>
  <c r="AE8" i="1442"/>
  <c r="AE7" i="1442"/>
  <c r="AE15" i="1442"/>
  <c r="AE10" i="1442"/>
  <c r="AE6" i="1442"/>
  <c r="AE12" i="1442"/>
  <c r="AE17" i="1442"/>
  <c r="AE16" i="1442"/>
  <c r="P12" i="1441"/>
  <c r="AC12" i="1441" s="1"/>
  <c r="AF63" i="1441"/>
  <c r="AD16" i="1441"/>
  <c r="AD7" i="1441"/>
  <c r="Q4" i="16" s="1"/>
  <c r="AD17" i="1441"/>
  <c r="Q22" i="1441"/>
  <c r="P11" i="1441"/>
  <c r="AC11" i="1441" s="1"/>
  <c r="AC22" i="1441" s="1"/>
  <c r="K11" i="1441"/>
  <c r="K22" i="1441" s="1"/>
  <c r="AD19" i="1441"/>
  <c r="AD8" i="1441"/>
  <c r="Q5" i="16" s="1"/>
  <c r="AD10" i="1441"/>
  <c r="Q7" i="16" s="1"/>
  <c r="AD13" i="1441"/>
  <c r="AD14" i="1441"/>
  <c r="AD15" i="1441"/>
  <c r="AD20" i="1441"/>
  <c r="AB12" i="1441"/>
  <c r="AB18" i="1441"/>
  <c r="M9" i="1441"/>
  <c r="AB9" i="1441"/>
  <c r="AD9" i="1441" s="1"/>
  <c r="Q6" i="16" s="1"/>
  <c r="M11" i="1441"/>
  <c r="AB11" i="1441"/>
  <c r="O12" i="1441"/>
  <c r="O18" i="1441"/>
  <c r="M21" i="1441"/>
  <c r="AB21" i="1441"/>
  <c r="AD21" i="1441" s="1"/>
  <c r="L22" i="1441"/>
  <c r="O22" i="1441" s="1"/>
  <c r="AD6" i="1441"/>
  <c r="Q3" i="16" s="1"/>
  <c r="M12" i="1441"/>
  <c r="M18" i="1441"/>
  <c r="M20" i="1441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1440"/>
  <c r="L20" i="1440"/>
  <c r="L19" i="1440"/>
  <c r="AB19" i="1440" s="1"/>
  <c r="L18" i="1440"/>
  <c r="AB18" i="1440" s="1"/>
  <c r="K18" i="1440"/>
  <c r="L16" i="1440"/>
  <c r="K16" i="1440" s="1"/>
  <c r="L13" i="1440"/>
  <c r="K13" i="1440" s="1"/>
  <c r="L12" i="1440"/>
  <c r="K12" i="1440"/>
  <c r="AF12" i="1440"/>
  <c r="AB12" i="1440"/>
  <c r="Q12" i="1440"/>
  <c r="O12" i="1440"/>
  <c r="M12" i="1440"/>
  <c r="L11" i="1440"/>
  <c r="L9" i="1440"/>
  <c r="K9" i="1440" s="1"/>
  <c r="K21" i="1440"/>
  <c r="K20" i="1440"/>
  <c r="K14" i="1440"/>
  <c r="K11" i="1440"/>
  <c r="K10" i="1440"/>
  <c r="K8" i="1440"/>
  <c r="A76" i="1440"/>
  <c r="A77" i="1440" s="1"/>
  <c r="A78" i="1440" s="1"/>
  <c r="A79" i="1440" s="1"/>
  <c r="A80" i="1440" s="1"/>
  <c r="A81" i="1440" s="1"/>
  <c r="A82" i="1440" s="1"/>
  <c r="A75" i="1440"/>
  <c r="AF61" i="1440"/>
  <c r="AF60" i="1440"/>
  <c r="AF63" i="1440" s="1"/>
  <c r="AA22" i="1440"/>
  <c r="Z22" i="1440"/>
  <c r="Y22" i="1440"/>
  <c r="X22" i="1440"/>
  <c r="W22" i="1440"/>
  <c r="V22" i="1440"/>
  <c r="U22" i="1440"/>
  <c r="T22" i="1440"/>
  <c r="S22" i="1440"/>
  <c r="R22" i="1440"/>
  <c r="N22" i="1440"/>
  <c r="J22" i="1440"/>
  <c r="I22" i="1440"/>
  <c r="AF21" i="1440"/>
  <c r="Q21" i="1440"/>
  <c r="P21" i="1440"/>
  <c r="AC21" i="1440" s="1"/>
  <c r="AF20" i="1440"/>
  <c r="Q20" i="1440"/>
  <c r="P20" i="1440" s="1"/>
  <c r="AC20" i="1440" s="1"/>
  <c r="O20" i="1440"/>
  <c r="AF19" i="1440"/>
  <c r="Q19" i="1440"/>
  <c r="AF18" i="1440"/>
  <c r="Q18" i="1440"/>
  <c r="P18" i="1440" s="1"/>
  <c r="AC18" i="1440" s="1"/>
  <c r="O18" i="1440"/>
  <c r="AF17" i="1440"/>
  <c r="AB17" i="1440"/>
  <c r="Q17" i="1440"/>
  <c r="P17" i="1440"/>
  <c r="AC17" i="1440" s="1"/>
  <c r="O17" i="1440"/>
  <c r="M17" i="1440"/>
  <c r="K17" i="1440"/>
  <c r="AF16" i="1440"/>
  <c r="AB16" i="1440"/>
  <c r="Q16" i="1440"/>
  <c r="M16" i="1440"/>
  <c r="AF15" i="1440"/>
  <c r="AB15" i="1440"/>
  <c r="Q15" i="1440"/>
  <c r="P15" i="1440"/>
  <c r="AC15" i="1440" s="1"/>
  <c r="O15" i="1440"/>
  <c r="M15" i="1440"/>
  <c r="K15" i="1440"/>
  <c r="AF14" i="1440"/>
  <c r="Q14" i="1440"/>
  <c r="P14" i="1440"/>
  <c r="AC14" i="1440" s="1"/>
  <c r="O14" i="1440"/>
  <c r="AB14" i="1440"/>
  <c r="AF13" i="1440"/>
  <c r="AB13" i="1440"/>
  <c r="Q13" i="1440"/>
  <c r="P13" i="1440" s="1"/>
  <c r="AC13" i="1440" s="1"/>
  <c r="O13" i="1440"/>
  <c r="M13" i="1440"/>
  <c r="AF11" i="1440"/>
  <c r="Q11" i="1440"/>
  <c r="AB11" i="1440"/>
  <c r="AF10" i="1440"/>
  <c r="Q10" i="1440"/>
  <c r="P10" i="1440"/>
  <c r="AC10" i="1440" s="1"/>
  <c r="O10" i="1440"/>
  <c r="AF9" i="1440"/>
  <c r="Q9" i="1440"/>
  <c r="P9" i="1440" s="1"/>
  <c r="AC9" i="1440" s="1"/>
  <c r="O9" i="1440"/>
  <c r="AB9" i="1440"/>
  <c r="AF8" i="1440"/>
  <c r="AB8" i="1440"/>
  <c r="Q8" i="1440"/>
  <c r="P8" i="1440"/>
  <c r="AC8" i="1440" s="1"/>
  <c r="O8" i="1440"/>
  <c r="M8" i="1440"/>
  <c r="AF7" i="1440"/>
  <c r="AB7" i="1440"/>
  <c r="Q7" i="1440"/>
  <c r="P7" i="1440"/>
  <c r="AC7" i="1440" s="1"/>
  <c r="AD7" i="1440" s="1"/>
  <c r="O7" i="1440"/>
  <c r="M7" i="1440"/>
  <c r="K7" i="1440"/>
  <c r="AF6" i="1440"/>
  <c r="AB6" i="1440"/>
  <c r="Q6" i="1440"/>
  <c r="P6" i="1440"/>
  <c r="AC6" i="1440" s="1"/>
  <c r="O6" i="1440"/>
  <c r="M6" i="1440"/>
  <c r="K6" i="1440"/>
  <c r="AD18" i="1441" l="1"/>
  <c r="AD12" i="1441"/>
  <c r="AD11" i="1441"/>
  <c r="AD22" i="1441" s="1"/>
  <c r="AE16" i="1441" s="1"/>
  <c r="P22" i="1441"/>
  <c r="M22" i="1441"/>
  <c r="AB22" i="1441"/>
  <c r="P19" i="1440"/>
  <c r="AC19" i="1440" s="1"/>
  <c r="O19" i="1440"/>
  <c r="K19" i="1440"/>
  <c r="K22" i="1440" s="1"/>
  <c r="M18" i="1440"/>
  <c r="O16" i="1440"/>
  <c r="P16" i="1440"/>
  <c r="AC16" i="1440" s="1"/>
  <c r="AD16" i="1440" s="1"/>
  <c r="P12" i="1440"/>
  <c r="AC12" i="1440" s="1"/>
  <c r="AD12" i="1440" s="1"/>
  <c r="AD15" i="1440"/>
  <c r="Q22" i="1440"/>
  <c r="AD13" i="1440"/>
  <c r="AD17" i="1440"/>
  <c r="AD8" i="1440"/>
  <c r="AD18" i="1440"/>
  <c r="AD19" i="1440"/>
  <c r="AD9" i="1440"/>
  <c r="AD14" i="1440"/>
  <c r="AD6" i="1440"/>
  <c r="M11" i="1440"/>
  <c r="M21" i="1440"/>
  <c r="AB21" i="1440"/>
  <c r="AD21" i="1440" s="1"/>
  <c r="L22" i="1440"/>
  <c r="O22" i="1440" s="1"/>
  <c r="M10" i="1440"/>
  <c r="AB10" i="1440"/>
  <c r="AD10" i="1440" s="1"/>
  <c r="O11" i="1440"/>
  <c r="M20" i="1440"/>
  <c r="AB20" i="1440"/>
  <c r="O21" i="1440"/>
  <c r="M9" i="1440"/>
  <c r="P11" i="1440"/>
  <c r="AC11" i="1440" s="1"/>
  <c r="M14" i="1440"/>
  <c r="M19" i="1440"/>
  <c r="L20" i="1439"/>
  <c r="L19" i="1439"/>
  <c r="L18" i="1439"/>
  <c r="L15" i="1439"/>
  <c r="K15" i="1439" s="1"/>
  <c r="AE19" i="1441" l="1"/>
  <c r="AE15" i="1441"/>
  <c r="AE10" i="1441"/>
  <c r="AE17" i="1441"/>
  <c r="AE9" i="1441"/>
  <c r="AE18" i="1441"/>
  <c r="AE14" i="1441"/>
  <c r="AE20" i="1441"/>
  <c r="AE13" i="1441"/>
  <c r="AE8" i="1441"/>
  <c r="AE6" i="1441"/>
  <c r="AE21" i="1441"/>
  <c r="AE11" i="1441"/>
  <c r="AE12" i="1441"/>
  <c r="AE7" i="1441"/>
  <c r="AC22" i="1440"/>
  <c r="AB22" i="1440"/>
  <c r="AD20" i="1440"/>
  <c r="M22" i="1440"/>
  <c r="P22" i="1440"/>
  <c r="AD11" i="1440"/>
  <c r="L13" i="1439"/>
  <c r="K13" i="1439" s="1"/>
  <c r="L12" i="1439"/>
  <c r="K12" i="1439"/>
  <c r="L11" i="1439"/>
  <c r="L10" i="1439"/>
  <c r="L9" i="1439"/>
  <c r="K9" i="1439" s="1"/>
  <c r="L8" i="1439"/>
  <c r="K8" i="1439" s="1"/>
  <c r="K20" i="1439"/>
  <c r="K19" i="1439"/>
  <c r="K18" i="1439"/>
  <c r="K11" i="1439"/>
  <c r="K10" i="1439"/>
  <c r="A74" i="1439"/>
  <c r="A75" i="1439" s="1"/>
  <c r="A76" i="1439" s="1"/>
  <c r="A77" i="1439" s="1"/>
  <c r="A78" i="1439" s="1"/>
  <c r="A79" i="1439" s="1"/>
  <c r="A80" i="1439" s="1"/>
  <c r="A81" i="1439" s="1"/>
  <c r="AF62" i="1439"/>
  <c r="AF60" i="1439"/>
  <c r="AF59" i="1439"/>
  <c r="AA21" i="1439"/>
  <c r="Z21" i="1439"/>
  <c r="Y21" i="1439"/>
  <c r="X21" i="1439"/>
  <c r="W21" i="1439"/>
  <c r="V21" i="1439"/>
  <c r="U21" i="1439"/>
  <c r="T21" i="1439"/>
  <c r="S21" i="1439"/>
  <c r="R21" i="1439"/>
  <c r="N21" i="1439"/>
  <c r="J21" i="1439"/>
  <c r="I21" i="1439"/>
  <c r="AF20" i="1439"/>
  <c r="Q20" i="1439"/>
  <c r="P20" i="1439"/>
  <c r="AC20" i="1439" s="1"/>
  <c r="M20" i="1439"/>
  <c r="O20" i="1439"/>
  <c r="AF19" i="1439"/>
  <c r="Q19" i="1439"/>
  <c r="O19" i="1439"/>
  <c r="AB19" i="1439"/>
  <c r="AF18" i="1439"/>
  <c r="AB18" i="1439"/>
  <c r="Q18" i="1439"/>
  <c r="P18" i="1439" s="1"/>
  <c r="AC18" i="1439" s="1"/>
  <c r="M18" i="1439"/>
  <c r="O18" i="1439"/>
  <c r="AF17" i="1439"/>
  <c r="AB17" i="1439"/>
  <c r="Q17" i="1439"/>
  <c r="P17" i="1439"/>
  <c r="AC17" i="1439" s="1"/>
  <c r="AD17" i="1439" s="1"/>
  <c r="O17" i="1439"/>
  <c r="M17" i="1439"/>
  <c r="K17" i="1439"/>
  <c r="AF16" i="1439"/>
  <c r="AB16" i="1439"/>
  <c r="Q16" i="1439"/>
  <c r="P16" i="1439"/>
  <c r="AC16" i="1439" s="1"/>
  <c r="AD16" i="1439" s="1"/>
  <c r="O16" i="1439"/>
  <c r="M16" i="1439"/>
  <c r="K16" i="1439"/>
  <c r="AF15" i="1439"/>
  <c r="AB15" i="1439"/>
  <c r="Q15" i="1439"/>
  <c r="P15" i="1439" s="1"/>
  <c r="AC15" i="1439" s="1"/>
  <c r="O15" i="1439"/>
  <c r="M15" i="1439"/>
  <c r="AF14" i="1439"/>
  <c r="AC14" i="1439"/>
  <c r="AB14" i="1439"/>
  <c r="Q14" i="1439"/>
  <c r="P14" i="1439"/>
  <c r="O14" i="1439"/>
  <c r="M14" i="1439"/>
  <c r="K14" i="1439"/>
  <c r="AF13" i="1439"/>
  <c r="Q13" i="1439"/>
  <c r="AF12" i="1439"/>
  <c r="Q12" i="1439"/>
  <c r="O12" i="1439"/>
  <c r="AB12" i="1439"/>
  <c r="AF11" i="1439"/>
  <c r="AB11" i="1439"/>
  <c r="Q11" i="1439"/>
  <c r="P11" i="1439" s="1"/>
  <c r="AC11" i="1439" s="1"/>
  <c r="M11" i="1439"/>
  <c r="O11" i="1439"/>
  <c r="AF10" i="1439"/>
  <c r="Q10" i="1439"/>
  <c r="P10" i="1439"/>
  <c r="AC10" i="1439" s="1"/>
  <c r="AF9" i="1439"/>
  <c r="AB9" i="1439"/>
  <c r="Q9" i="1439"/>
  <c r="P9" i="1439"/>
  <c r="AC9" i="1439" s="1"/>
  <c r="O9" i="1439"/>
  <c r="M9" i="1439"/>
  <c r="AF8" i="1439"/>
  <c r="AB8" i="1439"/>
  <c r="Q8" i="1439"/>
  <c r="P8" i="1439" s="1"/>
  <c r="AC8" i="1439" s="1"/>
  <c r="O8" i="1439"/>
  <c r="M8" i="1439"/>
  <c r="AF7" i="1439"/>
  <c r="AC7" i="1439"/>
  <c r="AD7" i="1439" s="1"/>
  <c r="AB7" i="1439"/>
  <c r="Q7" i="1439"/>
  <c r="P7" i="1439"/>
  <c r="O7" i="1439"/>
  <c r="M7" i="1439"/>
  <c r="K7" i="1439"/>
  <c r="AF6" i="1439"/>
  <c r="AC6" i="1439"/>
  <c r="AB6" i="1439"/>
  <c r="Q6" i="1439"/>
  <c r="P6" i="1439"/>
  <c r="O6" i="1439"/>
  <c r="M6" i="1439"/>
  <c r="K6" i="1439"/>
  <c r="AD22" i="1440" l="1"/>
  <c r="AE12" i="1440" s="1"/>
  <c r="AB13" i="1439"/>
  <c r="P13" i="1439"/>
  <c r="AC13" i="1439" s="1"/>
  <c r="M13" i="1439"/>
  <c r="O13" i="1439"/>
  <c r="L21" i="1439"/>
  <c r="O21" i="1439" s="1"/>
  <c r="AD9" i="1439"/>
  <c r="Q21" i="1439"/>
  <c r="AD8" i="1439"/>
  <c r="AD14" i="1439"/>
  <c r="AD15" i="1439"/>
  <c r="AD18" i="1439"/>
  <c r="AD11" i="1439"/>
  <c r="AD6" i="1439"/>
  <c r="M10" i="1439"/>
  <c r="AB10" i="1439"/>
  <c r="P12" i="1439"/>
  <c r="AC12" i="1439" s="1"/>
  <c r="AD12" i="1439" s="1"/>
  <c r="P19" i="1439"/>
  <c r="AC19" i="1439" s="1"/>
  <c r="AD19" i="1439" s="1"/>
  <c r="O10" i="1439"/>
  <c r="AB20" i="1439"/>
  <c r="AD20" i="1439" s="1"/>
  <c r="K21" i="1439"/>
  <c r="M12" i="1439"/>
  <c r="M19" i="1439"/>
  <c r="L20" i="1438"/>
  <c r="AB20" i="1438" s="1"/>
  <c r="K20" i="1438"/>
  <c r="L19" i="1438"/>
  <c r="O19" i="1438" s="1"/>
  <c r="L18" i="1438"/>
  <c r="O18" i="1438" s="1"/>
  <c r="K18" i="1438"/>
  <c r="K13" i="1438"/>
  <c r="L12" i="1438"/>
  <c r="AB12" i="1438" s="1"/>
  <c r="L11" i="1438"/>
  <c r="K11" i="1438" s="1"/>
  <c r="L10" i="1438"/>
  <c r="L9" i="1438"/>
  <c r="K9" i="1438" s="1"/>
  <c r="K19" i="1438"/>
  <c r="K12" i="1438"/>
  <c r="K8" i="1438"/>
  <c r="A74" i="1438"/>
  <c r="A75" i="1438" s="1"/>
  <c r="A76" i="1438" s="1"/>
  <c r="A77" i="1438" s="1"/>
  <c r="A78" i="1438" s="1"/>
  <c r="A79" i="1438" s="1"/>
  <c r="A80" i="1438" s="1"/>
  <c r="A81" i="1438" s="1"/>
  <c r="AF62" i="1438"/>
  <c r="AF60" i="1438"/>
  <c r="AF59" i="1438"/>
  <c r="AA21" i="1438"/>
  <c r="Z21" i="1438"/>
  <c r="Y21" i="1438"/>
  <c r="X21" i="1438"/>
  <c r="W21" i="1438"/>
  <c r="V21" i="1438"/>
  <c r="U21" i="1438"/>
  <c r="T21" i="1438"/>
  <c r="S21" i="1438"/>
  <c r="R21" i="1438"/>
  <c r="N21" i="1438"/>
  <c r="J21" i="1438"/>
  <c r="I21" i="1438"/>
  <c r="AF20" i="1438"/>
  <c r="Q20" i="1438"/>
  <c r="P20" i="1438"/>
  <c r="AC20" i="1438" s="1"/>
  <c r="O20" i="1438"/>
  <c r="AF19" i="1438"/>
  <c r="AB19" i="1438"/>
  <c r="Q19" i="1438"/>
  <c r="P19" i="1438"/>
  <c r="AC19" i="1438" s="1"/>
  <c r="AF18" i="1438"/>
  <c r="AB18" i="1438"/>
  <c r="Q18" i="1438"/>
  <c r="P18" i="1438" s="1"/>
  <c r="AC18" i="1438" s="1"/>
  <c r="M18" i="1438"/>
  <c r="AF17" i="1438"/>
  <c r="AB17" i="1438"/>
  <c r="Q17" i="1438"/>
  <c r="P17" i="1438"/>
  <c r="AC17" i="1438" s="1"/>
  <c r="O17" i="1438"/>
  <c r="M17" i="1438"/>
  <c r="K17" i="1438"/>
  <c r="AF16" i="1438"/>
  <c r="AB16" i="1438"/>
  <c r="Q16" i="1438"/>
  <c r="P16" i="1438"/>
  <c r="AC16" i="1438" s="1"/>
  <c r="O16" i="1438"/>
  <c r="M16" i="1438"/>
  <c r="K16" i="1438"/>
  <c r="AF15" i="1438"/>
  <c r="AB15" i="1438"/>
  <c r="Q15" i="1438"/>
  <c r="P15" i="1438"/>
  <c r="AC15" i="1438" s="1"/>
  <c r="AD15" i="1438" s="1"/>
  <c r="O15" i="1438"/>
  <c r="M15" i="1438"/>
  <c r="K15" i="1438"/>
  <c r="AF14" i="1438"/>
  <c r="AB14" i="1438"/>
  <c r="Q14" i="1438"/>
  <c r="P14" i="1438"/>
  <c r="AC14" i="1438" s="1"/>
  <c r="O14" i="1438"/>
  <c r="M14" i="1438"/>
  <c r="K14" i="1438"/>
  <c r="AF13" i="1438"/>
  <c r="Q13" i="1438"/>
  <c r="P13" i="1438"/>
  <c r="AC13" i="1438" s="1"/>
  <c r="O13" i="1438"/>
  <c r="AB13" i="1438"/>
  <c r="AF12" i="1438"/>
  <c r="Q12" i="1438"/>
  <c r="P12" i="1438" s="1"/>
  <c r="AC12" i="1438" s="1"/>
  <c r="O12" i="1438"/>
  <c r="AF11" i="1438"/>
  <c r="AB11" i="1438"/>
  <c r="Q11" i="1438"/>
  <c r="M11" i="1438"/>
  <c r="AF10" i="1438"/>
  <c r="AB10" i="1438"/>
  <c r="Q10" i="1438"/>
  <c r="M10" i="1438"/>
  <c r="AF9" i="1438"/>
  <c r="Q9" i="1438"/>
  <c r="AF8" i="1438"/>
  <c r="Q8" i="1438"/>
  <c r="AF7" i="1438"/>
  <c r="AC7" i="1438"/>
  <c r="AD7" i="1438" s="1"/>
  <c r="AB7" i="1438"/>
  <c r="Q7" i="1438"/>
  <c r="P7" i="1438"/>
  <c r="O7" i="1438"/>
  <c r="M7" i="1438"/>
  <c r="K7" i="1438"/>
  <c r="AF6" i="1438"/>
  <c r="AB6" i="1438"/>
  <c r="Q6" i="1438"/>
  <c r="P6" i="1438"/>
  <c r="O6" i="1438"/>
  <c r="M6" i="1438"/>
  <c r="K6" i="1438"/>
  <c r="AE20" i="1440" l="1"/>
  <c r="AE8" i="1440"/>
  <c r="AE11" i="1440"/>
  <c r="AE6" i="1440"/>
  <c r="AE13" i="1440"/>
  <c r="AE21" i="1440"/>
  <c r="AE9" i="1440"/>
  <c r="AE18" i="1440"/>
  <c r="AE10" i="1440"/>
  <c r="AE19" i="1440"/>
  <c r="AE15" i="1440"/>
  <c r="AE7" i="1440"/>
  <c r="AE17" i="1440"/>
  <c r="AE14" i="1440"/>
  <c r="AE16" i="1440"/>
  <c r="AD13" i="1439"/>
  <c r="AD21" i="1439" s="1"/>
  <c r="AD10" i="1439"/>
  <c r="P21" i="1439"/>
  <c r="M21" i="1439"/>
  <c r="AC21" i="1439"/>
  <c r="AB21" i="1439"/>
  <c r="M20" i="1438"/>
  <c r="M19" i="1438"/>
  <c r="AD12" i="1438"/>
  <c r="M12" i="1438"/>
  <c r="O11" i="1438"/>
  <c r="P11" i="1438"/>
  <c r="AC11" i="1438" s="1"/>
  <c r="AD11" i="1438" s="1"/>
  <c r="L21" i="1438"/>
  <c r="O21" i="1438" s="1"/>
  <c r="K10" i="1438"/>
  <c r="O10" i="1438"/>
  <c r="P10" i="1438"/>
  <c r="AC10" i="1438" s="1"/>
  <c r="P9" i="1438"/>
  <c r="AC9" i="1438" s="1"/>
  <c r="Q21" i="1438"/>
  <c r="P8" i="1438"/>
  <c r="AC8" i="1438" s="1"/>
  <c r="AD14" i="1438"/>
  <c r="AD18" i="1438"/>
  <c r="AD17" i="1438"/>
  <c r="AD10" i="1438"/>
  <c r="AD16" i="1438"/>
  <c r="AD19" i="1438"/>
  <c r="AD20" i="1438"/>
  <c r="AD13" i="1438"/>
  <c r="M9" i="1438"/>
  <c r="AC6" i="1438"/>
  <c r="M8" i="1438"/>
  <c r="AB8" i="1438"/>
  <c r="O9" i="1438"/>
  <c r="AB9" i="1438"/>
  <c r="O8" i="1438"/>
  <c r="K21" i="1438"/>
  <c r="M13" i="1438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0" i="1437"/>
  <c r="L19" i="1437"/>
  <c r="L13" i="1437"/>
  <c r="K12" i="1437"/>
  <c r="K11" i="1437"/>
  <c r="L10" i="1437"/>
  <c r="L9" i="1437"/>
  <c r="L8" i="1437"/>
  <c r="AE18" i="1439" l="1"/>
  <c r="AE11" i="1439"/>
  <c r="AE6" i="1439"/>
  <c r="AE17" i="1439"/>
  <c r="AE10" i="1439"/>
  <c r="AE19" i="1439"/>
  <c r="AE16" i="1439"/>
  <c r="AE14" i="1439"/>
  <c r="AE12" i="1439"/>
  <c r="AE8" i="1439"/>
  <c r="AE15" i="1439"/>
  <c r="AE13" i="1439"/>
  <c r="AE7" i="1439"/>
  <c r="AE20" i="1439"/>
  <c r="AE9" i="1439"/>
  <c r="M21" i="1438"/>
  <c r="AD8" i="1438"/>
  <c r="P21" i="1438"/>
  <c r="AB21" i="1438"/>
  <c r="AD9" i="1438"/>
  <c r="AC21" i="1438"/>
  <c r="AD6" i="1438"/>
  <c r="K20" i="1437"/>
  <c r="K19" i="1437"/>
  <c r="K18" i="1437"/>
  <c r="K13" i="1437"/>
  <c r="K10" i="1437"/>
  <c r="K9" i="1437"/>
  <c r="K8" i="1437"/>
  <c r="A75" i="1437"/>
  <c r="A76" i="1437" s="1"/>
  <c r="A77" i="1437" s="1"/>
  <c r="A78" i="1437" s="1"/>
  <c r="A79" i="1437" s="1"/>
  <c r="A80" i="1437" s="1"/>
  <c r="A81" i="1437" s="1"/>
  <c r="A74" i="1437"/>
  <c r="AF60" i="1437"/>
  <c r="AF59" i="1437"/>
  <c r="AF62" i="1437" s="1"/>
  <c r="AA21" i="1437"/>
  <c r="Z21" i="1437"/>
  <c r="Y21" i="1437"/>
  <c r="X21" i="1437"/>
  <c r="W21" i="1437"/>
  <c r="V21" i="1437"/>
  <c r="U21" i="1437"/>
  <c r="T21" i="1437"/>
  <c r="S21" i="1437"/>
  <c r="R21" i="1437"/>
  <c r="N21" i="1437"/>
  <c r="J21" i="1437"/>
  <c r="I21" i="1437"/>
  <c r="AF20" i="1437"/>
  <c r="Q20" i="1437"/>
  <c r="O20" i="1437"/>
  <c r="AF19" i="1437"/>
  <c r="Q19" i="1437"/>
  <c r="P19" i="1437" s="1"/>
  <c r="AC19" i="1437" s="1"/>
  <c r="AB19" i="1437"/>
  <c r="AF18" i="1437"/>
  <c r="Q18" i="1437"/>
  <c r="P18" i="1437" s="1"/>
  <c r="AC18" i="1437" s="1"/>
  <c r="O18" i="1437"/>
  <c r="AB18" i="1437"/>
  <c r="AF17" i="1437"/>
  <c r="AB17" i="1437"/>
  <c r="Q17" i="1437"/>
  <c r="P17" i="1437"/>
  <c r="AC17" i="1437" s="1"/>
  <c r="O17" i="1437"/>
  <c r="M17" i="1437"/>
  <c r="K17" i="1437"/>
  <c r="AF16" i="1437"/>
  <c r="AB16" i="1437"/>
  <c r="Q16" i="1437"/>
  <c r="P16" i="1437"/>
  <c r="AC16" i="1437" s="1"/>
  <c r="O16" i="1437"/>
  <c r="M16" i="1437"/>
  <c r="K16" i="1437"/>
  <c r="AF15" i="1437"/>
  <c r="AB15" i="1437"/>
  <c r="Q15" i="1437"/>
  <c r="P15" i="1437"/>
  <c r="AC15" i="1437" s="1"/>
  <c r="AD15" i="1437" s="1"/>
  <c r="O15" i="1437"/>
  <c r="M15" i="1437"/>
  <c r="K15" i="1437"/>
  <c r="AF14" i="1437"/>
  <c r="AB14" i="1437"/>
  <c r="Q14" i="1437"/>
  <c r="P14" i="1437"/>
  <c r="AC14" i="1437" s="1"/>
  <c r="AD14" i="1437" s="1"/>
  <c r="O14" i="1437"/>
  <c r="M14" i="1437"/>
  <c r="K14" i="1437"/>
  <c r="AF13" i="1437"/>
  <c r="AB13" i="1437"/>
  <c r="Q13" i="1437"/>
  <c r="M13" i="1437"/>
  <c r="P13" i="1437"/>
  <c r="AC13" i="1437" s="1"/>
  <c r="AF12" i="1437"/>
  <c r="Q12" i="1437"/>
  <c r="O12" i="1437"/>
  <c r="AF11" i="1437"/>
  <c r="AB11" i="1437"/>
  <c r="Q11" i="1437"/>
  <c r="P11" i="1437"/>
  <c r="AC11" i="1437" s="1"/>
  <c r="O11" i="1437"/>
  <c r="M11" i="1437"/>
  <c r="AF10" i="1437"/>
  <c r="AB10" i="1437"/>
  <c r="Q10" i="1437"/>
  <c r="P10" i="1437" s="1"/>
  <c r="AC10" i="1437" s="1"/>
  <c r="M10" i="1437"/>
  <c r="AF9" i="1437"/>
  <c r="Q9" i="1437"/>
  <c r="O9" i="1437"/>
  <c r="AF8" i="1437"/>
  <c r="Q8" i="1437"/>
  <c r="P8" i="1437"/>
  <c r="AC8" i="1437" s="1"/>
  <c r="AB8" i="1437"/>
  <c r="AF7" i="1437"/>
  <c r="AC7" i="1437"/>
  <c r="AD7" i="1437" s="1"/>
  <c r="AB7" i="1437"/>
  <c r="Q7" i="1437"/>
  <c r="P7" i="1437"/>
  <c r="O7" i="1437"/>
  <c r="M7" i="1437"/>
  <c r="K7" i="1437"/>
  <c r="AF6" i="1437"/>
  <c r="AB6" i="1437"/>
  <c r="Q6" i="1437"/>
  <c r="P6" i="1437"/>
  <c r="AC6" i="1437" s="1"/>
  <c r="O6" i="1437"/>
  <c r="M6" i="1437"/>
  <c r="K6" i="1437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0" i="1436"/>
  <c r="O20" i="1436" s="1"/>
  <c r="L19" i="1436"/>
  <c r="AB19" i="1436" s="1"/>
  <c r="L18" i="1436"/>
  <c r="K18" i="1436" s="1"/>
  <c r="L13" i="1436"/>
  <c r="K13" i="1436" s="1"/>
  <c r="L12" i="1436"/>
  <c r="K12" i="1436" s="1"/>
  <c r="L10" i="1436"/>
  <c r="K10" i="1436" s="1"/>
  <c r="L9" i="1436"/>
  <c r="L8" i="1436"/>
  <c r="O8" i="1436" s="1"/>
  <c r="K20" i="1436"/>
  <c r="K19" i="1436"/>
  <c r="K17" i="1436"/>
  <c r="K9" i="1436"/>
  <c r="A74" i="1436"/>
  <c r="A75" i="1436" s="1"/>
  <c r="A76" i="1436" s="1"/>
  <c r="A77" i="1436" s="1"/>
  <c r="A78" i="1436" s="1"/>
  <c r="A79" i="1436" s="1"/>
  <c r="A80" i="1436" s="1"/>
  <c r="A81" i="1436" s="1"/>
  <c r="AF60" i="1436"/>
  <c r="AF59" i="1436"/>
  <c r="AF62" i="1436" s="1"/>
  <c r="AA21" i="1436"/>
  <c r="Z21" i="1436"/>
  <c r="Y21" i="1436"/>
  <c r="X21" i="1436"/>
  <c r="W21" i="1436"/>
  <c r="V21" i="1436"/>
  <c r="U21" i="1436"/>
  <c r="T21" i="1436"/>
  <c r="S21" i="1436"/>
  <c r="R21" i="1436"/>
  <c r="N21" i="1436"/>
  <c r="J21" i="1436"/>
  <c r="I21" i="1436"/>
  <c r="AF20" i="1436"/>
  <c r="Q20" i="1436"/>
  <c r="AF19" i="1436"/>
  <c r="Q19" i="1436"/>
  <c r="P19" i="1436" s="1"/>
  <c r="AC19" i="1436" s="1"/>
  <c r="AF18" i="1436"/>
  <c r="Q18" i="1436"/>
  <c r="P18" i="1436" s="1"/>
  <c r="AC18" i="1436" s="1"/>
  <c r="AB18" i="1436"/>
  <c r="AF17" i="1436"/>
  <c r="AB17" i="1436"/>
  <c r="Q17" i="1436"/>
  <c r="P17" i="1436"/>
  <c r="AC17" i="1436" s="1"/>
  <c r="O17" i="1436"/>
  <c r="M17" i="1436"/>
  <c r="AF16" i="1436"/>
  <c r="AB16" i="1436"/>
  <c r="Q16" i="1436"/>
  <c r="P16" i="1436"/>
  <c r="AC16" i="1436" s="1"/>
  <c r="AD16" i="1436" s="1"/>
  <c r="O16" i="1436"/>
  <c r="M16" i="1436"/>
  <c r="K16" i="1436"/>
  <c r="AF15" i="1436"/>
  <c r="AB15" i="1436"/>
  <c r="Q15" i="1436"/>
  <c r="P15" i="1436"/>
  <c r="AC15" i="1436" s="1"/>
  <c r="O15" i="1436"/>
  <c r="M15" i="1436"/>
  <c r="K15" i="1436"/>
  <c r="AF14" i="1436"/>
  <c r="AB14" i="1436"/>
  <c r="Q14" i="1436"/>
  <c r="P14" i="1436"/>
  <c r="AC14" i="1436" s="1"/>
  <c r="O14" i="1436"/>
  <c r="M14" i="1436"/>
  <c r="K14" i="1436"/>
  <c r="AF13" i="1436"/>
  <c r="AB13" i="1436"/>
  <c r="Q13" i="1436"/>
  <c r="P13" i="1436"/>
  <c r="AC13" i="1436" s="1"/>
  <c r="O13" i="1436"/>
  <c r="M13" i="1436"/>
  <c r="AF12" i="1436"/>
  <c r="Q12" i="1436"/>
  <c r="AF11" i="1436"/>
  <c r="AB11" i="1436"/>
  <c r="Q11" i="1436"/>
  <c r="P11" i="1436" s="1"/>
  <c r="AC11" i="1436" s="1"/>
  <c r="O11" i="1436"/>
  <c r="M11" i="1436"/>
  <c r="K11" i="1436"/>
  <c r="AF10" i="1436"/>
  <c r="Q10" i="1436"/>
  <c r="O10" i="1436"/>
  <c r="AF9" i="1436"/>
  <c r="Q9" i="1436"/>
  <c r="AB9" i="1436"/>
  <c r="AF8" i="1436"/>
  <c r="Q8" i="1436"/>
  <c r="P8" i="1436"/>
  <c r="AC8" i="1436" s="1"/>
  <c r="AF7" i="1436"/>
  <c r="AB7" i="1436"/>
  <c r="Q7" i="1436"/>
  <c r="P7" i="1436"/>
  <c r="AC7" i="1436" s="1"/>
  <c r="AD7" i="1436" s="1"/>
  <c r="O7" i="1436"/>
  <c r="M7" i="1436"/>
  <c r="K7" i="1436"/>
  <c r="AF6" i="1436"/>
  <c r="AB6" i="1436"/>
  <c r="Q6" i="1436"/>
  <c r="P6" i="1436"/>
  <c r="O6" i="1436"/>
  <c r="M6" i="1436"/>
  <c r="K6" i="1436"/>
  <c r="AD21" i="1438" l="1"/>
  <c r="AE19" i="1438" s="1"/>
  <c r="AE18" i="1438"/>
  <c r="AE20" i="1438"/>
  <c r="Q21" i="1437"/>
  <c r="AD11" i="1437"/>
  <c r="AD17" i="1437"/>
  <c r="AD16" i="1437"/>
  <c r="AD18" i="1437"/>
  <c r="AD6" i="1437"/>
  <c r="O8" i="1437"/>
  <c r="AD8" i="1437" s="1"/>
  <c r="P9" i="1437"/>
  <c r="AC9" i="1437" s="1"/>
  <c r="P12" i="1437"/>
  <c r="AC12" i="1437" s="1"/>
  <c r="M18" i="1437"/>
  <c r="O19" i="1437"/>
  <c r="AD19" i="1437" s="1"/>
  <c r="P20" i="1437"/>
  <c r="AC20" i="1437" s="1"/>
  <c r="M9" i="1437"/>
  <c r="AB9" i="1437"/>
  <c r="O10" i="1437"/>
  <c r="AD10" i="1437" s="1"/>
  <c r="M12" i="1437"/>
  <c r="AB12" i="1437"/>
  <c r="O13" i="1437"/>
  <c r="AD13" i="1437" s="1"/>
  <c r="M20" i="1437"/>
  <c r="AB20" i="1437"/>
  <c r="L21" i="1437"/>
  <c r="O21" i="1437" s="1"/>
  <c r="M8" i="1437"/>
  <c r="K21" i="1437"/>
  <c r="M19" i="1437"/>
  <c r="O18" i="1436"/>
  <c r="AD18" i="1436" s="1"/>
  <c r="O12" i="1436"/>
  <c r="AD11" i="1436"/>
  <c r="AD15" i="1436"/>
  <c r="AD17" i="1436"/>
  <c r="AD13" i="1436"/>
  <c r="P9" i="1436"/>
  <c r="AC9" i="1436" s="1"/>
  <c r="Q21" i="1436"/>
  <c r="AB8" i="1436"/>
  <c r="K8" i="1436"/>
  <c r="AD14" i="1436"/>
  <c r="AD8" i="1436"/>
  <c r="M10" i="1436"/>
  <c r="M12" i="1436"/>
  <c r="M20" i="1436"/>
  <c r="AC6" i="1436"/>
  <c r="M8" i="1436"/>
  <c r="O9" i="1436"/>
  <c r="AD9" i="1436" s="1"/>
  <c r="K21" i="1436"/>
  <c r="P10" i="1436"/>
  <c r="AC10" i="1436" s="1"/>
  <c r="P12" i="1436"/>
  <c r="AC12" i="1436" s="1"/>
  <c r="M18" i="1436"/>
  <c r="O19" i="1436"/>
  <c r="AD19" i="1436" s="1"/>
  <c r="P20" i="1436"/>
  <c r="AC20" i="1436" s="1"/>
  <c r="AB20" i="1436"/>
  <c r="L21" i="1436"/>
  <c r="O21" i="1436" s="1"/>
  <c r="AB10" i="1436"/>
  <c r="AB12" i="1436"/>
  <c r="M9" i="1436"/>
  <c r="M19" i="1436"/>
  <c r="L21" i="1435"/>
  <c r="L20" i="1435"/>
  <c r="AB20" i="1435" s="1"/>
  <c r="L19" i="1435"/>
  <c r="K18" i="1435"/>
  <c r="L14" i="1435"/>
  <c r="L13" i="1435"/>
  <c r="K12" i="1435"/>
  <c r="L11" i="1435"/>
  <c r="K11" i="1435" s="1"/>
  <c r="AF11" i="1435"/>
  <c r="Q11" i="1435"/>
  <c r="O11" i="1435"/>
  <c r="AB11" i="1435"/>
  <c r="L10" i="1435"/>
  <c r="K10" i="1435"/>
  <c r="L9" i="1435"/>
  <c r="L8" i="1435"/>
  <c r="K21" i="1435"/>
  <c r="K20" i="1435"/>
  <c r="K19" i="1435"/>
  <c r="K17" i="1435"/>
  <c r="K14" i="1435"/>
  <c r="K13" i="1435"/>
  <c r="K9" i="1435"/>
  <c r="K8" i="1435"/>
  <c r="A76" i="1435"/>
  <c r="A77" i="1435" s="1"/>
  <c r="A78" i="1435" s="1"/>
  <c r="A79" i="1435" s="1"/>
  <c r="A80" i="1435" s="1"/>
  <c r="A81" i="1435" s="1"/>
  <c r="A82" i="1435" s="1"/>
  <c r="A75" i="1435"/>
  <c r="AF61" i="1435"/>
  <c r="AF60" i="1435"/>
  <c r="AF63" i="1435" s="1"/>
  <c r="AA22" i="1435"/>
  <c r="Z22" i="1435"/>
  <c r="Y22" i="1435"/>
  <c r="X22" i="1435"/>
  <c r="W22" i="1435"/>
  <c r="V22" i="1435"/>
  <c r="U22" i="1435"/>
  <c r="T22" i="1435"/>
  <c r="S22" i="1435"/>
  <c r="R22" i="1435"/>
  <c r="N22" i="1435"/>
  <c r="J22" i="1435"/>
  <c r="I22" i="1435"/>
  <c r="AF21" i="1435"/>
  <c r="Q21" i="1435"/>
  <c r="O21" i="1435"/>
  <c r="AF20" i="1435"/>
  <c r="Q20" i="1435"/>
  <c r="P20" i="1435" s="1"/>
  <c r="AC20" i="1435" s="1"/>
  <c r="AF19" i="1435"/>
  <c r="Q19" i="1435"/>
  <c r="P19" i="1435"/>
  <c r="AC19" i="1435" s="1"/>
  <c r="O19" i="1435"/>
  <c r="AB19" i="1435"/>
  <c r="AF18" i="1435"/>
  <c r="AB18" i="1435"/>
  <c r="Q18" i="1435"/>
  <c r="P18" i="1435"/>
  <c r="AC18" i="1435" s="1"/>
  <c r="O18" i="1435"/>
  <c r="M18" i="1435"/>
  <c r="AF17" i="1435"/>
  <c r="Q17" i="1435"/>
  <c r="P17" i="1435"/>
  <c r="AC17" i="1435" s="1"/>
  <c r="AB17" i="1435"/>
  <c r="AF16" i="1435"/>
  <c r="AB16" i="1435"/>
  <c r="Q16" i="1435"/>
  <c r="P16" i="1435"/>
  <c r="AC16" i="1435" s="1"/>
  <c r="AD16" i="1435" s="1"/>
  <c r="O16" i="1435"/>
  <c r="M16" i="1435"/>
  <c r="K16" i="1435"/>
  <c r="AF15" i="1435"/>
  <c r="AB15" i="1435"/>
  <c r="Q15" i="1435"/>
  <c r="P15" i="1435"/>
  <c r="AC15" i="1435" s="1"/>
  <c r="O15" i="1435"/>
  <c r="M15" i="1435"/>
  <c r="K15" i="1435"/>
  <c r="AF14" i="1435"/>
  <c r="AB14" i="1435"/>
  <c r="Q14" i="1435"/>
  <c r="P14" i="1435"/>
  <c r="AC14" i="1435" s="1"/>
  <c r="O14" i="1435"/>
  <c r="M14" i="1435"/>
  <c r="AF13" i="1435"/>
  <c r="AB13" i="1435"/>
  <c r="Q13" i="1435"/>
  <c r="P13" i="1435" s="1"/>
  <c r="AC13" i="1435" s="1"/>
  <c r="O13" i="1435"/>
  <c r="M13" i="1435"/>
  <c r="AF12" i="1435"/>
  <c r="AB12" i="1435"/>
  <c r="Q12" i="1435"/>
  <c r="P12" i="1435"/>
  <c r="AC12" i="1435" s="1"/>
  <c r="O12" i="1435"/>
  <c r="M12" i="1435"/>
  <c r="AF10" i="1435"/>
  <c r="AB10" i="1435"/>
  <c r="Q10" i="1435"/>
  <c r="P10" i="1435" s="1"/>
  <c r="AC10" i="1435" s="1"/>
  <c r="O10" i="1435"/>
  <c r="M10" i="1435"/>
  <c r="AF9" i="1435"/>
  <c r="AB9" i="1435"/>
  <c r="Q9" i="1435"/>
  <c r="P9" i="1435" s="1"/>
  <c r="AC9" i="1435" s="1"/>
  <c r="O9" i="1435"/>
  <c r="M9" i="1435"/>
  <c r="AF8" i="1435"/>
  <c r="AB8" i="1435"/>
  <c r="Q8" i="1435"/>
  <c r="P8" i="1435" s="1"/>
  <c r="AC8" i="1435" s="1"/>
  <c r="O8" i="1435"/>
  <c r="M8" i="1435"/>
  <c r="AF7" i="1435"/>
  <c r="AC7" i="1435"/>
  <c r="AB7" i="1435"/>
  <c r="Q7" i="1435"/>
  <c r="P7" i="1435"/>
  <c r="O7" i="1435"/>
  <c r="M7" i="1435"/>
  <c r="K7" i="1435"/>
  <c r="AF6" i="1435"/>
  <c r="AB6" i="1435"/>
  <c r="Q6" i="1435"/>
  <c r="P6" i="1435"/>
  <c r="AC6" i="1435" s="1"/>
  <c r="O6" i="1435"/>
  <c r="M6" i="1435"/>
  <c r="K6" i="1435"/>
  <c r="AE8" i="1438" l="1"/>
  <c r="AE15" i="1438"/>
  <c r="AE16" i="1438"/>
  <c r="AE11" i="1438"/>
  <c r="AE7" i="1438"/>
  <c r="AE10" i="1438"/>
  <c r="AE14" i="1438"/>
  <c r="AE17" i="1438"/>
  <c r="AE12" i="1438"/>
  <c r="AE6" i="1438"/>
  <c r="AE13" i="1438"/>
  <c r="AE9" i="1438"/>
  <c r="M21" i="1437"/>
  <c r="AB21" i="1437"/>
  <c r="AD12" i="1437"/>
  <c r="AD20" i="1437"/>
  <c r="AC21" i="1437"/>
  <c r="P21" i="1437"/>
  <c r="AD9" i="1437"/>
  <c r="AD10" i="1436"/>
  <c r="AB21" i="1436"/>
  <c r="M21" i="1436"/>
  <c r="AD12" i="1436"/>
  <c r="AC21" i="1436"/>
  <c r="AD6" i="1436"/>
  <c r="P21" i="1436"/>
  <c r="AD20" i="1436"/>
  <c r="P11" i="1435"/>
  <c r="AC11" i="1435" s="1"/>
  <c r="AD11" i="1435" s="1"/>
  <c r="AD7" i="1435"/>
  <c r="M11" i="1435"/>
  <c r="AD10" i="1435"/>
  <c r="Q22" i="1435"/>
  <c r="AD14" i="1435"/>
  <c r="AD18" i="1435"/>
  <c r="AD12" i="1435"/>
  <c r="AD13" i="1435"/>
  <c r="AD15" i="1435"/>
  <c r="AD9" i="1435"/>
  <c r="AD8" i="1435"/>
  <c r="AD19" i="1435"/>
  <c r="AD6" i="1435"/>
  <c r="O17" i="1435"/>
  <c r="AD17" i="1435" s="1"/>
  <c r="M19" i="1435"/>
  <c r="O20" i="1435"/>
  <c r="AD20" i="1435" s="1"/>
  <c r="P21" i="1435"/>
  <c r="AC21" i="1435" s="1"/>
  <c r="AD21" i="1435" s="1"/>
  <c r="M21" i="1435"/>
  <c r="AB21" i="1435"/>
  <c r="AB22" i="1435" s="1"/>
  <c r="L22" i="1435"/>
  <c r="O22" i="1435" s="1"/>
  <c r="K22" i="1435"/>
  <c r="M17" i="1435"/>
  <c r="M20" i="1435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0" i="1434"/>
  <c r="K20" i="1434" s="1"/>
  <c r="L19" i="1434"/>
  <c r="L18" i="1434"/>
  <c r="AB18" i="1434" s="1"/>
  <c r="L16" i="1434"/>
  <c r="K16" i="1434"/>
  <c r="L13" i="1434"/>
  <c r="L12" i="1434"/>
  <c r="O12" i="1434" s="1"/>
  <c r="L10" i="1434"/>
  <c r="K10" i="1434" s="1"/>
  <c r="L9" i="1434"/>
  <c r="K19" i="1434"/>
  <c r="K18" i="1434"/>
  <c r="K13" i="1434"/>
  <c r="K11" i="1434"/>
  <c r="K9" i="1434"/>
  <c r="K8" i="1434"/>
  <c r="A75" i="1434"/>
  <c r="A76" i="1434" s="1"/>
  <c r="A77" i="1434" s="1"/>
  <c r="A78" i="1434" s="1"/>
  <c r="A79" i="1434" s="1"/>
  <c r="A80" i="1434" s="1"/>
  <c r="A81" i="1434" s="1"/>
  <c r="A74" i="1434"/>
  <c r="AF60" i="1434"/>
  <c r="AF59" i="1434"/>
  <c r="AA21" i="1434"/>
  <c r="Z21" i="1434"/>
  <c r="Y21" i="1434"/>
  <c r="X21" i="1434"/>
  <c r="W21" i="1434"/>
  <c r="V21" i="1434"/>
  <c r="U21" i="1434"/>
  <c r="T21" i="1434"/>
  <c r="S21" i="1434"/>
  <c r="R21" i="1434"/>
  <c r="N21" i="1434"/>
  <c r="J21" i="1434"/>
  <c r="I21" i="1434"/>
  <c r="AF20" i="1434"/>
  <c r="Q20" i="1434"/>
  <c r="AF19" i="1434"/>
  <c r="Q19" i="1434"/>
  <c r="AB19" i="1434"/>
  <c r="AF18" i="1434"/>
  <c r="Q18" i="1434"/>
  <c r="P18" i="1434"/>
  <c r="AC18" i="1434" s="1"/>
  <c r="AF17" i="1434"/>
  <c r="AB17" i="1434"/>
  <c r="Q17" i="1434"/>
  <c r="P17" i="1434"/>
  <c r="AC17" i="1434" s="1"/>
  <c r="O17" i="1434"/>
  <c r="M17" i="1434"/>
  <c r="K17" i="1434"/>
  <c r="AF16" i="1434"/>
  <c r="Q16" i="1434"/>
  <c r="P16" i="1434" s="1"/>
  <c r="AC16" i="1434" s="1"/>
  <c r="O16" i="1434"/>
  <c r="AF15" i="1434"/>
  <c r="AB15" i="1434"/>
  <c r="Q15" i="1434"/>
  <c r="P15" i="1434"/>
  <c r="AC15" i="1434" s="1"/>
  <c r="O15" i="1434"/>
  <c r="M15" i="1434"/>
  <c r="K15" i="1434"/>
  <c r="AF14" i="1434"/>
  <c r="AB14" i="1434"/>
  <c r="Q14" i="1434"/>
  <c r="P14" i="1434"/>
  <c r="AC14" i="1434" s="1"/>
  <c r="O14" i="1434"/>
  <c r="M14" i="1434"/>
  <c r="K14" i="1434"/>
  <c r="AF13" i="1434"/>
  <c r="AB13" i="1434"/>
  <c r="Q13" i="1434"/>
  <c r="O13" i="1434"/>
  <c r="M13" i="1434"/>
  <c r="AF12" i="1434"/>
  <c r="Q12" i="1434"/>
  <c r="AF11" i="1434"/>
  <c r="AB11" i="1434"/>
  <c r="Q11" i="1434"/>
  <c r="P11" i="1434"/>
  <c r="AC11" i="1434" s="1"/>
  <c r="AD11" i="1434" s="1"/>
  <c r="O11" i="1434"/>
  <c r="M11" i="1434"/>
  <c r="AF10" i="1434"/>
  <c r="AB10" i="1434"/>
  <c r="Q10" i="1434"/>
  <c r="M10" i="1434"/>
  <c r="AF9" i="1434"/>
  <c r="Q9" i="1434"/>
  <c r="M9" i="1434"/>
  <c r="AF8" i="1434"/>
  <c r="Q8" i="1434"/>
  <c r="P8" i="1434" s="1"/>
  <c r="AC8" i="1434" s="1"/>
  <c r="M8" i="1434"/>
  <c r="AF7" i="1434"/>
  <c r="AC7" i="1434"/>
  <c r="AD7" i="1434" s="1"/>
  <c r="AB7" i="1434"/>
  <c r="Q7" i="1434"/>
  <c r="P7" i="1434"/>
  <c r="O7" i="1434"/>
  <c r="M7" i="1434"/>
  <c r="K7" i="1434"/>
  <c r="AF6" i="1434"/>
  <c r="AC6" i="1434"/>
  <c r="AB6" i="1434"/>
  <c r="Q6" i="1434"/>
  <c r="P6" i="1434"/>
  <c r="O6" i="1434"/>
  <c r="M6" i="1434"/>
  <c r="K6" i="1434"/>
  <c r="AD21" i="1437" l="1"/>
  <c r="AE18" i="1437" s="1"/>
  <c r="AD21" i="1436"/>
  <c r="AE18" i="1436" s="1"/>
  <c r="P22" i="1435"/>
  <c r="M22" i="1435"/>
  <c r="AD22" i="1435"/>
  <c r="AE11" i="1435" s="1"/>
  <c r="AC22" i="1435"/>
  <c r="AD17" i="1434"/>
  <c r="O18" i="1434"/>
  <c r="AD18" i="1434" s="1"/>
  <c r="O20" i="1434"/>
  <c r="AF62" i="1434"/>
  <c r="AD15" i="1434"/>
  <c r="K12" i="1434"/>
  <c r="K21" i="1434" s="1"/>
  <c r="P19" i="1434"/>
  <c r="AC19" i="1434" s="1"/>
  <c r="M18" i="1434"/>
  <c r="P13" i="1434"/>
  <c r="AC13" i="1434" s="1"/>
  <c r="Q21" i="1434"/>
  <c r="O10" i="1434"/>
  <c r="P10" i="1434"/>
  <c r="AC10" i="1434" s="1"/>
  <c r="AD10" i="1434" s="1"/>
  <c r="AD13" i="1434"/>
  <c r="AD14" i="1434"/>
  <c r="AB8" i="1434"/>
  <c r="O9" i="1434"/>
  <c r="AD6" i="1434"/>
  <c r="O8" i="1434"/>
  <c r="P9" i="1434"/>
  <c r="AC9" i="1434" s="1"/>
  <c r="P12" i="1434"/>
  <c r="AC12" i="1434" s="1"/>
  <c r="M16" i="1434"/>
  <c r="AB16" i="1434"/>
  <c r="AD16" i="1434" s="1"/>
  <c r="O19" i="1434"/>
  <c r="P20" i="1434"/>
  <c r="AC20" i="1434" s="1"/>
  <c r="AB9" i="1434"/>
  <c r="AB12" i="1434"/>
  <c r="M20" i="1434"/>
  <c r="AB20" i="1434"/>
  <c r="L21" i="1434"/>
  <c r="O21" i="1434" s="1"/>
  <c r="M12" i="1434"/>
  <c r="M19" i="1434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21" i="1433"/>
  <c r="O21" i="1433" s="1"/>
  <c r="L20" i="1433"/>
  <c r="K20" i="1433"/>
  <c r="L19" i="1433"/>
  <c r="K19" i="1433" s="1"/>
  <c r="L18" i="1433"/>
  <c r="K18" i="1433"/>
  <c r="L16" i="1433"/>
  <c r="L13" i="1433"/>
  <c r="O13" i="1433" s="1"/>
  <c r="L12" i="1433"/>
  <c r="K12" i="1433" s="1"/>
  <c r="K11" i="1433"/>
  <c r="L10" i="1433"/>
  <c r="O10" i="1433" s="1"/>
  <c r="L9" i="1433"/>
  <c r="K9" i="1433" s="1"/>
  <c r="L8" i="1433"/>
  <c r="K8" i="1433" s="1"/>
  <c r="K17" i="1433"/>
  <c r="K16" i="1433"/>
  <c r="K14" i="1433"/>
  <c r="A76" i="1433"/>
  <c r="A77" i="1433" s="1"/>
  <c r="A78" i="1433" s="1"/>
  <c r="A79" i="1433" s="1"/>
  <c r="A80" i="1433" s="1"/>
  <c r="A81" i="1433" s="1"/>
  <c r="A82" i="1433" s="1"/>
  <c r="A75" i="1433"/>
  <c r="AF61" i="1433"/>
  <c r="AF60" i="1433"/>
  <c r="AF63" i="1433" s="1"/>
  <c r="AA22" i="1433"/>
  <c r="Z22" i="1433"/>
  <c r="Y22" i="1433"/>
  <c r="X22" i="1433"/>
  <c r="W22" i="1433"/>
  <c r="V22" i="1433"/>
  <c r="U22" i="1433"/>
  <c r="T22" i="1433"/>
  <c r="S22" i="1433"/>
  <c r="R22" i="1433"/>
  <c r="N22" i="1433"/>
  <c r="J22" i="1433"/>
  <c r="AF21" i="1433"/>
  <c r="Q21" i="1433"/>
  <c r="P21" i="1433" s="1"/>
  <c r="AC21" i="1433" s="1"/>
  <c r="AF20" i="1433"/>
  <c r="Q20" i="1433"/>
  <c r="P20" i="1433" s="1"/>
  <c r="AC20" i="1433" s="1"/>
  <c r="AF19" i="1433"/>
  <c r="Q19" i="1433"/>
  <c r="AF18" i="1433"/>
  <c r="AB18" i="1433"/>
  <c r="Q18" i="1433"/>
  <c r="P18" i="1433"/>
  <c r="AC18" i="1433" s="1"/>
  <c r="O18" i="1433"/>
  <c r="M18" i="1433"/>
  <c r="I22" i="1433"/>
  <c r="AF17" i="1433"/>
  <c r="Q17" i="1433"/>
  <c r="P17" i="1433"/>
  <c r="AC17" i="1433" s="1"/>
  <c r="AF16" i="1433"/>
  <c r="AB16" i="1433"/>
  <c r="Q16" i="1433"/>
  <c r="P16" i="1433" s="1"/>
  <c r="AC16" i="1433" s="1"/>
  <c r="M16" i="1433"/>
  <c r="O16" i="1433"/>
  <c r="AF15" i="1433"/>
  <c r="AC15" i="1433"/>
  <c r="AB15" i="1433"/>
  <c r="Q15" i="1433"/>
  <c r="P15" i="1433"/>
  <c r="O15" i="1433"/>
  <c r="M15" i="1433"/>
  <c r="K15" i="1433"/>
  <c r="AF14" i="1433"/>
  <c r="AB14" i="1433"/>
  <c r="Q14" i="1433"/>
  <c r="P14" i="1433" s="1"/>
  <c r="AC14" i="1433" s="1"/>
  <c r="AD14" i="1433" s="1"/>
  <c r="O14" i="1433"/>
  <c r="M14" i="1433"/>
  <c r="AF13" i="1433"/>
  <c r="AB13" i="1433"/>
  <c r="Q13" i="1433"/>
  <c r="P13" i="1433"/>
  <c r="AC13" i="1433" s="1"/>
  <c r="AD13" i="1433" s="1"/>
  <c r="M13" i="1433"/>
  <c r="K13" i="1433"/>
  <c r="AF12" i="1433"/>
  <c r="Q12" i="1433"/>
  <c r="AF11" i="1433"/>
  <c r="AB11" i="1433"/>
  <c r="Q11" i="1433"/>
  <c r="P11" i="1433"/>
  <c r="AC11" i="1433" s="1"/>
  <c r="M11" i="1433"/>
  <c r="O11" i="1433"/>
  <c r="AF10" i="1433"/>
  <c r="Q10" i="1433"/>
  <c r="AF9" i="1433"/>
  <c r="AB9" i="1433"/>
  <c r="Q9" i="1433"/>
  <c r="P9" i="1433"/>
  <c r="AC9" i="1433" s="1"/>
  <c r="M9" i="1433"/>
  <c r="AF8" i="1433"/>
  <c r="Q8" i="1433"/>
  <c r="AF7" i="1433"/>
  <c r="AB7" i="1433"/>
  <c r="Q7" i="1433"/>
  <c r="P7" i="1433"/>
  <c r="AC7" i="1433" s="1"/>
  <c r="AD7" i="1433" s="1"/>
  <c r="O7" i="1433"/>
  <c r="M7" i="1433"/>
  <c r="K7" i="1433"/>
  <c r="AF6" i="1433"/>
  <c r="AB6" i="1433"/>
  <c r="Q6" i="1433"/>
  <c r="P6" i="1433"/>
  <c r="O6" i="1433"/>
  <c r="M6" i="1433"/>
  <c r="K6" i="1433"/>
  <c r="AE15" i="1437" l="1"/>
  <c r="AE14" i="1437"/>
  <c r="AE12" i="1437"/>
  <c r="AE6" i="1437"/>
  <c r="AE17" i="1437"/>
  <c r="AE16" i="1437"/>
  <c r="AE20" i="1437"/>
  <c r="AE10" i="1437"/>
  <c r="AE19" i="1437"/>
  <c r="AE7" i="1437"/>
  <c r="AE8" i="1437"/>
  <c r="AE13" i="1437"/>
  <c r="AE11" i="1437"/>
  <c r="AE9" i="1437"/>
  <c r="AE10" i="1436"/>
  <c r="AE11" i="1436"/>
  <c r="AE6" i="1436"/>
  <c r="AE12" i="1436"/>
  <c r="AE13" i="1436"/>
  <c r="AE14" i="1436"/>
  <c r="AE16" i="1436"/>
  <c r="AE15" i="1436"/>
  <c r="AE20" i="1436"/>
  <c r="AE19" i="1436"/>
  <c r="AE7" i="1436"/>
  <c r="AE17" i="1436"/>
  <c r="AE9" i="1436"/>
  <c r="AE8" i="1436"/>
  <c r="AE19" i="1435"/>
  <c r="AE16" i="1435"/>
  <c r="AE14" i="1435"/>
  <c r="AE10" i="1435"/>
  <c r="AE7" i="1435"/>
  <c r="AE17" i="1435"/>
  <c r="AE21" i="1435"/>
  <c r="AE20" i="1435"/>
  <c r="AE18" i="1435"/>
  <c r="AE13" i="1435"/>
  <c r="AE9" i="1435"/>
  <c r="AE15" i="1435"/>
  <c r="AE12" i="1435"/>
  <c r="AE8" i="1435"/>
  <c r="AE6" i="1435"/>
  <c r="AD19" i="1434"/>
  <c r="M21" i="1434"/>
  <c r="AD8" i="1434"/>
  <c r="AD20" i="1434"/>
  <c r="AD9" i="1434"/>
  <c r="P21" i="1434"/>
  <c r="AC21" i="1434"/>
  <c r="AD12" i="1434"/>
  <c r="AB21" i="1434"/>
  <c r="AD21" i="1433"/>
  <c r="K21" i="1433"/>
  <c r="M21" i="1433"/>
  <c r="AB21" i="1433"/>
  <c r="M19" i="1433"/>
  <c r="AB19" i="1433"/>
  <c r="O19" i="1433"/>
  <c r="P19" i="1433"/>
  <c r="AC19" i="1433" s="1"/>
  <c r="AD19" i="1433" s="1"/>
  <c r="P12" i="1433"/>
  <c r="AC12" i="1433" s="1"/>
  <c r="K10" i="1433"/>
  <c r="AB10" i="1433"/>
  <c r="Q22" i="1433"/>
  <c r="O9" i="1433"/>
  <c r="L22" i="1433"/>
  <c r="O22" i="1433" s="1"/>
  <c r="AD18" i="1433"/>
  <c r="AD15" i="1433"/>
  <c r="AD9" i="1433"/>
  <c r="AD11" i="1433"/>
  <c r="AD16" i="1433"/>
  <c r="AC6" i="1433"/>
  <c r="M8" i="1433"/>
  <c r="AB8" i="1433"/>
  <c r="P10" i="1433"/>
  <c r="AC10" i="1433" s="1"/>
  <c r="M12" i="1433"/>
  <c r="AB12" i="1433"/>
  <c r="M17" i="1433"/>
  <c r="AB17" i="1433"/>
  <c r="AD17" i="1433" s="1"/>
  <c r="M20" i="1433"/>
  <c r="AB20" i="1433"/>
  <c r="O8" i="1433"/>
  <c r="O12" i="1433"/>
  <c r="O17" i="1433"/>
  <c r="O20" i="1433"/>
  <c r="P8" i="1433"/>
  <c r="AC8" i="1433" s="1"/>
  <c r="AD8" i="1433" s="1"/>
  <c r="M10" i="1433"/>
  <c r="L20" i="1432"/>
  <c r="K20" i="1432"/>
  <c r="K19" i="1432"/>
  <c r="AF19" i="1432"/>
  <c r="AB19" i="1432"/>
  <c r="Q19" i="1432"/>
  <c r="P19" i="1432" s="1"/>
  <c r="AC19" i="1432" s="1"/>
  <c r="O19" i="1432"/>
  <c r="M19" i="1432"/>
  <c r="L17" i="1432"/>
  <c r="K17" i="1432" s="1"/>
  <c r="L16" i="1432"/>
  <c r="L12" i="1432"/>
  <c r="K12" i="1432" s="1"/>
  <c r="L11" i="1432"/>
  <c r="AB11" i="1432" s="1"/>
  <c r="L10" i="1432"/>
  <c r="K10" i="1432" s="1"/>
  <c r="L9" i="1432"/>
  <c r="K9" i="1432" s="1"/>
  <c r="L8" i="1432"/>
  <c r="K8" i="1432" s="1"/>
  <c r="K21" i="1432"/>
  <c r="K18" i="1432"/>
  <c r="K16" i="1432"/>
  <c r="K14" i="1432"/>
  <c r="K13" i="1432"/>
  <c r="A75" i="1432"/>
  <c r="A76" i="1432" s="1"/>
  <c r="A77" i="1432" s="1"/>
  <c r="A78" i="1432" s="1"/>
  <c r="A79" i="1432" s="1"/>
  <c r="A80" i="1432" s="1"/>
  <c r="A81" i="1432" s="1"/>
  <c r="A82" i="1432" s="1"/>
  <c r="AF61" i="1432"/>
  <c r="AF60" i="1432"/>
  <c r="AA22" i="1432"/>
  <c r="Z22" i="1432"/>
  <c r="Y22" i="1432"/>
  <c r="X22" i="1432"/>
  <c r="W22" i="1432"/>
  <c r="V22" i="1432"/>
  <c r="U22" i="1432"/>
  <c r="T22" i="1432"/>
  <c r="S22" i="1432"/>
  <c r="R22" i="1432"/>
  <c r="N22" i="1432"/>
  <c r="J22" i="1432"/>
  <c r="AF21" i="1432"/>
  <c r="Q21" i="1432"/>
  <c r="O21" i="1432"/>
  <c r="AF20" i="1432"/>
  <c r="AB20" i="1432"/>
  <c r="Q20" i="1432"/>
  <c r="O20" i="1432"/>
  <c r="M20" i="1432"/>
  <c r="AF18" i="1432"/>
  <c r="AB18" i="1432"/>
  <c r="Q18" i="1432"/>
  <c r="P18" i="1432" s="1"/>
  <c r="AC18" i="1432" s="1"/>
  <c r="O18" i="1432"/>
  <c r="M18" i="1432"/>
  <c r="I18" i="1432"/>
  <c r="AF17" i="1432"/>
  <c r="AB17" i="1432"/>
  <c r="Q17" i="1432"/>
  <c r="P17" i="1432" s="1"/>
  <c r="AC17" i="1432" s="1"/>
  <c r="O17" i="1432"/>
  <c r="M17" i="1432"/>
  <c r="AF16" i="1432"/>
  <c r="Q16" i="1432"/>
  <c r="AF15" i="1432"/>
  <c r="AB15" i="1432"/>
  <c r="Q15" i="1432"/>
  <c r="P15" i="1432"/>
  <c r="AC15" i="1432" s="1"/>
  <c r="O15" i="1432"/>
  <c r="M15" i="1432"/>
  <c r="K15" i="1432"/>
  <c r="AF14" i="1432"/>
  <c r="AB14" i="1432"/>
  <c r="Q14" i="1432"/>
  <c r="P14" i="1432" s="1"/>
  <c r="AC14" i="1432" s="1"/>
  <c r="O14" i="1432"/>
  <c r="M14" i="1432"/>
  <c r="AF13" i="1432"/>
  <c r="AB13" i="1432"/>
  <c r="Q13" i="1432"/>
  <c r="P13" i="1432" s="1"/>
  <c r="AC13" i="1432" s="1"/>
  <c r="O13" i="1432"/>
  <c r="M13" i="1432"/>
  <c r="AF12" i="1432"/>
  <c r="Q12" i="1432"/>
  <c r="AF11" i="1432"/>
  <c r="Q11" i="1432"/>
  <c r="P11" i="1432" s="1"/>
  <c r="AC11" i="1432" s="1"/>
  <c r="AF10" i="1432"/>
  <c r="Q10" i="1432"/>
  <c r="O10" i="1432"/>
  <c r="AF9" i="1432"/>
  <c r="Q9" i="1432"/>
  <c r="M9" i="1432"/>
  <c r="AF8" i="1432"/>
  <c r="Q8" i="1432"/>
  <c r="AF7" i="1432"/>
  <c r="AB7" i="1432"/>
  <c r="Q7" i="1432"/>
  <c r="P7" i="1432"/>
  <c r="AC7" i="1432" s="1"/>
  <c r="O7" i="1432"/>
  <c r="M7" i="1432"/>
  <c r="K7" i="1432"/>
  <c r="AF6" i="1432"/>
  <c r="AB6" i="1432"/>
  <c r="Q6" i="1432"/>
  <c r="P6" i="1432"/>
  <c r="O6" i="1432"/>
  <c r="M6" i="1432"/>
  <c r="K6" i="1432"/>
  <c r="AD21" i="1434" l="1"/>
  <c r="M22" i="1433"/>
  <c r="AD10" i="1433"/>
  <c r="AD20" i="1433"/>
  <c r="AD12" i="1433"/>
  <c r="AB22" i="1433"/>
  <c r="AD6" i="1433"/>
  <c r="AC22" i="1433"/>
  <c r="K22" i="1433"/>
  <c r="P22" i="1433"/>
  <c r="O8" i="1432"/>
  <c r="O12" i="1432"/>
  <c r="M11" i="1432"/>
  <c r="P12" i="1432"/>
  <c r="AC12" i="1432" s="1"/>
  <c r="K11" i="1432"/>
  <c r="P20" i="1432"/>
  <c r="AC20" i="1432" s="1"/>
  <c r="AD19" i="1432"/>
  <c r="I22" i="1432"/>
  <c r="P16" i="1432"/>
  <c r="AC16" i="1432" s="1"/>
  <c r="AB16" i="1432"/>
  <c r="P10" i="1432"/>
  <c r="AC10" i="1432" s="1"/>
  <c r="AD17" i="1432"/>
  <c r="E14" i="16" s="1"/>
  <c r="AF63" i="1432"/>
  <c r="AD18" i="1432"/>
  <c r="E15" i="16" s="1"/>
  <c r="AD7" i="1432"/>
  <c r="E4" i="16" s="1"/>
  <c r="AD13" i="1432"/>
  <c r="E10" i="16" s="1"/>
  <c r="AD15" i="1432"/>
  <c r="E12" i="16" s="1"/>
  <c r="AB9" i="1432"/>
  <c r="AD14" i="1432"/>
  <c r="E11" i="16" s="1"/>
  <c r="Q22" i="1432"/>
  <c r="O9" i="1432"/>
  <c r="P9" i="1432"/>
  <c r="AC9" i="1432" s="1"/>
  <c r="AD20" i="1432"/>
  <c r="E16" i="16" s="1"/>
  <c r="AC6" i="1432"/>
  <c r="P8" i="1432"/>
  <c r="AC8" i="1432" s="1"/>
  <c r="M10" i="1432"/>
  <c r="AB10" i="1432"/>
  <c r="AD10" i="1432" s="1"/>
  <c r="E7" i="16" s="1"/>
  <c r="O11" i="1432"/>
  <c r="AD11" i="1432" s="1"/>
  <c r="E8" i="16" s="1"/>
  <c r="M12" i="1432"/>
  <c r="AB12" i="1432"/>
  <c r="AD12" i="1432" s="1"/>
  <c r="E9" i="16" s="1"/>
  <c r="O16" i="1432"/>
  <c r="P21" i="1432"/>
  <c r="AC21" i="1432" s="1"/>
  <c r="M8" i="1432"/>
  <c r="AB8" i="1432"/>
  <c r="M21" i="1432"/>
  <c r="AB21" i="1432"/>
  <c r="L22" i="1432"/>
  <c r="O22" i="1432" s="1"/>
  <c r="M16" i="1432"/>
  <c r="D4" i="16"/>
  <c r="L22" i="1431"/>
  <c r="K22" i="1431" s="1"/>
  <c r="L20" i="1431"/>
  <c r="O20" i="1431" s="1"/>
  <c r="L18" i="1431"/>
  <c r="M18" i="1431" s="1"/>
  <c r="K16" i="1431"/>
  <c r="K14" i="1431"/>
  <c r="K15" i="1431"/>
  <c r="L13" i="1431"/>
  <c r="K13" i="1431" s="1"/>
  <c r="AF13" i="1431"/>
  <c r="Q13" i="1431"/>
  <c r="L11" i="1431"/>
  <c r="K11" i="1431" s="1"/>
  <c r="L10" i="1431"/>
  <c r="K10" i="1431" s="1"/>
  <c r="L9" i="1431"/>
  <c r="L8" i="1431"/>
  <c r="K8" i="1431" s="1"/>
  <c r="K21" i="1431"/>
  <c r="K12" i="1431"/>
  <c r="A76" i="1431"/>
  <c r="A77" i="1431" s="1"/>
  <c r="A78" i="1431" s="1"/>
  <c r="A79" i="1431" s="1"/>
  <c r="A80" i="1431" s="1"/>
  <c r="A81" i="1431" s="1"/>
  <c r="A82" i="1431" s="1"/>
  <c r="A83" i="1431" s="1"/>
  <c r="AF62" i="1431"/>
  <c r="AF61" i="1431"/>
  <c r="AA23" i="1431"/>
  <c r="Z23" i="1431"/>
  <c r="Y23" i="1431"/>
  <c r="X23" i="1431"/>
  <c r="W23" i="1431"/>
  <c r="V23" i="1431"/>
  <c r="U23" i="1431"/>
  <c r="T23" i="1431"/>
  <c r="S23" i="1431"/>
  <c r="R23" i="1431"/>
  <c r="N23" i="1431"/>
  <c r="J23" i="1431"/>
  <c r="I23" i="1431"/>
  <c r="AF22" i="1431"/>
  <c r="AB22" i="1431"/>
  <c r="Q22" i="1431"/>
  <c r="P22" i="1431" s="1"/>
  <c r="AC22" i="1431" s="1"/>
  <c r="O22" i="1431"/>
  <c r="M22" i="1431"/>
  <c r="AF21" i="1431"/>
  <c r="Q21" i="1431"/>
  <c r="AB21" i="1431"/>
  <c r="AF20" i="1431"/>
  <c r="Q20" i="1431"/>
  <c r="I20" i="1431"/>
  <c r="AF19" i="1431"/>
  <c r="AB19" i="1431"/>
  <c r="Q19" i="1431"/>
  <c r="P19" i="1431"/>
  <c r="AC19" i="1431" s="1"/>
  <c r="O19" i="1431"/>
  <c r="M19" i="1431"/>
  <c r="K19" i="1431"/>
  <c r="AF18" i="1431"/>
  <c r="AB18" i="1431"/>
  <c r="Q18" i="1431"/>
  <c r="AF17" i="1431"/>
  <c r="AB17" i="1431"/>
  <c r="Q17" i="1431"/>
  <c r="P17" i="1431"/>
  <c r="AC17" i="1431" s="1"/>
  <c r="O17" i="1431"/>
  <c r="M17" i="1431"/>
  <c r="K17" i="1431"/>
  <c r="AF16" i="1431"/>
  <c r="AB16" i="1431"/>
  <c r="Q16" i="1431"/>
  <c r="P16" i="1431" s="1"/>
  <c r="AC16" i="1431" s="1"/>
  <c r="O16" i="1431"/>
  <c r="M16" i="1431"/>
  <c r="AF15" i="1431"/>
  <c r="AB15" i="1431"/>
  <c r="Q15" i="1431"/>
  <c r="P15" i="1431" s="1"/>
  <c r="AC15" i="1431" s="1"/>
  <c r="O15" i="1431"/>
  <c r="M15" i="1431"/>
  <c r="AF14" i="1431"/>
  <c r="AB14" i="1431"/>
  <c r="Q14" i="1431"/>
  <c r="P14" i="1431" s="1"/>
  <c r="AC14" i="1431" s="1"/>
  <c r="O14" i="1431"/>
  <c r="M14" i="1431"/>
  <c r="AF12" i="1431"/>
  <c r="Q12" i="1431"/>
  <c r="AB12" i="1431"/>
  <c r="AF11" i="1431"/>
  <c r="AB11" i="1431"/>
  <c r="Q11" i="1431"/>
  <c r="M11" i="1431"/>
  <c r="AF10" i="1431"/>
  <c r="Q10" i="1431"/>
  <c r="AF9" i="1431"/>
  <c r="Q9" i="1431"/>
  <c r="K9" i="1431"/>
  <c r="AF8" i="1431"/>
  <c r="Q8" i="1431"/>
  <c r="P8" i="1431" s="1"/>
  <c r="AC8" i="1431" s="1"/>
  <c r="O8" i="1431"/>
  <c r="AB8" i="1431"/>
  <c r="AF7" i="1431"/>
  <c r="AB7" i="1431"/>
  <c r="Q7" i="1431"/>
  <c r="P7" i="1431"/>
  <c r="AC7" i="1431" s="1"/>
  <c r="AD7" i="1431" s="1"/>
  <c r="O7" i="1431"/>
  <c r="M7" i="1431"/>
  <c r="K7" i="1431"/>
  <c r="AF6" i="1431"/>
  <c r="AB6" i="1431"/>
  <c r="Q6" i="1431"/>
  <c r="P6" i="1431"/>
  <c r="AC6" i="1431" s="1"/>
  <c r="O6" i="1431"/>
  <c r="M6" i="1431"/>
  <c r="K6" i="1431"/>
  <c r="AE10" i="1434" l="1"/>
  <c r="AE19" i="1434"/>
  <c r="AE8" i="1434"/>
  <c r="AE15" i="1434"/>
  <c r="AE6" i="1434"/>
  <c r="AE12" i="1434"/>
  <c r="AE20" i="1434"/>
  <c r="AE7" i="1434"/>
  <c r="AE18" i="1434"/>
  <c r="AE14" i="1434"/>
  <c r="AE11" i="1434"/>
  <c r="AE16" i="1434"/>
  <c r="AE13" i="1434"/>
  <c r="AE9" i="1434"/>
  <c r="AE17" i="1434"/>
  <c r="AD22" i="1433"/>
  <c r="AE18" i="1433" s="1"/>
  <c r="AD22" i="1431"/>
  <c r="D17" i="16" s="1"/>
  <c r="M10" i="1431"/>
  <c r="AF64" i="1431"/>
  <c r="P13" i="1431"/>
  <c r="AC13" i="1431" s="1"/>
  <c r="O10" i="1431"/>
  <c r="AD9" i="1432"/>
  <c r="E6" i="16" s="1"/>
  <c r="AD16" i="1432"/>
  <c r="E13" i="16" s="1"/>
  <c r="M22" i="1432"/>
  <c r="AB22" i="1432"/>
  <c r="AC22" i="1432"/>
  <c r="AD6" i="1432"/>
  <c r="E3" i="16" s="1"/>
  <c r="P22" i="1432"/>
  <c r="AD21" i="1432"/>
  <c r="E17" i="16" s="1"/>
  <c r="AD8" i="1432"/>
  <c r="E5" i="16" s="1"/>
  <c r="K22" i="1432"/>
  <c r="P20" i="1431"/>
  <c r="AC20" i="1431" s="1"/>
  <c r="K20" i="1431"/>
  <c r="K18" i="1431"/>
  <c r="O18" i="1431"/>
  <c r="AD15" i="1431"/>
  <c r="AB13" i="1431"/>
  <c r="AD13" i="1431" s="1"/>
  <c r="M13" i="1431"/>
  <c r="O13" i="1431"/>
  <c r="AD17" i="1431"/>
  <c r="D12" i="16" s="1"/>
  <c r="AD16" i="1431"/>
  <c r="D11" i="16" s="1"/>
  <c r="AD19" i="1431"/>
  <c r="D14" i="16" s="1"/>
  <c r="P9" i="1431"/>
  <c r="AC9" i="1431" s="1"/>
  <c r="Q23" i="1431"/>
  <c r="O11" i="1431"/>
  <c r="P11" i="1431"/>
  <c r="AC11" i="1431" s="1"/>
  <c r="P10" i="1431"/>
  <c r="AC10" i="1431" s="1"/>
  <c r="AB10" i="1431"/>
  <c r="M9" i="1431"/>
  <c r="AB9" i="1431"/>
  <c r="O9" i="1431"/>
  <c r="AD14" i="1431"/>
  <c r="D10" i="16" s="1"/>
  <c r="AD6" i="1431"/>
  <c r="D3" i="16" s="1"/>
  <c r="AD8" i="1431"/>
  <c r="D5" i="16" s="1"/>
  <c r="O12" i="1431"/>
  <c r="P18" i="1431"/>
  <c r="AC18" i="1431" s="1"/>
  <c r="AD18" i="1431" s="1"/>
  <c r="D13" i="16" s="1"/>
  <c r="M20" i="1431"/>
  <c r="AB20" i="1431"/>
  <c r="O21" i="1431"/>
  <c r="M8" i="1431"/>
  <c r="P12" i="1431"/>
  <c r="AC12" i="1431" s="1"/>
  <c r="P21" i="1431"/>
  <c r="AC21" i="1431" s="1"/>
  <c r="L23" i="1431"/>
  <c r="O23" i="1431" s="1"/>
  <c r="M12" i="1431"/>
  <c r="M21" i="1431"/>
  <c r="AE7" i="1433" l="1"/>
  <c r="AE21" i="1433"/>
  <c r="AE14" i="1433"/>
  <c r="AE10" i="1433"/>
  <c r="AE11" i="1433"/>
  <c r="AE6" i="1433"/>
  <c r="AE8" i="1433"/>
  <c r="AE12" i="1433"/>
  <c r="AE17" i="1433"/>
  <c r="AE16" i="1433"/>
  <c r="AE13" i="1433"/>
  <c r="AE9" i="1433"/>
  <c r="AE20" i="1433"/>
  <c r="AE19" i="1433"/>
  <c r="AE15" i="1433"/>
  <c r="AD10" i="1431"/>
  <c r="D7" i="16" s="1"/>
  <c r="AD9" i="1431"/>
  <c r="D6" i="16" s="1"/>
  <c r="AD11" i="1431"/>
  <c r="D8" i="16" s="1"/>
  <c r="K23" i="1431"/>
  <c r="AD22" i="1432"/>
  <c r="AD20" i="1431"/>
  <c r="D15" i="16" s="1"/>
  <c r="M23" i="1431"/>
  <c r="AD12" i="1431"/>
  <c r="D9" i="16" s="1"/>
  <c r="AD21" i="1431"/>
  <c r="D16" i="16" s="1"/>
  <c r="AB23" i="1431"/>
  <c r="P23" i="1431"/>
  <c r="AC23" i="1431"/>
  <c r="L21" i="1430"/>
  <c r="K21" i="1430" s="1"/>
  <c r="L20" i="1430"/>
  <c r="L19" i="1430"/>
  <c r="K19" i="1430" s="1"/>
  <c r="O19" i="1430"/>
  <c r="AF19" i="1430"/>
  <c r="Q19" i="1430"/>
  <c r="P19" i="1430" s="1"/>
  <c r="AC19" i="1430" s="1"/>
  <c r="AB19" i="1430"/>
  <c r="I19" i="1430"/>
  <c r="AE19" i="1432" l="1"/>
  <c r="E18" i="16"/>
  <c r="AE6" i="1432"/>
  <c r="AE21" i="1432"/>
  <c r="AE20" i="1432"/>
  <c r="AE8" i="1432"/>
  <c r="AE9" i="1432"/>
  <c r="AE7" i="1432"/>
  <c r="AE13" i="1432"/>
  <c r="AE17" i="1432"/>
  <c r="AE14" i="1432"/>
  <c r="AE11" i="1432"/>
  <c r="AE12" i="1432"/>
  <c r="AE10" i="1432"/>
  <c r="AE18" i="1432"/>
  <c r="AE16" i="1432"/>
  <c r="AE15" i="1432"/>
  <c r="AD23" i="1431"/>
  <c r="D18" i="16" s="1"/>
  <c r="AD19" i="1430"/>
  <c r="C15" i="16" s="1"/>
  <c r="M19" i="1430"/>
  <c r="AE20" i="1431" l="1"/>
  <c r="AE13" i="1431"/>
  <c r="AE17" i="1431"/>
  <c r="AE16" i="1431"/>
  <c r="AE12" i="1431"/>
  <c r="AE10" i="1431"/>
  <c r="AE21" i="1431"/>
  <c r="AE15" i="1431"/>
  <c r="AE18" i="1431"/>
  <c r="AE11" i="1431"/>
  <c r="AE8" i="1431"/>
  <c r="AE6" i="1431"/>
  <c r="AE22" i="1431"/>
  <c r="AE19" i="1431"/>
  <c r="AE14" i="1431"/>
  <c r="AE7" i="1431"/>
  <c r="AE9" i="1431"/>
  <c r="L17" i="1430"/>
  <c r="K14" i="1430"/>
  <c r="K13" i="1430"/>
  <c r="AF14" i="1430"/>
  <c r="AB14" i="1430"/>
  <c r="Q14" i="1430"/>
  <c r="P14" i="1430" s="1"/>
  <c r="AC14" i="1430" s="1"/>
  <c r="O14" i="1430"/>
  <c r="M14" i="1430"/>
  <c r="L12" i="1430"/>
  <c r="L10" i="1430"/>
  <c r="L8" i="1430"/>
  <c r="M8" i="1430" s="1"/>
  <c r="K8" i="1430"/>
  <c r="AF8" i="1430"/>
  <c r="Q8" i="1430"/>
  <c r="P8" i="1430" l="1"/>
  <c r="AC8" i="1430" s="1"/>
  <c r="AD14" i="1430"/>
  <c r="AB8" i="1430"/>
  <c r="O8" i="1430"/>
  <c r="AD8" i="1430" l="1"/>
  <c r="C5" i="16" s="1"/>
  <c r="K20" i="1430" l="1"/>
  <c r="K17" i="1430"/>
  <c r="K16" i="1430"/>
  <c r="K12" i="1430"/>
  <c r="K10" i="1430"/>
  <c r="K9" i="1430"/>
  <c r="A75" i="1430"/>
  <c r="A76" i="1430" s="1"/>
  <c r="A77" i="1430" s="1"/>
  <c r="A78" i="1430" s="1"/>
  <c r="A79" i="1430" s="1"/>
  <c r="A80" i="1430" s="1"/>
  <c r="A81" i="1430" s="1"/>
  <c r="A82" i="1430" s="1"/>
  <c r="AF61" i="1430"/>
  <c r="AF60" i="1430"/>
  <c r="AF63" i="1430" s="1"/>
  <c r="AA22" i="1430"/>
  <c r="Z22" i="1430"/>
  <c r="Y22" i="1430"/>
  <c r="X22" i="1430"/>
  <c r="W22" i="1430"/>
  <c r="V22" i="1430"/>
  <c r="U22" i="1430"/>
  <c r="T22" i="1430"/>
  <c r="S22" i="1430"/>
  <c r="R22" i="1430"/>
  <c r="N22" i="1430"/>
  <c r="J22" i="1430"/>
  <c r="I22" i="1430"/>
  <c r="AF21" i="1430"/>
  <c r="AB21" i="1430"/>
  <c r="Q21" i="1430"/>
  <c r="P21" i="1430" s="1"/>
  <c r="AC21" i="1430" s="1"/>
  <c r="O21" i="1430"/>
  <c r="M21" i="1430"/>
  <c r="AF20" i="1430"/>
  <c r="AB20" i="1430"/>
  <c r="Q20" i="1430"/>
  <c r="P20" i="1430" s="1"/>
  <c r="AC20" i="1430" s="1"/>
  <c r="M20" i="1430"/>
  <c r="AF18" i="1430"/>
  <c r="AB18" i="1430"/>
  <c r="Q18" i="1430"/>
  <c r="P18" i="1430"/>
  <c r="AC18" i="1430" s="1"/>
  <c r="O18" i="1430"/>
  <c r="M18" i="1430"/>
  <c r="K18" i="1430"/>
  <c r="AF17" i="1430"/>
  <c r="AB17" i="1430"/>
  <c r="Q17" i="1430"/>
  <c r="P17" i="1430" s="1"/>
  <c r="AC17" i="1430" s="1"/>
  <c r="M17" i="1430"/>
  <c r="AF16" i="1430"/>
  <c r="AB16" i="1430"/>
  <c r="Q16" i="1430"/>
  <c r="P16" i="1430" s="1"/>
  <c r="AC16" i="1430" s="1"/>
  <c r="O16" i="1430"/>
  <c r="M16" i="1430"/>
  <c r="AF15" i="1430"/>
  <c r="AB15" i="1430"/>
  <c r="Q15" i="1430"/>
  <c r="P15" i="1430"/>
  <c r="AC15" i="1430" s="1"/>
  <c r="O15" i="1430"/>
  <c r="M15" i="1430"/>
  <c r="K15" i="1430"/>
  <c r="AF13" i="1430"/>
  <c r="Q13" i="1430"/>
  <c r="P13" i="1430" s="1"/>
  <c r="AC13" i="1430" s="1"/>
  <c r="AF12" i="1430"/>
  <c r="Q12" i="1430"/>
  <c r="P12" i="1430" s="1"/>
  <c r="AC12" i="1430" s="1"/>
  <c r="O12" i="1430"/>
  <c r="AB12" i="1430"/>
  <c r="AF11" i="1430"/>
  <c r="AB11" i="1430"/>
  <c r="Q11" i="1430"/>
  <c r="P11" i="1430"/>
  <c r="AC11" i="1430" s="1"/>
  <c r="O11" i="1430"/>
  <c r="M11" i="1430"/>
  <c r="K11" i="1430"/>
  <c r="AF10" i="1430"/>
  <c r="Q10" i="1430"/>
  <c r="P10" i="1430" s="1"/>
  <c r="AC10" i="1430" s="1"/>
  <c r="AF9" i="1430"/>
  <c r="Q9" i="1430"/>
  <c r="P9" i="1430"/>
  <c r="AC9" i="1430" s="1"/>
  <c r="O9" i="1430"/>
  <c r="AB9" i="1430"/>
  <c r="L22" i="1430"/>
  <c r="O22" i="1430" s="1"/>
  <c r="AF7" i="1430"/>
  <c r="AB7" i="1430"/>
  <c r="Q7" i="1430"/>
  <c r="P7" i="1430"/>
  <c r="AC7" i="1430" s="1"/>
  <c r="AD7" i="1430" s="1"/>
  <c r="C4" i="16" s="1"/>
  <c r="O7" i="1430"/>
  <c r="M7" i="1430"/>
  <c r="K7" i="1430"/>
  <c r="AF6" i="1430"/>
  <c r="AB6" i="1430"/>
  <c r="Q6" i="1430"/>
  <c r="P6" i="1430"/>
  <c r="AC6" i="1430" s="1"/>
  <c r="O6" i="1430"/>
  <c r="M6" i="1430"/>
  <c r="K6" i="1430"/>
  <c r="AD9" i="1430" l="1"/>
  <c r="C6" i="16" s="1"/>
  <c r="AD16" i="1430"/>
  <c r="C12" i="16" s="1"/>
  <c r="Q22" i="1430"/>
  <c r="AD12" i="1430"/>
  <c r="C9" i="16" s="1"/>
  <c r="AD11" i="1430"/>
  <c r="C8" i="16" s="1"/>
  <c r="AD18" i="1430"/>
  <c r="C14" i="16" s="1"/>
  <c r="AD15" i="1430"/>
  <c r="C11" i="16" s="1"/>
  <c r="AD21" i="1430"/>
  <c r="C17" i="16" s="1"/>
  <c r="AC22" i="1430"/>
  <c r="AD6" i="1430"/>
  <c r="C3" i="16" s="1"/>
  <c r="M10" i="1430"/>
  <c r="AB10" i="1430"/>
  <c r="AB13" i="1430"/>
  <c r="O20" i="1430"/>
  <c r="AD20" i="1430" s="1"/>
  <c r="C16" i="16" s="1"/>
  <c r="M13" i="1430"/>
  <c r="O17" i="1430"/>
  <c r="AD17" i="1430" s="1"/>
  <c r="C13" i="16" s="1"/>
  <c r="M9" i="1430"/>
  <c r="O10" i="1430"/>
  <c r="M12" i="1430"/>
  <c r="O13" i="1430"/>
  <c r="P22" i="1430"/>
  <c r="K22" i="1430"/>
  <c r="L19" i="1429"/>
  <c r="L18" i="1429"/>
  <c r="K18" i="1429"/>
  <c r="L16" i="1429"/>
  <c r="K16" i="1429" s="1"/>
  <c r="L13" i="1429"/>
  <c r="K13" i="1429" s="1"/>
  <c r="L12" i="1429"/>
  <c r="L10" i="1429"/>
  <c r="K10" i="1429" s="1"/>
  <c r="L9" i="1429"/>
  <c r="K9" i="1429" s="1"/>
  <c r="L8" i="1429"/>
  <c r="K20" i="1429"/>
  <c r="K19" i="1429"/>
  <c r="K17" i="1429"/>
  <c r="K15" i="1429"/>
  <c r="K12" i="1429"/>
  <c r="K8" i="1429"/>
  <c r="AD13" i="1430" l="1"/>
  <c r="C10" i="16" s="1"/>
  <c r="M22" i="1430"/>
  <c r="AB22" i="1430"/>
  <c r="AD10" i="1430"/>
  <c r="C7" i="16" s="1"/>
  <c r="M17" i="1429"/>
  <c r="AF15" i="1429"/>
  <c r="Q15" i="1429"/>
  <c r="AB15" i="1429"/>
  <c r="O9" i="1429"/>
  <c r="AB8" i="1429"/>
  <c r="K14" i="1429"/>
  <c r="A74" i="1429"/>
  <c r="A75" i="1429" s="1"/>
  <c r="A76" i="1429" s="1"/>
  <c r="A77" i="1429" s="1"/>
  <c r="A78" i="1429" s="1"/>
  <c r="A79" i="1429" s="1"/>
  <c r="A80" i="1429" s="1"/>
  <c r="A81" i="1429" s="1"/>
  <c r="AF60" i="1429"/>
  <c r="AF59" i="1429"/>
  <c r="AA21" i="1429"/>
  <c r="Z21" i="1429"/>
  <c r="Y21" i="1429"/>
  <c r="X21" i="1429"/>
  <c r="W21" i="1429"/>
  <c r="V21" i="1429"/>
  <c r="U21" i="1429"/>
  <c r="T21" i="1429"/>
  <c r="S21" i="1429"/>
  <c r="R21" i="1429"/>
  <c r="N21" i="1429"/>
  <c r="J21" i="1429"/>
  <c r="AF20" i="1429"/>
  <c r="Q20" i="1429"/>
  <c r="P20" i="1429"/>
  <c r="AC20" i="1429" s="1"/>
  <c r="O20" i="1429"/>
  <c r="AF19" i="1429"/>
  <c r="Q19" i="1429"/>
  <c r="O19" i="1429"/>
  <c r="AB19" i="1429"/>
  <c r="AF18" i="1429"/>
  <c r="AB18" i="1429"/>
  <c r="Q18" i="1429"/>
  <c r="P18" i="1429" s="1"/>
  <c r="AC18" i="1429" s="1"/>
  <c r="M18" i="1429"/>
  <c r="I21" i="1429"/>
  <c r="AF17" i="1429"/>
  <c r="AB17" i="1429"/>
  <c r="Q17" i="1429"/>
  <c r="P17" i="1429" s="1"/>
  <c r="AC17" i="1429" s="1"/>
  <c r="O17" i="1429"/>
  <c r="AF16" i="1429"/>
  <c r="Q16" i="1429"/>
  <c r="P16" i="1429" s="1"/>
  <c r="AC16" i="1429" s="1"/>
  <c r="AF14" i="1429"/>
  <c r="AB14" i="1429"/>
  <c r="Q14" i="1429"/>
  <c r="P14" i="1429"/>
  <c r="AC14" i="1429" s="1"/>
  <c r="O14" i="1429"/>
  <c r="M14" i="1429"/>
  <c r="AF13" i="1429"/>
  <c r="AB13" i="1429"/>
  <c r="Q13" i="1429"/>
  <c r="P13" i="1429" s="1"/>
  <c r="AC13" i="1429" s="1"/>
  <c r="O13" i="1429"/>
  <c r="M13" i="1429"/>
  <c r="AF12" i="1429"/>
  <c r="AB12" i="1429"/>
  <c r="Q12" i="1429"/>
  <c r="P12" i="1429" s="1"/>
  <c r="AC12" i="1429" s="1"/>
  <c r="M12" i="1429"/>
  <c r="O12" i="1429"/>
  <c r="AF11" i="1429"/>
  <c r="AB11" i="1429"/>
  <c r="Q11" i="1429"/>
  <c r="P11" i="1429"/>
  <c r="AC11" i="1429" s="1"/>
  <c r="O11" i="1429"/>
  <c r="M11" i="1429"/>
  <c r="K11" i="1429"/>
  <c r="AF10" i="1429"/>
  <c r="Q10" i="1429"/>
  <c r="AF9" i="1429"/>
  <c r="AB9" i="1429"/>
  <c r="Q9" i="1429"/>
  <c r="M9" i="1429"/>
  <c r="AF8" i="1429"/>
  <c r="Q8" i="1429"/>
  <c r="O8" i="1429"/>
  <c r="M8" i="1429"/>
  <c r="AF7" i="1429"/>
  <c r="AB7" i="1429"/>
  <c r="Q7" i="1429"/>
  <c r="P7" i="1429"/>
  <c r="AC7" i="1429" s="1"/>
  <c r="O7" i="1429"/>
  <c r="M7" i="1429"/>
  <c r="K7" i="1429"/>
  <c r="AF6" i="1429"/>
  <c r="AB6" i="1429"/>
  <c r="Q6" i="1429"/>
  <c r="P6" i="1429"/>
  <c r="AC6" i="1429" s="1"/>
  <c r="O6" i="1429"/>
  <c r="M6" i="1429"/>
  <c r="K6" i="1429"/>
  <c r="AF62" i="1429" l="1"/>
  <c r="AD22" i="1430"/>
  <c r="C18" i="16" s="1"/>
  <c r="O16" i="1429"/>
  <c r="O15" i="1429"/>
  <c r="AD14" i="1429"/>
  <c r="B11" i="16" s="1"/>
  <c r="AG11" i="16" s="1"/>
  <c r="P15" i="1429"/>
  <c r="AC15" i="1429" s="1"/>
  <c r="AD7" i="1429"/>
  <c r="B4" i="16" s="1"/>
  <c r="AG4" i="16" s="1"/>
  <c r="M15" i="1429"/>
  <c r="P9" i="1429"/>
  <c r="AC9" i="1429" s="1"/>
  <c r="AD9" i="1429" s="1"/>
  <c r="B6" i="16" s="1"/>
  <c r="AG6" i="16" s="1"/>
  <c r="AD17" i="1429"/>
  <c r="B14" i="16" s="1"/>
  <c r="AG14" i="16" s="1"/>
  <c r="AD13" i="1429"/>
  <c r="B10" i="16" s="1"/>
  <c r="AG10" i="16" s="1"/>
  <c r="P10" i="1429"/>
  <c r="AC10" i="1429" s="1"/>
  <c r="Q21" i="1429"/>
  <c r="L21" i="1429"/>
  <c r="O21" i="1429" s="1"/>
  <c r="AD11" i="1429"/>
  <c r="B8" i="16" s="1"/>
  <c r="AG8" i="16" s="1"/>
  <c r="AD12" i="1429"/>
  <c r="B9" i="16" s="1"/>
  <c r="AG9" i="16" s="1"/>
  <c r="M10" i="1429"/>
  <c r="AB10" i="1429"/>
  <c r="O18" i="1429"/>
  <c r="AD18" i="1429" s="1"/>
  <c r="B15" i="16" s="1"/>
  <c r="AG15" i="16" s="1"/>
  <c r="P19" i="1429"/>
  <c r="AC19" i="1429" s="1"/>
  <c r="AD19" i="1429" s="1"/>
  <c r="B16" i="16" s="1"/>
  <c r="AG16" i="16" s="1"/>
  <c r="AD6" i="1429"/>
  <c r="B3" i="16" s="1"/>
  <c r="AG3" i="16" s="1"/>
  <c r="K21" i="1429"/>
  <c r="P8" i="1429"/>
  <c r="AC8" i="1429" s="1"/>
  <c r="AD8" i="1429" s="1"/>
  <c r="B5" i="16" s="1"/>
  <c r="AG5" i="16" s="1"/>
  <c r="O10" i="1429"/>
  <c r="M16" i="1429"/>
  <c r="AB16" i="1429"/>
  <c r="M20" i="1429"/>
  <c r="AB20" i="1429"/>
  <c r="AD20" i="1429" s="1"/>
  <c r="B17" i="16" s="1"/>
  <c r="AG17" i="16" s="1"/>
  <c r="M19" i="1429"/>
  <c r="AE20" i="1430" l="1"/>
  <c r="AE19" i="1430"/>
  <c r="AE12" i="1430"/>
  <c r="AE9" i="1430"/>
  <c r="AE16" i="1430"/>
  <c r="AE14" i="1430"/>
  <c r="AE21" i="1430"/>
  <c r="AE18" i="1430"/>
  <c r="AE7" i="1430"/>
  <c r="AE8" i="1430"/>
  <c r="AE10" i="1430"/>
  <c r="AE13" i="1430"/>
  <c r="AE11" i="1430"/>
  <c r="AE17" i="1430"/>
  <c r="AE6" i="1430"/>
  <c r="AE15" i="1430"/>
  <c r="AD16" i="1429"/>
  <c r="B13" i="16" s="1"/>
  <c r="AG13" i="16" s="1"/>
  <c r="AD15" i="1429"/>
  <c r="B12" i="16" s="1"/>
  <c r="AG12" i="16" s="1"/>
  <c r="AD10" i="1429"/>
  <c r="B7" i="16" s="1"/>
  <c r="AG7" i="16" s="1"/>
  <c r="M21" i="1429"/>
  <c r="AB21" i="1429"/>
  <c r="AC21" i="1429"/>
  <c r="P21" i="1429"/>
  <c r="AD21" i="1429" l="1"/>
  <c r="B18" i="16" s="1"/>
  <c r="AG18" i="16" s="1"/>
  <c r="AE15" i="1429" l="1"/>
  <c r="AE16" i="1429"/>
  <c r="AE13" i="1429"/>
  <c r="AE7" i="1429"/>
  <c r="AE20" i="1429"/>
  <c r="AE19" i="1429"/>
  <c r="AE14" i="1429"/>
  <c r="AE9" i="1429"/>
  <c r="AE6" i="1429"/>
  <c r="AE10" i="1429"/>
  <c r="AE17" i="1429"/>
  <c r="AE12" i="1429"/>
  <c r="AE11" i="1429"/>
  <c r="AE8" i="1429"/>
  <c r="AE18" i="1429"/>
</calcChain>
</file>

<file path=xl/sharedStrings.xml><?xml version="1.0" encoding="utf-8"?>
<sst xmlns="http://schemas.openxmlformats.org/spreadsheetml/2006/main" count="5066" uniqueCount="579">
  <si>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</si>
  <si>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</si>
  <si>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</si>
  <si>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</si>
  <si>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</si>
  <si>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</si>
  <si>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</si>
  <si>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</si>
  <si>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</si>
  <si>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</si>
  <si>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</si>
  <si>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</si>
  <si>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</si>
  <si>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</si>
  <si>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</si>
  <si>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</si>
  <si>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</si>
  <si>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</si>
  <si>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</si>
  <si>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</si>
  <si>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</si>
  <si>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</si>
  <si>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</si>
  <si>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</si>
  <si>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</si>
  <si>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</si>
  <si>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</si>
  <si>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</si>
  <si>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</si>
  <si>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</si>
  <si>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</si>
  <si>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</si>
  <si>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</si>
  <si>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</si>
  <si>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</si>
  <si>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</si>
  <si>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</si>
  <si>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</si>
  <si>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</si>
  <si>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</si>
  <si>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</si>
  <si>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</si>
  <si>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</si>
  <si>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</si>
  <si>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</si>
  <si>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</si>
  <si>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</si>
  <si>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</si>
  <si>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</si>
  <si>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</si>
  <si>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</si>
  <si>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</si>
  <si>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</si>
  <si>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</si>
  <si>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</si>
  <si>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</si>
  <si>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</si>
  <si>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</si>
  <si>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</si>
  <si>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</si>
  <si>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</si>
  <si>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</si>
  <si>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</si>
  <si>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</si>
  <si>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</si>
  <si>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</si>
  <si>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</si>
  <si>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</si>
  <si>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</si>
  <si>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</si>
  <si>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</si>
  <si>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</si>
  <si>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</si>
  <si>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</si>
  <si>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</si>
  <si>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</si>
  <si>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</si>
  <si>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</si>
  <si>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</si>
  <si>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</si>
  <si>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</si>
  <si>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</si>
  <si>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</si>
  <si>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</si>
  <si>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</si>
  <si>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</si>
  <si>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</si>
  <si>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</si>
  <si>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</si>
  <si>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</si>
  <si>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</si>
  <si>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</si>
  <si>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</si>
  <si>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</si>
  <si>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</si>
  <si>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</si>
  <si>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</si>
  <si>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</si>
  <si>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</si>
  <si>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</si>
  <si>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</si>
  <si>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</si>
  <si>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</si>
  <si>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</si>
  <si>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</si>
  <si>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</si>
  <si>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</si>
  <si>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</si>
  <si>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</si>
  <si>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</si>
  <si>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</si>
  <si>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</si>
  <si>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</si>
  <si>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</si>
  <si>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</si>
  <si>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</si>
  <si>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</si>
  <si>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</si>
  <si>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</si>
  <si>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</si>
  <si>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미성형</t>
    <phoneticPr fontId="2" type="noConversion"/>
  </si>
  <si>
    <t>발주분양산</t>
    <phoneticPr fontId="2" type="noConversion"/>
  </si>
  <si>
    <t>SGF2033</t>
    <phoneticPr fontId="2" type="noConversion"/>
  </si>
  <si>
    <t>STOPPER</t>
    <phoneticPr fontId="2" type="noConversion"/>
  </si>
  <si>
    <t>SF2255</t>
    <phoneticPr fontId="2" type="noConversion"/>
  </si>
  <si>
    <t>ADAPTER</t>
    <phoneticPr fontId="2" type="noConversion"/>
  </si>
  <si>
    <t>SST</t>
    <phoneticPr fontId="2" type="noConversion"/>
  </si>
  <si>
    <t>KR6197-D475PA</t>
    <phoneticPr fontId="2" type="noConversion"/>
  </si>
  <si>
    <t>7301</t>
    <phoneticPr fontId="2" type="noConversion"/>
  </si>
  <si>
    <t>ACTUATOR</t>
    <phoneticPr fontId="2" type="noConversion"/>
  </si>
  <si>
    <t>KR6197AB841CB</t>
    <phoneticPr fontId="2" type="noConversion"/>
  </si>
  <si>
    <t>AMB1904D-KAA-R2</t>
    <phoneticPr fontId="2" type="noConversion"/>
  </si>
  <si>
    <t>SGF2050 N/P</t>
    <phoneticPr fontId="2" type="noConversion"/>
  </si>
  <si>
    <t>28P</t>
    <phoneticPr fontId="2" type="noConversion"/>
  </si>
  <si>
    <t>전일 ISSUE 사항(01일)</t>
    <phoneticPr fontId="2" type="noConversion"/>
  </si>
  <si>
    <t>4</t>
    <phoneticPr fontId="2" type="noConversion"/>
  </si>
  <si>
    <t>13</t>
    <phoneticPr fontId="2" type="noConversion"/>
  </si>
  <si>
    <t>수리후양산</t>
    <phoneticPr fontId="2" type="noConversion"/>
  </si>
  <si>
    <t>14</t>
    <phoneticPr fontId="2" type="noConversion"/>
  </si>
  <si>
    <t>당일 진행 사항(02일)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</si>
  <si>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</si>
  <si>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</si>
  <si>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</si>
  <si>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t>COVER</t>
    <phoneticPr fontId="2" type="noConversion"/>
  </si>
  <si>
    <t>JD4901</t>
    <phoneticPr fontId="2" type="noConversion"/>
  </si>
  <si>
    <t>2*1</t>
    <phoneticPr fontId="2" type="noConversion"/>
  </si>
  <si>
    <t>LATCH</t>
    <phoneticPr fontId="2" type="noConversion"/>
  </si>
  <si>
    <t>5</t>
    <phoneticPr fontId="2" type="noConversion"/>
  </si>
  <si>
    <t>AMB0172A-KAA-R1</t>
    <phoneticPr fontId="2" type="noConversion"/>
  </si>
  <si>
    <t>프라임텍</t>
    <phoneticPr fontId="2" type="noConversion"/>
  </si>
  <si>
    <t>10</t>
    <phoneticPr fontId="2" type="noConversion"/>
  </si>
  <si>
    <t>세척후양산</t>
    <phoneticPr fontId="2" type="noConversion"/>
  </si>
  <si>
    <t>AMB20D7A-KAA-R1</t>
    <phoneticPr fontId="2" type="noConversion"/>
  </si>
  <si>
    <t>LG35</t>
    <phoneticPr fontId="2" type="noConversion"/>
  </si>
  <si>
    <t>AYE</t>
    <phoneticPr fontId="2" type="noConversion"/>
  </si>
  <si>
    <t>SF2255 I/V</t>
    <phoneticPr fontId="2" type="noConversion"/>
  </si>
  <si>
    <t>SGF2030</t>
    <phoneticPr fontId="2" type="noConversion"/>
  </si>
  <si>
    <t>SLIDER</t>
    <phoneticPr fontId="2" type="noConversion"/>
  </si>
  <si>
    <t>SEPARATOR</t>
    <phoneticPr fontId="2" type="noConversion"/>
  </si>
  <si>
    <t>NP595-362-011#SP</t>
    <phoneticPr fontId="2" type="noConversion"/>
  </si>
  <si>
    <t>NP595-362-011#SP-A/B</t>
    <phoneticPr fontId="2" type="noConversion"/>
  </si>
  <si>
    <t>KR6182-A308YA</t>
    <phoneticPr fontId="2" type="noConversion"/>
  </si>
  <si>
    <t>SGF2050</t>
    <phoneticPr fontId="2" type="noConversion"/>
  </si>
  <si>
    <t>SPACER A/B</t>
    <phoneticPr fontId="2" type="noConversion"/>
  </si>
  <si>
    <t>KR6182-C624TB</t>
    <phoneticPr fontId="2" type="noConversion"/>
  </si>
  <si>
    <t>AMM0892A-KAA-R1</t>
    <phoneticPr fontId="2" type="noConversion"/>
  </si>
  <si>
    <t>SP-A/B</t>
    <phoneticPr fontId="2" type="noConversion"/>
  </si>
  <si>
    <t>1종</t>
    <phoneticPr fontId="2" type="noConversion"/>
  </si>
  <si>
    <t>SP</t>
    <phoneticPr fontId="2" type="noConversion"/>
  </si>
  <si>
    <t>NP628-1056-001#IN-A</t>
    <phoneticPr fontId="2" type="noConversion"/>
  </si>
  <si>
    <r>
      <t>2019년 05월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</si>
  <si>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K-JR01933-E01AWA</t>
    <phoneticPr fontId="2" type="noConversion"/>
  </si>
  <si>
    <t>05월 호기별 가동현황</t>
    <phoneticPr fontId="2" type="noConversion"/>
  </si>
  <si>
    <t>1C파손수리후양산-&gt;1C파손</t>
    <phoneticPr fontId="2" type="noConversion"/>
  </si>
  <si>
    <t>AMB0172A-KAA-R1</t>
    <phoneticPr fontId="2" type="noConversion"/>
  </si>
  <si>
    <t>BURR정지</t>
    <phoneticPr fontId="2" type="noConversion"/>
  </si>
  <si>
    <t>MCS</t>
    <phoneticPr fontId="2" type="noConversion"/>
  </si>
  <si>
    <t>13</t>
    <phoneticPr fontId="2" type="noConversion"/>
  </si>
  <si>
    <t>BASE</t>
    <phoneticPr fontId="2" type="noConversion"/>
  </si>
  <si>
    <t>LATCH</t>
    <phoneticPr fontId="2" type="noConversion"/>
  </si>
  <si>
    <t>K-JR01933-E01AWA</t>
    <phoneticPr fontId="2" type="noConversion"/>
  </si>
  <si>
    <t>NP628-1056-001#IN-A</t>
    <phoneticPr fontId="2" type="noConversion"/>
  </si>
  <si>
    <t>8</t>
    <phoneticPr fontId="2" type="noConversion"/>
  </si>
  <si>
    <t>30P(4POST)</t>
    <phoneticPr fontId="2" type="noConversion"/>
  </si>
  <si>
    <t>발주분양산</t>
    <phoneticPr fontId="2" type="noConversion"/>
  </si>
  <si>
    <t>DI</t>
    <phoneticPr fontId="2" type="noConversion"/>
  </si>
  <si>
    <t>15</t>
    <phoneticPr fontId="2" type="noConversion"/>
  </si>
  <si>
    <t>KR6182-D624PA</t>
    <phoneticPr fontId="2" type="noConversion"/>
  </si>
  <si>
    <t>3</t>
    <phoneticPr fontId="2" type="noConversion"/>
  </si>
  <si>
    <t>STOPPER</t>
    <phoneticPr fontId="2" type="noConversion"/>
  </si>
  <si>
    <r>
      <t>2019년 05월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</si>
  <si>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LEAD GUIDE</t>
    <phoneticPr fontId="2" type="noConversion"/>
  </si>
  <si>
    <t>K-JR01933-B01AZA</t>
    <phoneticPr fontId="2" type="noConversion"/>
  </si>
  <si>
    <t>SGP2020R</t>
    <phoneticPr fontId="2" type="noConversion"/>
  </si>
  <si>
    <t>K-JR01933-F01AWA</t>
    <phoneticPr fontId="2" type="noConversion"/>
  </si>
  <si>
    <t>30P</t>
    <phoneticPr fontId="2" type="noConversion"/>
  </si>
  <si>
    <t>전일 ISSUE 사항(02일)</t>
    <phoneticPr fontId="2" type="noConversion"/>
  </si>
  <si>
    <t>NP595-362-011#SP</t>
    <phoneticPr fontId="2" type="noConversion"/>
  </si>
  <si>
    <t>수리후양산</t>
    <phoneticPr fontId="2" type="noConversion"/>
  </si>
  <si>
    <t>AYE</t>
    <phoneticPr fontId="2" type="noConversion"/>
  </si>
  <si>
    <t>5</t>
    <phoneticPr fontId="2" type="noConversion"/>
  </si>
  <si>
    <t>SP</t>
    <phoneticPr fontId="2" type="noConversion"/>
  </si>
  <si>
    <t>세척후양산-&gt;코아파손정지</t>
    <phoneticPr fontId="2" type="noConversion"/>
  </si>
  <si>
    <t>KR6197AB841CB</t>
    <phoneticPr fontId="2" type="noConversion"/>
  </si>
  <si>
    <t>7</t>
    <phoneticPr fontId="2" type="noConversion"/>
  </si>
  <si>
    <t>BASE</t>
    <phoneticPr fontId="2" type="noConversion"/>
  </si>
  <si>
    <t>코아파손수리후양산</t>
    <phoneticPr fontId="2" type="noConversion"/>
  </si>
  <si>
    <t>K-JR01933-B01AZA</t>
    <phoneticPr fontId="2" type="noConversion"/>
  </si>
  <si>
    <t>8</t>
    <phoneticPr fontId="2" type="noConversion"/>
  </si>
  <si>
    <t>K-JR01933-F01AWA</t>
    <phoneticPr fontId="2" type="noConversion"/>
  </si>
  <si>
    <t>L/G</t>
    <phoneticPr fontId="2" type="noConversion"/>
  </si>
  <si>
    <t>AMB0172A-KAA-R1</t>
    <phoneticPr fontId="2" type="noConversion"/>
  </si>
  <si>
    <t>BURR수리후양산</t>
    <phoneticPr fontId="2" type="noConversion"/>
  </si>
  <si>
    <t>MCS</t>
    <phoneticPr fontId="2" type="noConversion"/>
  </si>
  <si>
    <t>13</t>
    <phoneticPr fontId="2" type="noConversion"/>
  </si>
  <si>
    <t>30P(4POST)</t>
    <phoneticPr fontId="2" type="noConversion"/>
  </si>
  <si>
    <t>DI</t>
    <phoneticPr fontId="2" type="noConversion"/>
  </si>
  <si>
    <t>15</t>
    <phoneticPr fontId="2" type="noConversion"/>
  </si>
  <si>
    <t>당일 진행 사항(03일)</t>
    <phoneticPr fontId="2" type="noConversion"/>
  </si>
  <si>
    <t>KR6197-06KA</t>
    <phoneticPr fontId="2" type="noConversion"/>
  </si>
  <si>
    <t>발주분양산</t>
    <phoneticPr fontId="2" type="noConversion"/>
  </si>
  <si>
    <t>6</t>
    <phoneticPr fontId="2" type="noConversion"/>
  </si>
  <si>
    <t>SHAFT</t>
    <phoneticPr fontId="2" type="noConversion"/>
  </si>
  <si>
    <t>K-JR01933-G01AWA</t>
    <phoneticPr fontId="2" type="noConversion"/>
  </si>
  <si>
    <t>ADAPTER</t>
    <phoneticPr fontId="2" type="noConversion"/>
  </si>
  <si>
    <t>AMM0827A-KAA-R2</t>
    <phoneticPr fontId="2" type="noConversion"/>
  </si>
  <si>
    <t>9</t>
    <phoneticPr fontId="2" type="noConversion"/>
  </si>
  <si>
    <t>SAMPLE 진행 사항(02일)</t>
    <phoneticPr fontId="2" type="noConversion"/>
  </si>
  <si>
    <t>LEAD GUIDE</t>
    <phoneticPr fontId="2" type="noConversion"/>
  </si>
  <si>
    <t>NP504-291-147#LO</t>
    <phoneticPr fontId="2" type="noConversion"/>
  </si>
  <si>
    <t>SGP2030R</t>
    <phoneticPr fontId="2" type="noConversion"/>
  </si>
  <si>
    <t>신작</t>
    <phoneticPr fontId="2" type="noConversion"/>
  </si>
  <si>
    <t>SP-A</t>
    <phoneticPr fontId="2" type="noConversion"/>
  </si>
  <si>
    <t>SP-B</t>
    <phoneticPr fontId="2" type="noConversion"/>
  </si>
  <si>
    <t>NP504-291-147#SP-A</t>
    <phoneticPr fontId="2" type="noConversion"/>
  </si>
  <si>
    <t>NP504-291-147#SP-B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</si>
  <si>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</si>
  <si>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</si>
  <si>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2019년 05월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</si>
  <si>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JCL3030</t>
    <phoneticPr fontId="2" type="noConversion"/>
  </si>
  <si>
    <t>KR6156BB841CA</t>
    <phoneticPr fontId="2" type="noConversion"/>
  </si>
  <si>
    <t>KR6170BD740UB</t>
    <phoneticPr fontId="2" type="noConversion"/>
  </si>
  <si>
    <t>BLUE</t>
    <phoneticPr fontId="2" type="noConversion"/>
  </si>
  <si>
    <t>전일 ISSUE 사항(03일)</t>
    <phoneticPr fontId="2" type="noConversion"/>
  </si>
  <si>
    <t>밀핀파손수리</t>
    <phoneticPr fontId="2" type="noConversion"/>
  </si>
  <si>
    <t>발주분양산-&gt;코아파손정지</t>
    <phoneticPr fontId="2" type="noConversion"/>
  </si>
  <si>
    <t>당일 진행 사항(04일)</t>
    <phoneticPr fontId="2" type="noConversion"/>
  </si>
  <si>
    <t>KR6421-B156AZB</t>
    <phoneticPr fontId="2" type="noConversion"/>
  </si>
  <si>
    <t>SAMPLE 진행 사항(03일)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</si>
  <si>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</si>
  <si>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</si>
  <si>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2019년 05월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</si>
  <si>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FLOATING</t>
    <phoneticPr fontId="2" type="noConversion"/>
  </si>
  <si>
    <t>KR6421-A156AWA</t>
    <phoneticPr fontId="2" type="noConversion"/>
  </si>
  <si>
    <t>SGF2030 N/P</t>
    <phoneticPr fontId="2" type="noConversion"/>
  </si>
  <si>
    <t>KR6421-D156AZA</t>
    <phoneticPr fontId="2" type="noConversion"/>
  </si>
  <si>
    <t>밀핀파손수리-&gt;밀핀파손정지</t>
    <phoneticPr fontId="2" type="noConversion"/>
  </si>
  <si>
    <t>전일 ISSUE 사항(04일)</t>
    <phoneticPr fontId="2" type="noConversion"/>
  </si>
  <si>
    <t>미성형정지</t>
    <phoneticPr fontId="2" type="noConversion"/>
  </si>
  <si>
    <t>1C파손양산</t>
    <phoneticPr fontId="2" type="noConversion"/>
  </si>
  <si>
    <t>하측박힘2회정지</t>
    <phoneticPr fontId="2" type="noConversion"/>
  </si>
  <si>
    <t>코아파손4회정지</t>
    <phoneticPr fontId="2" type="noConversion"/>
  </si>
  <si>
    <t>발주분양산-&gt;코아파손수리</t>
    <phoneticPr fontId="2" type="noConversion"/>
  </si>
  <si>
    <t>12</t>
    <phoneticPr fontId="2" type="noConversion"/>
  </si>
  <si>
    <t>당일 진행 사항(06일)</t>
    <phoneticPr fontId="2" type="noConversion"/>
  </si>
  <si>
    <t>KR6421-F1073AWA</t>
    <phoneticPr fontId="2" type="noConversion"/>
  </si>
  <si>
    <t>AMB1905B-KAA-R1</t>
    <phoneticPr fontId="2" type="noConversion"/>
  </si>
  <si>
    <t>KR6182-B624CB</t>
    <phoneticPr fontId="2" type="noConversion"/>
  </si>
  <si>
    <t>SAMPLE 진행 사항(04일)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</si>
  <si>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</si>
  <si>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</si>
  <si>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2019년 05월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</si>
  <si>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LEAD IN</t>
    <phoneticPr fontId="2" type="noConversion"/>
  </si>
  <si>
    <t>KR6421-M01ABA</t>
    <phoneticPr fontId="2" type="noConversion"/>
  </si>
  <si>
    <t>전일 ISSUE 사항(06일)</t>
    <phoneticPr fontId="2" type="noConversion"/>
  </si>
  <si>
    <t>AMB0175A-KAA-R1(1.0P)</t>
    <phoneticPr fontId="2" type="noConversion"/>
  </si>
  <si>
    <t>KR6421-F1073AWA</t>
    <phoneticPr fontId="2" type="noConversion"/>
  </si>
  <si>
    <t>14</t>
    <phoneticPr fontId="2" type="noConversion"/>
  </si>
  <si>
    <t>LEAD GUIDE</t>
    <phoneticPr fontId="2" type="noConversion"/>
  </si>
  <si>
    <t>당일 진행 사항(07일)</t>
    <phoneticPr fontId="2" type="noConversion"/>
  </si>
  <si>
    <t>KR6421-H156AZA</t>
    <phoneticPr fontId="2" type="noConversion"/>
  </si>
  <si>
    <t>발주분양산</t>
    <phoneticPr fontId="2" type="noConversion"/>
  </si>
  <si>
    <t>SST</t>
    <phoneticPr fontId="2" type="noConversion"/>
  </si>
  <si>
    <t>6</t>
    <phoneticPr fontId="2" type="noConversion"/>
  </si>
  <si>
    <t>HOLDER</t>
    <phoneticPr fontId="2" type="noConversion"/>
  </si>
  <si>
    <t>CB001</t>
    <phoneticPr fontId="2" type="noConversion"/>
  </si>
  <si>
    <t>GTS</t>
    <phoneticPr fontId="2" type="noConversion"/>
  </si>
  <si>
    <t>11</t>
    <phoneticPr fontId="2" type="noConversion"/>
  </si>
  <si>
    <t>72P</t>
    <phoneticPr fontId="2" type="noConversion"/>
  </si>
  <si>
    <t>DI</t>
    <phoneticPr fontId="2" type="noConversion"/>
  </si>
  <si>
    <t>15</t>
    <phoneticPr fontId="2" type="noConversion"/>
  </si>
  <si>
    <t>SAMPLE 진행 사항(06일)</t>
    <phoneticPr fontId="2" type="noConversion"/>
  </si>
  <si>
    <t>SGF2050</t>
    <phoneticPr fontId="2" type="noConversion"/>
  </si>
  <si>
    <t>수정</t>
    <phoneticPr fontId="2" type="noConversion"/>
  </si>
  <si>
    <t>9</t>
    <phoneticPr fontId="2" type="noConversion"/>
  </si>
  <si>
    <t>OKINS</t>
    <phoneticPr fontId="2" type="noConversion"/>
  </si>
  <si>
    <t>LATCH</t>
    <phoneticPr fontId="2" type="noConversion"/>
  </si>
  <si>
    <t>BF1-FA093A-2</t>
    <phoneticPr fontId="2" type="noConversion"/>
  </si>
  <si>
    <t>EX08302</t>
    <phoneticPr fontId="2" type="noConversion"/>
  </si>
  <si>
    <t>옵션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</si>
  <si>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</si>
  <si>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</si>
  <si>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2019년 05월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</si>
  <si>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BRACKER</t>
    <phoneticPr fontId="2" type="noConversion"/>
  </si>
  <si>
    <t>전일 ISSUE 사항(07일)</t>
    <phoneticPr fontId="2" type="noConversion"/>
  </si>
  <si>
    <t>코아파손2회,밀핀BURR정지</t>
    <phoneticPr fontId="2" type="noConversion"/>
  </si>
  <si>
    <t>KR6421-H01AZA</t>
    <phoneticPr fontId="2" type="noConversion"/>
  </si>
  <si>
    <t>발주분양산-&gt;상측박힘3회,하측박힘정지</t>
    <phoneticPr fontId="2" type="noConversion"/>
  </si>
  <si>
    <t>상측박힘2회정지</t>
    <phoneticPr fontId="2" type="noConversion"/>
  </si>
  <si>
    <t>발주분양산-&gt;에젝타수리</t>
    <phoneticPr fontId="2" type="noConversion"/>
  </si>
  <si>
    <t>BRACKET</t>
    <phoneticPr fontId="2" type="noConversion"/>
  </si>
  <si>
    <t>당일 진행 사항(08일)</t>
    <phoneticPr fontId="2" type="noConversion"/>
  </si>
  <si>
    <t>SAMPLE 진행 사항(07일)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</si>
  <si>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</si>
  <si>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</si>
  <si>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2019년 05월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</si>
  <si>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AMB0467A-KAA-R1</t>
    <phoneticPr fontId="2" type="noConversion"/>
  </si>
  <si>
    <t>전일 ISSUE 사항(08일)</t>
    <phoneticPr fontId="2" type="noConversion"/>
  </si>
  <si>
    <t>수리후양산-&gt;밀핀파손정지</t>
    <phoneticPr fontId="2" type="noConversion"/>
  </si>
  <si>
    <t>수리후양산-&gt;미성형정지</t>
    <phoneticPr fontId="2" type="noConversion"/>
  </si>
  <si>
    <t>FLOAT</t>
    <phoneticPr fontId="2" type="noConversion"/>
  </si>
  <si>
    <t>상측박힘수리</t>
    <phoneticPr fontId="2" type="noConversion"/>
  </si>
  <si>
    <t>당일 진행 사항(09일)</t>
    <phoneticPr fontId="2" type="noConversion"/>
  </si>
  <si>
    <t>KR6166-01TB</t>
    <phoneticPr fontId="2" type="noConversion"/>
  </si>
  <si>
    <t>발주분양산-&gt;칼퀴이상정지</t>
    <phoneticPr fontId="2" type="noConversion"/>
  </si>
  <si>
    <t>AMB0201A-JAA-R3</t>
    <phoneticPr fontId="2" type="noConversion"/>
  </si>
  <si>
    <t>AMB39D8A-KAA-R1</t>
    <phoneticPr fontId="2" type="noConversion"/>
  </si>
  <si>
    <t>SAMPLE 진행 사항(08일)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</si>
  <si>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</si>
  <si>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</si>
  <si>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2019년 05월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</si>
  <si>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전일 ISSUE 사항(09일)</t>
    <phoneticPr fontId="2" type="noConversion"/>
  </si>
  <si>
    <t>발주분양산-&gt;설비이상정지</t>
    <phoneticPr fontId="2" type="noConversion"/>
  </si>
  <si>
    <t>수리후양산-&gt;코아파손정지</t>
    <phoneticPr fontId="2" type="noConversion"/>
  </si>
  <si>
    <t>당일 진행 사항(10일)</t>
    <phoneticPr fontId="2" type="noConversion"/>
  </si>
  <si>
    <t>AMB1930A-KAA-R2</t>
    <phoneticPr fontId="2" type="noConversion"/>
  </si>
  <si>
    <t>SAMPLE 진행 사항(09일)</t>
    <phoneticPr fontId="2" type="noConversion"/>
  </si>
  <si>
    <t>A2</t>
    <phoneticPr fontId="2" type="noConversion"/>
  </si>
  <si>
    <t>TOP/BOTTOM</t>
    <phoneticPr fontId="2" type="noConversion"/>
  </si>
  <si>
    <t>NEXT</t>
    <phoneticPr fontId="2" type="noConversion"/>
  </si>
  <si>
    <t>A1</t>
    <phoneticPr fontId="2" type="noConversion"/>
  </si>
  <si>
    <t>AMB20D8A-KAA-R1</t>
    <phoneticPr fontId="2" type="noConversion"/>
  </si>
  <si>
    <t>SGF2030 N/P,8301</t>
    <phoneticPr fontId="2" type="noConversion"/>
  </si>
  <si>
    <t>각 20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</si>
  <si>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</si>
  <si>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</si>
  <si>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2019년 05월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</si>
  <si>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전일 ISSUE 사항(10일)</t>
    <phoneticPr fontId="2" type="noConversion"/>
  </si>
  <si>
    <t>당일 진행 사항(13일)</t>
    <phoneticPr fontId="2" type="noConversion"/>
  </si>
  <si>
    <t>수리후양산-&gt;BURR 2회수리</t>
    <phoneticPr fontId="2" type="noConversion"/>
  </si>
  <si>
    <t>수리후양산-&gt;상측박힘수리</t>
    <phoneticPr fontId="2" type="noConversion"/>
  </si>
  <si>
    <t>HICON</t>
    <phoneticPr fontId="2" type="noConversion"/>
  </si>
  <si>
    <t>HSF05-M01B1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</si>
  <si>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</si>
  <si>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</si>
  <si>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</si>
  <si>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2019년 05월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</si>
  <si>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BASE/UNDER</t>
    <phoneticPr fontId="2" type="noConversion"/>
  </si>
  <si>
    <t>25SSD-127-T6-BB/UA</t>
    <phoneticPr fontId="2" type="noConversion"/>
  </si>
  <si>
    <t>22P</t>
    <phoneticPr fontId="2" type="noConversion"/>
  </si>
  <si>
    <t>전일 ISSUE 사항(13일)</t>
    <phoneticPr fontId="2" type="noConversion"/>
  </si>
  <si>
    <t>오조립정지</t>
    <phoneticPr fontId="2" type="noConversion"/>
  </si>
  <si>
    <t>오조립수리</t>
    <phoneticPr fontId="2" type="noConversion"/>
  </si>
  <si>
    <t>당일 진행 사항(14일)</t>
    <phoneticPr fontId="2" type="noConversion"/>
  </si>
  <si>
    <t>K-JR01933-C01ALA</t>
    <phoneticPr fontId="2" type="noConversion"/>
  </si>
  <si>
    <t>SAMPLE 진행 사항(13일)</t>
    <phoneticPr fontId="2" type="noConversion"/>
  </si>
  <si>
    <t>NP636-2406-001#SP-A / B</t>
    <phoneticPr fontId="2" type="noConversion"/>
  </si>
  <si>
    <t>NP595-352-012#LB</t>
    <phoneticPr fontId="2" type="noConversion"/>
  </si>
  <si>
    <t>SGP2030R N/P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</si>
  <si>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</si>
  <si>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</si>
  <si>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2019년 05월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</si>
  <si>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SGF2041</t>
    <phoneticPr fontId="2" type="noConversion"/>
  </si>
  <si>
    <t>SGF2051</t>
    <phoneticPr fontId="2" type="noConversion"/>
  </si>
  <si>
    <t>A1 2종</t>
    <phoneticPr fontId="2" type="noConversion"/>
  </si>
  <si>
    <t>전일 ISSUE 사항(14일)</t>
    <phoneticPr fontId="2" type="noConversion"/>
  </si>
  <si>
    <t>발주분양산-&gt;에젝타이상정지</t>
    <phoneticPr fontId="2" type="noConversion"/>
  </si>
  <si>
    <t>당일 진행 사항(15일)</t>
    <phoneticPr fontId="2" type="noConversion"/>
  </si>
  <si>
    <t>HSF05-M04B1</t>
    <phoneticPr fontId="2" type="noConversion"/>
  </si>
  <si>
    <t>AMB0154A-KAA-R1</t>
    <phoneticPr fontId="2" type="noConversion"/>
  </si>
  <si>
    <t>SAMPLE 진행 사항(14일)</t>
    <phoneticPr fontId="2" type="noConversion"/>
  </si>
  <si>
    <t>NP636-2406-001#LB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</si>
  <si>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</si>
  <si>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</si>
  <si>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2019년 05월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</si>
  <si>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A2 2종</t>
    <phoneticPr fontId="2" type="noConversion"/>
  </si>
  <si>
    <t>전일 ISSUE 사항(15일)</t>
    <phoneticPr fontId="2" type="noConversion"/>
  </si>
  <si>
    <t>코아파손정지</t>
    <phoneticPr fontId="2" type="noConversion"/>
  </si>
  <si>
    <t>당일 진행 사항(16일)</t>
    <phoneticPr fontId="2" type="noConversion"/>
  </si>
  <si>
    <t>HB1208-10M3</t>
    <phoneticPr fontId="2" type="noConversion"/>
  </si>
  <si>
    <t>BASE/UNDER(2P)</t>
    <phoneticPr fontId="2" type="noConversion"/>
  </si>
  <si>
    <t>메카텍</t>
    <phoneticPr fontId="2" type="noConversion"/>
  </si>
  <si>
    <t>SAMPLE 진행 사항(15일)</t>
    <phoneticPr fontId="2" type="noConversion"/>
  </si>
  <si>
    <t>PUSHER 2</t>
    <phoneticPr fontId="2" type="noConversion"/>
  </si>
  <si>
    <t>HRGS-DS-06A</t>
    <phoneticPr fontId="2" type="noConversion"/>
  </si>
  <si>
    <t>AMB0174A-KAA-R1</t>
    <phoneticPr fontId="2" type="noConversion"/>
  </si>
  <si>
    <t>AMB0165B-KAA-R1</t>
    <phoneticPr fontId="2" type="noConversion"/>
  </si>
  <si>
    <t>UNDER</t>
    <phoneticPr fontId="2" type="noConversion"/>
  </si>
  <si>
    <t>AMB0233B-KAA-R1</t>
    <phoneticPr fontId="2" type="noConversion"/>
  </si>
  <si>
    <t>HANDLE</t>
    <phoneticPr fontId="2" type="noConversion"/>
  </si>
  <si>
    <t>M990-00001D-A0-07-V2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</si>
  <si>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</si>
  <si>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</si>
  <si>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2019년 05월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</si>
  <si>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AMM0840A-KAA-R2</t>
    <phoneticPr fontId="2" type="noConversion"/>
  </si>
  <si>
    <t>GN2330</t>
    <phoneticPr fontId="2" type="noConversion"/>
  </si>
  <si>
    <t>2P</t>
    <phoneticPr fontId="2" type="noConversion"/>
  </si>
  <si>
    <t>SP01</t>
    <phoneticPr fontId="2" type="noConversion"/>
  </si>
  <si>
    <t>전일 ISSUE 사항(16일)</t>
    <phoneticPr fontId="2" type="noConversion"/>
  </si>
  <si>
    <t>S01</t>
    <phoneticPr fontId="2" type="noConversion"/>
  </si>
  <si>
    <t>당일 진행 사항(17일)</t>
    <phoneticPr fontId="2" type="noConversion"/>
  </si>
  <si>
    <t>SAMPLE 진행 사항(16일)</t>
    <phoneticPr fontId="2" type="noConversion"/>
  </si>
  <si>
    <t>AMB09D7B-KAA-R1</t>
    <phoneticPr fontId="2" type="noConversion"/>
  </si>
  <si>
    <t>AMB0153B-KAA-R1</t>
    <phoneticPr fontId="2" type="noConversion"/>
  </si>
  <si>
    <t>288C84A-B125X</t>
    <phoneticPr fontId="2" type="noConversion"/>
  </si>
  <si>
    <t>AMB0341B-KAA-R1</t>
    <phoneticPr fontId="2" type="noConversion"/>
  </si>
  <si>
    <t>M990-00008D-A0-02</t>
    <phoneticPr fontId="2" type="noConversion"/>
  </si>
  <si>
    <t>요청</t>
    <phoneticPr fontId="2" type="noConversion"/>
  </si>
  <si>
    <t>넥스트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</si>
  <si>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</si>
  <si>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</si>
  <si>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2019년 05월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</si>
  <si>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AMM0840A-KAB-R2</t>
    <phoneticPr fontId="2" type="noConversion"/>
  </si>
  <si>
    <t>전일 ISSUE 사항(17일)</t>
    <phoneticPr fontId="2" type="noConversion"/>
  </si>
  <si>
    <t>당일 진행 사항(20일)</t>
    <phoneticPr fontId="2" type="noConversion"/>
  </si>
  <si>
    <t>SP A/B</t>
    <phoneticPr fontId="2" type="noConversion"/>
  </si>
  <si>
    <t>5벌 승인후양산</t>
    <phoneticPr fontId="2" type="noConversion"/>
  </si>
  <si>
    <t>SAMPLE 진행 사항(17일)</t>
    <phoneticPr fontId="2" type="noConversion"/>
  </si>
  <si>
    <t>M990-00001D-A0-01V1.9</t>
    <phoneticPr fontId="2" type="noConversion"/>
  </si>
  <si>
    <t>AMB09D8B-KAA-R1</t>
    <phoneticPr fontId="2" type="noConversion"/>
  </si>
  <si>
    <t>M990-00001D-A0-02</t>
    <phoneticPr fontId="2" type="noConversion"/>
  </si>
  <si>
    <t>AMB07R5B-KAA-R1</t>
    <phoneticPr fontId="2" type="noConversion"/>
  </si>
  <si>
    <t>AMB20D8A-KAA-R1(1.0P)</t>
    <phoneticPr fontId="2" type="noConversion"/>
  </si>
  <si>
    <t>AMB20D5A-KAA-R1(0.8P)</t>
    <phoneticPr fontId="2" type="noConversion"/>
  </si>
  <si>
    <t>M990-00008D-A0-01V1.9</t>
    <phoneticPr fontId="2" type="noConversion"/>
  </si>
  <si>
    <t>LATCH PLATE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</si>
  <si>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</si>
  <si>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</si>
  <si>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2019년 05월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</si>
  <si>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1D</t>
    <phoneticPr fontId="2" type="noConversion"/>
  </si>
  <si>
    <t>8D</t>
    <phoneticPr fontId="2" type="noConversion"/>
  </si>
  <si>
    <t>NP595-362-011#IN</t>
    <phoneticPr fontId="2" type="noConversion"/>
  </si>
  <si>
    <t>전일 ISSUE 사항(20일)</t>
    <phoneticPr fontId="2" type="noConversion"/>
  </si>
  <si>
    <t>발주분양산-&gt;오조립-&gt;수지박힘수리</t>
    <phoneticPr fontId="2" type="noConversion"/>
  </si>
  <si>
    <t>당일 진행 사항(21일)</t>
    <phoneticPr fontId="2" type="noConversion"/>
  </si>
  <si>
    <t>016-125-313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</si>
  <si>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</si>
  <si>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</si>
  <si>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</si>
  <si>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2019년 05월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</si>
  <si>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790 FLAPPER</t>
    <phoneticPr fontId="2" type="noConversion"/>
  </si>
  <si>
    <t>전일 ISSUE 사항(21일)</t>
    <phoneticPr fontId="2" type="noConversion"/>
  </si>
  <si>
    <t>790</t>
    <phoneticPr fontId="2" type="noConversion"/>
  </si>
  <si>
    <t>발주분양산-&gt;긁힘수리후양산</t>
    <phoneticPr fontId="2" type="noConversion"/>
  </si>
  <si>
    <t>당일 진행 사항(22일)</t>
    <phoneticPr fontId="2" type="noConversion"/>
  </si>
  <si>
    <t>수정후양산</t>
    <phoneticPr fontId="2" type="noConversion"/>
  </si>
  <si>
    <t>NP628-1056-001#IN-B-1</t>
    <phoneticPr fontId="2" type="noConversion"/>
  </si>
  <si>
    <t>SAMPLE 진행 사항(21일)</t>
    <phoneticPr fontId="2" type="noConversion"/>
  </si>
  <si>
    <t>F/A</t>
    <phoneticPr fontId="2" type="noConversion"/>
  </si>
  <si>
    <t>AMB20D5A-KAA-R1</t>
    <phoneticPr fontId="2" type="noConversion"/>
  </si>
  <si>
    <t>원재료</t>
    <phoneticPr fontId="2" type="noConversion"/>
  </si>
  <si>
    <t>PLANGE 1</t>
    <phoneticPr fontId="2" type="noConversion"/>
  </si>
  <si>
    <t>HRGS-DS-05A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</si>
  <si>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</si>
  <si>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</si>
  <si>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2019년 05월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</si>
  <si>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IN-A</t>
    <phoneticPr fontId="2" type="noConversion"/>
  </si>
  <si>
    <t>IN-B</t>
    <phoneticPr fontId="2" type="noConversion"/>
  </si>
  <si>
    <t>NP628-1056-001#IN-B</t>
    <phoneticPr fontId="2" type="noConversion"/>
  </si>
  <si>
    <t>전일 ISSUE 사항(22일)</t>
    <phoneticPr fontId="2" type="noConversion"/>
  </si>
  <si>
    <t>발주분양산-&gt;치수이상정지</t>
    <phoneticPr fontId="2" type="noConversion"/>
  </si>
  <si>
    <t>당일 진행 사항(23일)</t>
    <phoneticPr fontId="2" type="noConversion"/>
  </si>
  <si>
    <t>치수확인후양산</t>
    <phoneticPr fontId="2" type="noConversion"/>
  </si>
  <si>
    <t>AMB0227A-KAA-R1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</si>
  <si>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</si>
  <si>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</si>
  <si>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</si>
  <si>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2019년 05월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</si>
  <si>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AMB1926A-KAA-R1</t>
    <phoneticPr fontId="2" type="noConversion"/>
  </si>
  <si>
    <t>AMB07R5A-KAA-R1</t>
    <phoneticPr fontId="2" type="noConversion"/>
  </si>
  <si>
    <t>AMB0463A-KAA-R1</t>
    <phoneticPr fontId="2" type="noConversion"/>
  </si>
  <si>
    <t>AMB0349A-KAA-R1</t>
    <phoneticPr fontId="2" type="noConversion"/>
  </si>
  <si>
    <t>AMB0236A-KAA-R1</t>
    <phoneticPr fontId="2" type="noConversion"/>
  </si>
  <si>
    <t>전일 ISSUE 사항(23일)</t>
    <phoneticPr fontId="2" type="noConversion"/>
  </si>
  <si>
    <t>수리후양산-&gt;가스정지</t>
    <phoneticPr fontId="2" type="noConversion"/>
  </si>
  <si>
    <t>발주분양산</t>
  </si>
  <si>
    <t>당일 진행 사항(24일)</t>
    <phoneticPr fontId="2" type="noConversion"/>
  </si>
  <si>
    <t>AMB0167A-KAA-R1</t>
    <phoneticPr fontId="2" type="noConversion"/>
  </si>
  <si>
    <t>AMB0156A-KAA-R3</t>
    <phoneticPr fontId="2" type="noConversion"/>
  </si>
  <si>
    <t>BLOCK</t>
    <phoneticPr fontId="2" type="noConversion"/>
  </si>
  <si>
    <t>SAMPLE 진행 사항(23일)</t>
    <phoneticPr fontId="2" type="noConversion"/>
  </si>
  <si>
    <t>치수확인용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</si>
  <si>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</si>
  <si>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</si>
  <si>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t>AMB0223B-KAA-R1</t>
    <phoneticPr fontId="2" type="noConversion"/>
  </si>
  <si>
    <t>S475</t>
    <phoneticPr fontId="2" type="noConversion"/>
  </si>
  <si>
    <t>AMB0347A-KAA-R1</t>
    <phoneticPr fontId="2" type="noConversion"/>
  </si>
  <si>
    <t>260D83M-B118A</t>
    <phoneticPr fontId="2" type="noConversion"/>
  </si>
  <si>
    <r>
      <t>2019년 05월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</si>
  <si>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전일 ISSUE 사항(24일)</t>
    <phoneticPr fontId="2" type="noConversion"/>
  </si>
  <si>
    <t>발주분양산-&gt;하측박힘4회진행</t>
    <phoneticPr fontId="2" type="noConversion"/>
  </si>
  <si>
    <t>발주분양산-&gt;상측박힘3회정지</t>
    <phoneticPr fontId="2" type="noConversion"/>
  </si>
  <si>
    <t>발주분양산-&gt;미성형정지</t>
    <phoneticPr fontId="2" type="noConversion"/>
  </si>
  <si>
    <t>당일 진행 사항(27일)</t>
    <phoneticPr fontId="2" type="noConversion"/>
  </si>
  <si>
    <t>KR6156CA841YA</t>
    <phoneticPr fontId="2" type="noConversion"/>
  </si>
  <si>
    <t>260D83M-B118A</t>
    <phoneticPr fontId="2" type="noConversion"/>
  </si>
  <si>
    <t>KR6156BB841CA</t>
    <phoneticPr fontId="2" type="noConversion"/>
  </si>
  <si>
    <t>AMM0840A-KAB-R2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</si>
  <si>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</si>
  <si>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</si>
  <si>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</si>
  <si>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발주분양산</t>
    <phoneticPr fontId="2" type="noConversion"/>
  </si>
  <si>
    <t>수리후양산</t>
    <phoneticPr fontId="2" type="noConversion"/>
  </si>
  <si>
    <t>BASE</t>
    <phoneticPr fontId="2" type="noConversion"/>
  </si>
  <si>
    <t>OKINS</t>
    <phoneticPr fontId="2" type="noConversion"/>
  </si>
  <si>
    <t>6</t>
    <phoneticPr fontId="2" type="noConversion"/>
  </si>
  <si>
    <t>14</t>
    <phoneticPr fontId="2" type="noConversion"/>
  </si>
  <si>
    <t>MCS</t>
    <phoneticPr fontId="2" type="noConversion"/>
  </si>
  <si>
    <t>9</t>
    <phoneticPr fontId="2" type="noConversion"/>
  </si>
  <si>
    <t>SAMPLE 진행 사항(24일)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</si>
  <si>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</si>
  <si>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</si>
  <si>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2019년 05월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</si>
  <si>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RJR</t>
    <phoneticPr fontId="2" type="noConversion"/>
  </si>
  <si>
    <t>S475 N/P</t>
    <phoneticPr fontId="2" type="noConversion"/>
  </si>
  <si>
    <t>LID-0089</t>
    <phoneticPr fontId="2" type="noConversion"/>
  </si>
  <si>
    <t>FP02</t>
    <phoneticPr fontId="2" type="noConversion"/>
  </si>
  <si>
    <t>전일 ISSUE 사항(27일)</t>
    <phoneticPr fontId="2" type="noConversion"/>
  </si>
  <si>
    <t>상측박힘정지</t>
    <phoneticPr fontId="2" type="noConversion"/>
  </si>
  <si>
    <t>불량대치분</t>
    <phoneticPr fontId="2" type="noConversion"/>
  </si>
  <si>
    <t>D1</t>
    <phoneticPr fontId="2" type="noConversion"/>
  </si>
  <si>
    <t>당일 진행 사항(28일)</t>
    <phoneticPr fontId="2" type="noConversion"/>
  </si>
  <si>
    <t>발주분양산-&gt;치수NG 2회진행</t>
    <phoneticPr fontId="2" type="noConversion"/>
  </si>
  <si>
    <t>SAMPLE 진행 사항(27일)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</si>
  <si>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</si>
  <si>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</si>
  <si>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2019년 05월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</si>
  <si>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NP595-352-012#IN</t>
    <phoneticPr fontId="2" type="noConversion"/>
  </si>
  <si>
    <t>전일 ISSUE 사항(28일)</t>
    <phoneticPr fontId="2" type="noConversion"/>
  </si>
  <si>
    <t>수리후양산-&gt;BURR수리</t>
    <phoneticPr fontId="2" type="noConversion"/>
  </si>
  <si>
    <t>당일 진행 사항(29일)</t>
    <phoneticPr fontId="2" type="noConversion"/>
  </si>
  <si>
    <t>발주분양산-&gt;BURR수리</t>
    <phoneticPr fontId="2" type="noConversion"/>
  </si>
  <si>
    <t>TOP</t>
    <phoneticPr fontId="2" type="noConversion"/>
  </si>
  <si>
    <t>HRCS-00C11C</t>
    <phoneticPr fontId="2" type="noConversion"/>
  </si>
  <si>
    <t>SAMPLE 진행 사항(28일)</t>
    <phoneticPr fontId="2" type="noConversion"/>
  </si>
  <si>
    <t>AMB0175A-KAA-R1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</si>
  <si>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</si>
  <si>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</si>
  <si>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2019년 05월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</si>
  <si>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KR6156-06KA</t>
    <phoneticPr fontId="2" type="noConversion"/>
  </si>
  <si>
    <t>전일 ISSUE 사항(29일)</t>
    <phoneticPr fontId="2" type="noConversion"/>
  </si>
  <si>
    <t>발주분양산-&gt;런너박힘수리</t>
    <phoneticPr fontId="2" type="noConversion"/>
  </si>
  <si>
    <t>각인수리후양산-&gt;1C 막음</t>
    <phoneticPr fontId="2" type="noConversion"/>
  </si>
  <si>
    <t>발주분양산-&gt;긁힘 3회진행</t>
    <phoneticPr fontId="2" type="noConversion"/>
  </si>
  <si>
    <t>당일 진행 사항(30일)</t>
    <phoneticPr fontId="2" type="noConversion"/>
  </si>
  <si>
    <t>NP635-196-001#IN-A</t>
    <phoneticPr fontId="2" type="noConversion"/>
  </si>
  <si>
    <t>AAM0818C-KAB-R3</t>
    <phoneticPr fontId="2" type="noConversion"/>
  </si>
  <si>
    <t>SAMPLE 진행 사항(29일)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</si>
  <si>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</si>
  <si>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</si>
  <si>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2019년 05월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</si>
  <si>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BP22-127A1</t>
    <phoneticPr fontId="2" type="noConversion"/>
  </si>
  <si>
    <t>전일 ISSUE 사항(30일)</t>
    <phoneticPr fontId="2" type="noConversion"/>
  </si>
  <si>
    <t>발주분양산-&gt;밀핀수리</t>
    <phoneticPr fontId="2" type="noConversion"/>
  </si>
  <si>
    <t>당일 진행 사항(31일)</t>
    <phoneticPr fontId="2" type="noConversion"/>
  </si>
  <si>
    <t>NP635-196-001#IN-B</t>
    <phoneticPr fontId="2" type="noConversion"/>
  </si>
  <si>
    <t>SAMPLE 진행 사항(30일)</t>
    <phoneticPr fontId="2" type="noConversion"/>
  </si>
  <si>
    <t>SGF2030,2033,2050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</si>
  <si>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</si>
  <si>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</si>
  <si>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2019년 05월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</si>
  <si>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전일 ISSUE 사항(31일)</t>
    <phoneticPr fontId="2" type="noConversion"/>
  </si>
  <si>
    <t>코아파손수리-&gt;코아파손정지</t>
    <phoneticPr fontId="2" type="noConversion"/>
  </si>
  <si>
    <t>코아파손수리</t>
    <phoneticPr fontId="2" type="noConversion"/>
  </si>
  <si>
    <t>당일 진행 사항(01일)</t>
    <phoneticPr fontId="2" type="noConversion"/>
  </si>
  <si>
    <t>T/B</t>
    <phoneticPr fontId="2" type="noConversion"/>
  </si>
  <si>
    <t>SAMPLE 진행 사항(31일)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</si>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</sst>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11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left" vertical="center" shrinkToFit="1"/>
    </xf>
    <xf numFmtId="49" fontId="13" fillId="0" borderId="30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05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05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2.4193548387096774E-2</c:v>
                </c:pt>
                <c:pt idx="2">
                  <c:v>0.37096774193548387</c:v>
                </c:pt>
                <c:pt idx="3">
                  <c:v>0.49462365591397844</c:v>
                </c:pt>
                <c:pt idx="4">
                  <c:v>0.54569892473118276</c:v>
                </c:pt>
                <c:pt idx="5">
                  <c:v>0.40725806451612911</c:v>
                </c:pt>
                <c:pt idx="6">
                  <c:v>0.62563888693592062</c:v>
                </c:pt>
                <c:pt idx="7">
                  <c:v>0.42911876753389633</c:v>
                </c:pt>
                <c:pt idx="8">
                  <c:v>9.8428453267162944E-2</c:v>
                </c:pt>
                <c:pt idx="9">
                  <c:v>0.14784003018298436</c:v>
                </c:pt>
                <c:pt idx="10">
                  <c:v>0.25134408602150538</c:v>
                </c:pt>
                <c:pt idx="11">
                  <c:v>0.15860215053763438</c:v>
                </c:pt>
                <c:pt idx="12">
                  <c:v>0.55107526881720426</c:v>
                </c:pt>
                <c:pt idx="13">
                  <c:v>0.54973118279569888</c:v>
                </c:pt>
                <c:pt idx="14">
                  <c:v>0.37289271272637742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SPACER A/B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2">
                  <c:v>5296</c:v>
                </c:pt>
                <c:pt idx="3">
                  <c:v>4130</c:v>
                </c:pt>
                <c:pt idx="4">
                  <c:v>8836</c:v>
                </c:pt>
                <c:pt idx="6">
                  <c:v>4238</c:v>
                </c:pt>
                <c:pt idx="7">
                  <c:v>2733</c:v>
                </c:pt>
                <c:pt idx="9">
                  <c:v>1139</c:v>
                </c:pt>
                <c:pt idx="10">
                  <c:v>5389</c:v>
                </c:pt>
                <c:pt idx="12">
                  <c:v>3186</c:v>
                </c:pt>
                <c:pt idx="13">
                  <c:v>4317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B-4328-9347-3946D1E0B6AA}"/>
            </c:ext>
          </c:extLst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SPACER A/B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5296</c:v>
                </c:pt>
                <c:pt idx="3">
                  <c:v>4130</c:v>
                </c:pt>
                <c:pt idx="4">
                  <c:v>8836</c:v>
                </c:pt>
                <c:pt idx="5">
                  <c:v>542</c:v>
                </c:pt>
                <c:pt idx="6">
                  <c:v>4238</c:v>
                </c:pt>
                <c:pt idx="7">
                  <c:v>2733</c:v>
                </c:pt>
                <c:pt idx="8">
                  <c:v>110</c:v>
                </c:pt>
                <c:pt idx="9">
                  <c:v>1140</c:v>
                </c:pt>
                <c:pt idx="10">
                  <c:v>5389</c:v>
                </c:pt>
                <c:pt idx="11">
                  <c:v>3034</c:v>
                </c:pt>
                <c:pt idx="12">
                  <c:v>3186</c:v>
                </c:pt>
                <c:pt idx="13">
                  <c:v>4317</c:v>
                </c:pt>
                <c:pt idx="14">
                  <c:v>35468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B-4328-9347-3946D1E0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83%</c:v>
                </c:pt>
                <c:pt idx="5">
                  <c:v>0%</c:v>
                </c:pt>
                <c:pt idx="6">
                  <c:v>88%</c:v>
                </c:pt>
                <c:pt idx="7">
                  <c:v>71%</c:v>
                </c:pt>
                <c:pt idx="8">
                  <c:v>0%</c:v>
                </c:pt>
                <c:pt idx="9">
                  <c:v>33%</c:v>
                </c:pt>
                <c:pt idx="10">
                  <c:v>100%</c:v>
                </c:pt>
                <c:pt idx="11">
                  <c:v>0%</c:v>
                </c:pt>
                <c:pt idx="12">
                  <c:v>50%</c:v>
                </c:pt>
                <c:pt idx="13">
                  <c:v>79%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SPACER A/B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0.83333333333333337</c:v>
                </c:pt>
                <c:pt idx="5">
                  <c:v>0</c:v>
                </c:pt>
                <c:pt idx="6">
                  <c:v>0.875</c:v>
                </c:pt>
                <c:pt idx="7">
                  <c:v>0.70833333333333337</c:v>
                </c:pt>
                <c:pt idx="8">
                  <c:v>0</c:v>
                </c:pt>
                <c:pt idx="9">
                  <c:v>0.33304093567251458</c:v>
                </c:pt>
                <c:pt idx="10">
                  <c:v>1</c:v>
                </c:pt>
                <c:pt idx="11">
                  <c:v>0</c:v>
                </c:pt>
                <c:pt idx="12">
                  <c:v>0.5</c:v>
                </c:pt>
                <c:pt idx="13">
                  <c:v>0.79166666666666663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2F-48A9-9823-13AC5D3652D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2F-48A9-9823-13AC5D3652D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SPACER A/B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0.46386939571150099</c:v>
                </c:pt>
                <c:pt idx="1">
                  <c:v>0.46386939571150099</c:v>
                </c:pt>
                <c:pt idx="2">
                  <c:v>0.46386939571150099</c:v>
                </c:pt>
                <c:pt idx="3">
                  <c:v>0.46386939571150099</c:v>
                </c:pt>
                <c:pt idx="4">
                  <c:v>0.46386939571150099</c:v>
                </c:pt>
                <c:pt idx="5">
                  <c:v>0.46386939571150099</c:v>
                </c:pt>
                <c:pt idx="6">
                  <c:v>0.46386939571150099</c:v>
                </c:pt>
                <c:pt idx="7">
                  <c:v>0.46386939571150099</c:v>
                </c:pt>
                <c:pt idx="8">
                  <c:v>0.46386939571150099</c:v>
                </c:pt>
                <c:pt idx="9">
                  <c:v>0.46386939571150099</c:v>
                </c:pt>
                <c:pt idx="10">
                  <c:v>0.46386939571150099</c:v>
                </c:pt>
                <c:pt idx="11">
                  <c:v>0.46386939571150099</c:v>
                </c:pt>
                <c:pt idx="12">
                  <c:v>0.46386939571150099</c:v>
                </c:pt>
                <c:pt idx="13">
                  <c:v>0.46386939571150099</c:v>
                </c:pt>
                <c:pt idx="14">
                  <c:v>0.46386939571150099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2F-48A9-9823-13AC5D365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SPACER A/B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2">
                  <c:v>5296</c:v>
                </c:pt>
                <c:pt idx="3">
                  <c:v>4130</c:v>
                </c:pt>
                <c:pt idx="4">
                  <c:v>8836</c:v>
                </c:pt>
                <c:pt idx="6">
                  <c:v>4238</c:v>
                </c:pt>
                <c:pt idx="7">
                  <c:v>2733</c:v>
                </c:pt>
                <c:pt idx="9">
                  <c:v>1139</c:v>
                </c:pt>
                <c:pt idx="10">
                  <c:v>5389</c:v>
                </c:pt>
                <c:pt idx="12">
                  <c:v>3186</c:v>
                </c:pt>
                <c:pt idx="13">
                  <c:v>4317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A-4315-9D94-0E09B0FE21B7}"/>
            </c:ext>
          </c:extLst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SPACER A/B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5296</c:v>
                </c:pt>
                <c:pt idx="3">
                  <c:v>4130</c:v>
                </c:pt>
                <c:pt idx="4">
                  <c:v>8836</c:v>
                </c:pt>
                <c:pt idx="5">
                  <c:v>542</c:v>
                </c:pt>
                <c:pt idx="6">
                  <c:v>4238</c:v>
                </c:pt>
                <c:pt idx="7">
                  <c:v>2733</c:v>
                </c:pt>
                <c:pt idx="8">
                  <c:v>110</c:v>
                </c:pt>
                <c:pt idx="9">
                  <c:v>1140</c:v>
                </c:pt>
                <c:pt idx="10">
                  <c:v>5389</c:v>
                </c:pt>
                <c:pt idx="11">
                  <c:v>3034</c:v>
                </c:pt>
                <c:pt idx="12">
                  <c:v>3186</c:v>
                </c:pt>
                <c:pt idx="13">
                  <c:v>4317</c:v>
                </c:pt>
                <c:pt idx="14">
                  <c:v>35468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A-4315-9D94-0E09B0FE2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83%</c:v>
                </c:pt>
                <c:pt idx="5">
                  <c:v>0%</c:v>
                </c:pt>
                <c:pt idx="6">
                  <c:v>88%</c:v>
                </c:pt>
                <c:pt idx="7">
                  <c:v>71%</c:v>
                </c:pt>
                <c:pt idx="8">
                  <c:v>0%</c:v>
                </c:pt>
                <c:pt idx="9">
                  <c:v>33%</c:v>
                </c:pt>
                <c:pt idx="10">
                  <c:v>100%</c:v>
                </c:pt>
                <c:pt idx="11">
                  <c:v>0%</c:v>
                </c:pt>
                <c:pt idx="12">
                  <c:v>50%</c:v>
                </c:pt>
                <c:pt idx="13">
                  <c:v>79%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SPACER A/B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0.83333333333333337</c:v>
                </c:pt>
                <c:pt idx="5">
                  <c:v>0</c:v>
                </c:pt>
                <c:pt idx="6">
                  <c:v>0.875</c:v>
                </c:pt>
                <c:pt idx="7">
                  <c:v>0.70833333333333337</c:v>
                </c:pt>
                <c:pt idx="8">
                  <c:v>0</c:v>
                </c:pt>
                <c:pt idx="9">
                  <c:v>0.33304093567251458</c:v>
                </c:pt>
                <c:pt idx="10">
                  <c:v>1</c:v>
                </c:pt>
                <c:pt idx="11">
                  <c:v>0</c:v>
                </c:pt>
                <c:pt idx="12">
                  <c:v>0.5</c:v>
                </c:pt>
                <c:pt idx="13">
                  <c:v>0.79166666666666663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8-46FA-A4B9-259C0CE2FA9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C8-46FA-A4B9-259C0CE2FA9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COVER</c:v>
                </c:pt>
                <c:pt idx="11">
                  <c:v>ADAPTER</c:v>
                </c:pt>
                <c:pt idx="12">
                  <c:v>LATCH</c:v>
                </c:pt>
                <c:pt idx="13">
                  <c:v>SPACER A/B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0.46386939571150099</c:v>
                </c:pt>
                <c:pt idx="1">
                  <c:v>0.46386939571150099</c:v>
                </c:pt>
                <c:pt idx="2">
                  <c:v>0.46386939571150099</c:v>
                </c:pt>
                <c:pt idx="3">
                  <c:v>0.46386939571150099</c:v>
                </c:pt>
                <c:pt idx="4">
                  <c:v>0.46386939571150099</c:v>
                </c:pt>
                <c:pt idx="5">
                  <c:v>0.46386939571150099</c:v>
                </c:pt>
                <c:pt idx="6">
                  <c:v>0.46386939571150099</c:v>
                </c:pt>
                <c:pt idx="7">
                  <c:v>0.46386939571150099</c:v>
                </c:pt>
                <c:pt idx="8">
                  <c:v>0.46386939571150099</c:v>
                </c:pt>
                <c:pt idx="9">
                  <c:v>0.46386939571150099</c:v>
                </c:pt>
                <c:pt idx="10">
                  <c:v>0.46386939571150099</c:v>
                </c:pt>
                <c:pt idx="11">
                  <c:v>0.46386939571150099</c:v>
                </c:pt>
                <c:pt idx="12">
                  <c:v>0.46386939571150099</c:v>
                </c:pt>
                <c:pt idx="13">
                  <c:v>0.46386939571150099</c:v>
                </c:pt>
                <c:pt idx="14">
                  <c:v>0.46386939571150099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C8-46FA-A4B9-259C0CE2F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018-422B-887B-BC6A6EA31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18-422B-887B-BC6A6EA31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18-422B-887B-BC6A6EA31C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18-422B-887B-BC6A6EA31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2">
                  <c:v>4989</c:v>
                </c:pt>
                <c:pt idx="4">
                  <c:v>8066</c:v>
                </c:pt>
                <c:pt idx="6">
                  <c:v>4574</c:v>
                </c:pt>
                <c:pt idx="7">
                  <c:v>1123</c:v>
                </c:pt>
                <c:pt idx="8">
                  <c:v>1551</c:v>
                </c:pt>
                <c:pt idx="11">
                  <c:v>5514</c:v>
                </c:pt>
                <c:pt idx="13">
                  <c:v>5620</c:v>
                </c:pt>
                <c:pt idx="14">
                  <c:v>6116</c:v>
                </c:pt>
                <c:pt idx="15">
                  <c:v>26900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E-4071-834D-69585B03C4CF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4989</c:v>
                </c:pt>
                <c:pt idx="3">
                  <c:v>4130</c:v>
                </c:pt>
                <c:pt idx="4">
                  <c:v>8066</c:v>
                </c:pt>
                <c:pt idx="5">
                  <c:v>542</c:v>
                </c:pt>
                <c:pt idx="6">
                  <c:v>4574</c:v>
                </c:pt>
                <c:pt idx="7">
                  <c:v>1123</c:v>
                </c:pt>
                <c:pt idx="8">
                  <c:v>1551</c:v>
                </c:pt>
                <c:pt idx="9">
                  <c:v>110</c:v>
                </c:pt>
                <c:pt idx="10">
                  <c:v>1140</c:v>
                </c:pt>
                <c:pt idx="11">
                  <c:v>5514</c:v>
                </c:pt>
                <c:pt idx="12">
                  <c:v>3034</c:v>
                </c:pt>
                <c:pt idx="13">
                  <c:v>5620</c:v>
                </c:pt>
                <c:pt idx="14">
                  <c:v>6116</c:v>
                </c:pt>
                <c:pt idx="15">
                  <c:v>26900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E-4071-834D-69585B03C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0%</c:v>
                </c:pt>
                <c:pt idx="4">
                  <c:v>79%</c:v>
                </c:pt>
                <c:pt idx="5">
                  <c:v>0%</c:v>
                </c:pt>
                <c:pt idx="6">
                  <c:v>92%</c:v>
                </c:pt>
                <c:pt idx="7">
                  <c:v>42%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</c:v>
                </c:pt>
                <c:pt idx="4">
                  <c:v>0.79166666666666663</c:v>
                </c:pt>
                <c:pt idx="5">
                  <c:v>0</c:v>
                </c:pt>
                <c:pt idx="6">
                  <c:v>0.91666666666666663</c:v>
                </c:pt>
                <c:pt idx="7">
                  <c:v>0.41666666666666669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5-44CD-B060-0996ADD99D6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45-44CD-B060-0996ADD99D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0.46111111111111114</c:v>
                </c:pt>
                <c:pt idx="1">
                  <c:v>0.46111111111111114</c:v>
                </c:pt>
                <c:pt idx="2">
                  <c:v>0.46111111111111114</c:v>
                </c:pt>
                <c:pt idx="3">
                  <c:v>0.46111111111111114</c:v>
                </c:pt>
                <c:pt idx="4">
                  <c:v>0.46111111111111114</c:v>
                </c:pt>
                <c:pt idx="5">
                  <c:v>0.46111111111111114</c:v>
                </c:pt>
                <c:pt idx="6">
                  <c:v>0.46111111111111114</c:v>
                </c:pt>
                <c:pt idx="7">
                  <c:v>0.46111111111111114</c:v>
                </c:pt>
                <c:pt idx="8">
                  <c:v>0.46111111111111114</c:v>
                </c:pt>
                <c:pt idx="9">
                  <c:v>0.46111111111111114</c:v>
                </c:pt>
                <c:pt idx="10">
                  <c:v>0.46111111111111114</c:v>
                </c:pt>
                <c:pt idx="11">
                  <c:v>0.46111111111111114</c:v>
                </c:pt>
                <c:pt idx="12">
                  <c:v>0.46111111111111114</c:v>
                </c:pt>
                <c:pt idx="13">
                  <c:v>0.46111111111111114</c:v>
                </c:pt>
                <c:pt idx="14">
                  <c:v>0.46111111111111114</c:v>
                </c:pt>
                <c:pt idx="15">
                  <c:v>0.46111111111111114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45-44CD-B060-0996ADD99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2">
                  <c:v>4989</c:v>
                </c:pt>
                <c:pt idx="4">
                  <c:v>8066</c:v>
                </c:pt>
                <c:pt idx="6">
                  <c:v>4574</c:v>
                </c:pt>
                <c:pt idx="7">
                  <c:v>1123</c:v>
                </c:pt>
                <c:pt idx="8">
                  <c:v>1551</c:v>
                </c:pt>
                <c:pt idx="11">
                  <c:v>5514</c:v>
                </c:pt>
                <c:pt idx="13">
                  <c:v>5620</c:v>
                </c:pt>
                <c:pt idx="14">
                  <c:v>6116</c:v>
                </c:pt>
                <c:pt idx="15">
                  <c:v>26900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3-42A7-9455-7F9AFA8D5E13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4989</c:v>
                </c:pt>
                <c:pt idx="3">
                  <c:v>4130</c:v>
                </c:pt>
                <c:pt idx="4">
                  <c:v>8066</c:v>
                </c:pt>
                <c:pt idx="5">
                  <c:v>542</c:v>
                </c:pt>
                <c:pt idx="6">
                  <c:v>4574</c:v>
                </c:pt>
                <c:pt idx="7">
                  <c:v>1123</c:v>
                </c:pt>
                <c:pt idx="8">
                  <c:v>1551</c:v>
                </c:pt>
                <c:pt idx="9">
                  <c:v>110</c:v>
                </c:pt>
                <c:pt idx="10">
                  <c:v>1140</c:v>
                </c:pt>
                <c:pt idx="11">
                  <c:v>5514</c:v>
                </c:pt>
                <c:pt idx="12">
                  <c:v>3034</c:v>
                </c:pt>
                <c:pt idx="13">
                  <c:v>5620</c:v>
                </c:pt>
                <c:pt idx="14">
                  <c:v>6116</c:v>
                </c:pt>
                <c:pt idx="15">
                  <c:v>26900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93-42A7-9455-7F9AFA8D5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96%</c:v>
                </c:pt>
                <c:pt idx="3">
                  <c:v>0%</c:v>
                </c:pt>
                <c:pt idx="4">
                  <c:v>79%</c:v>
                </c:pt>
                <c:pt idx="5">
                  <c:v>0%</c:v>
                </c:pt>
                <c:pt idx="6">
                  <c:v>92%</c:v>
                </c:pt>
                <c:pt idx="7">
                  <c:v>42%</c:v>
                </c:pt>
                <c:pt idx="8">
                  <c:v>42%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0.95833333333333337</c:v>
                </c:pt>
                <c:pt idx="3">
                  <c:v>0</c:v>
                </c:pt>
                <c:pt idx="4">
                  <c:v>0.79166666666666663</c:v>
                </c:pt>
                <c:pt idx="5">
                  <c:v>0</c:v>
                </c:pt>
                <c:pt idx="6">
                  <c:v>0.91666666666666663</c:v>
                </c:pt>
                <c:pt idx="7">
                  <c:v>0.41666666666666669</c:v>
                </c:pt>
                <c:pt idx="8">
                  <c:v>0.41666666666666669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1-4229-94B9-3B25EE1D055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91-4229-94B9-3B25EE1D055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LEAD GUIDE</c:v>
                </c:pt>
                <c:pt idx="9">
                  <c:v>BASE</c:v>
                </c:pt>
                <c:pt idx="11">
                  <c:v>COVER</c:v>
                </c:pt>
                <c:pt idx="12">
                  <c:v>ADAPTER</c:v>
                </c:pt>
                <c:pt idx="13">
                  <c:v>BASE</c:v>
                </c:pt>
                <c:pt idx="14">
                  <c:v>SPACER A/B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0.46111111111111114</c:v>
                </c:pt>
                <c:pt idx="1">
                  <c:v>0.46111111111111114</c:v>
                </c:pt>
                <c:pt idx="2">
                  <c:v>0.46111111111111114</c:v>
                </c:pt>
                <c:pt idx="3">
                  <c:v>0.46111111111111114</c:v>
                </c:pt>
                <c:pt idx="4">
                  <c:v>0.46111111111111114</c:v>
                </c:pt>
                <c:pt idx="5">
                  <c:v>0.46111111111111114</c:v>
                </c:pt>
                <c:pt idx="6">
                  <c:v>0.46111111111111114</c:v>
                </c:pt>
                <c:pt idx="7">
                  <c:v>0.46111111111111114</c:v>
                </c:pt>
                <c:pt idx="8">
                  <c:v>0.46111111111111114</c:v>
                </c:pt>
                <c:pt idx="9">
                  <c:v>0.46111111111111114</c:v>
                </c:pt>
                <c:pt idx="10">
                  <c:v>0.46111111111111114</c:v>
                </c:pt>
                <c:pt idx="11">
                  <c:v>0.46111111111111114</c:v>
                </c:pt>
                <c:pt idx="12">
                  <c:v>0.46111111111111114</c:v>
                </c:pt>
                <c:pt idx="13">
                  <c:v>0.46111111111111114</c:v>
                </c:pt>
                <c:pt idx="14">
                  <c:v>0.46111111111111114</c:v>
                </c:pt>
                <c:pt idx="15">
                  <c:v>0.46111111111111114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91-4229-94B9-3B25EE1D0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9AD-4BB8-84C8-859494506F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AD-4BB8-84C8-859494506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9AD-4BB8-84C8-859494506FF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AD-4BB8-84C8-859494506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SPACER A/B</c:v>
                </c:pt>
              </c:strCache>
            </c:strRef>
          </c:cat>
          <c:val>
            <c:numRef>
              <c:f>'03'!$L$6:$L$22</c:f>
              <c:numCache>
                <c:formatCode>_(* #,##0_);_(* \(#,##0\);_(* "-"_);_(@_)</c:formatCode>
                <c:ptCount val="17"/>
                <c:pt idx="2">
                  <c:v>3963</c:v>
                </c:pt>
                <c:pt idx="3">
                  <c:v>4230</c:v>
                </c:pt>
                <c:pt idx="4">
                  <c:v>11688</c:v>
                </c:pt>
                <c:pt idx="5">
                  <c:v>190624</c:v>
                </c:pt>
                <c:pt idx="6">
                  <c:v>2392</c:v>
                </c:pt>
                <c:pt idx="7">
                  <c:v>2522</c:v>
                </c:pt>
                <c:pt idx="8">
                  <c:v>2174</c:v>
                </c:pt>
                <c:pt idx="9">
                  <c:v>1236</c:v>
                </c:pt>
                <c:pt idx="10">
                  <c:v>338</c:v>
                </c:pt>
                <c:pt idx="12">
                  <c:v>5464</c:v>
                </c:pt>
                <c:pt idx="14">
                  <c:v>5860</c:v>
                </c:pt>
                <c:pt idx="15">
                  <c:v>2299</c:v>
                </c:pt>
                <c:pt idx="16">
                  <c:v>40080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6-4BE1-9BEA-C36096157FBB}"/>
            </c:ext>
          </c:extLst>
        </c:ser>
        <c:ser>
          <c:idx val="1"/>
          <c:order val="1"/>
          <c:tx>
            <c:v>계획</c:v>
          </c:tx>
          <c:cat>
            <c:strRef>
              <c:f>'03'!$D$6:$D$22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SPACER A/B</c:v>
                </c:pt>
              </c:strCache>
            </c:strRef>
          </c:cat>
          <c:val>
            <c:numRef>
              <c:f>'03'!$J$6:$J$22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3963</c:v>
                </c:pt>
                <c:pt idx="3">
                  <c:v>4230</c:v>
                </c:pt>
                <c:pt idx="4">
                  <c:v>11688</c:v>
                </c:pt>
                <c:pt idx="5">
                  <c:v>190624</c:v>
                </c:pt>
                <c:pt idx="6">
                  <c:v>2392</c:v>
                </c:pt>
                <c:pt idx="7">
                  <c:v>2522</c:v>
                </c:pt>
                <c:pt idx="8">
                  <c:v>2174</c:v>
                </c:pt>
                <c:pt idx="9">
                  <c:v>1236</c:v>
                </c:pt>
                <c:pt idx="10">
                  <c:v>338</c:v>
                </c:pt>
                <c:pt idx="11">
                  <c:v>1140</c:v>
                </c:pt>
                <c:pt idx="12">
                  <c:v>5464</c:v>
                </c:pt>
                <c:pt idx="13">
                  <c:v>3034</c:v>
                </c:pt>
                <c:pt idx="14">
                  <c:v>5860</c:v>
                </c:pt>
                <c:pt idx="15">
                  <c:v>2299</c:v>
                </c:pt>
                <c:pt idx="16">
                  <c:v>40080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6-4BE1-9BEA-C36096157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79%</c:v>
                </c:pt>
                <c:pt idx="4">
                  <c:v>100%</c:v>
                </c:pt>
                <c:pt idx="5">
                  <c:v>96%</c:v>
                </c:pt>
                <c:pt idx="6">
                  <c:v>42%</c:v>
                </c:pt>
                <c:pt idx="7">
                  <c:v>50%</c:v>
                </c:pt>
                <c:pt idx="8">
                  <c:v>46%</c:v>
                </c:pt>
                <c:pt idx="9">
                  <c:v>38%</c:v>
                </c:pt>
                <c:pt idx="10">
                  <c:v>25%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42%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SPACER A/B</c:v>
                </c:pt>
              </c:strCache>
            </c:strRef>
          </c:cat>
          <c:val>
            <c:numRef>
              <c:f>'03'!$AD$6:$AD$22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0.79166666666666663</c:v>
                </c:pt>
                <c:pt idx="4">
                  <c:v>1</c:v>
                </c:pt>
                <c:pt idx="5">
                  <c:v>0.95833333333333337</c:v>
                </c:pt>
                <c:pt idx="6">
                  <c:v>0.41666666666666669</c:v>
                </c:pt>
                <c:pt idx="7">
                  <c:v>0.5</c:v>
                </c:pt>
                <c:pt idx="8">
                  <c:v>0.45833333333333331</c:v>
                </c:pt>
                <c:pt idx="9">
                  <c:v>0.375</c:v>
                </c:pt>
                <c:pt idx="10">
                  <c:v>0.25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0.41666666666666669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4-4F94-A9C0-41F6CECC383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64-4F94-A9C0-41F6CECC383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SPACER A/B</c:v>
                </c:pt>
              </c:strCache>
            </c:strRef>
          </c:cat>
          <c:val>
            <c:numRef>
              <c:f>'03'!$AE$6:$AE$22</c:f>
              <c:numCache>
                <c:formatCode>0%</c:formatCode>
                <c:ptCount val="17"/>
                <c:pt idx="0">
                  <c:v>0.57222222222222219</c:v>
                </c:pt>
                <c:pt idx="1">
                  <c:v>0.57222222222222219</c:v>
                </c:pt>
                <c:pt idx="2">
                  <c:v>0.57222222222222219</c:v>
                </c:pt>
                <c:pt idx="3">
                  <c:v>0.57222222222222219</c:v>
                </c:pt>
                <c:pt idx="4">
                  <c:v>0.57222222222222219</c:v>
                </c:pt>
                <c:pt idx="5">
                  <c:v>0.57222222222222219</c:v>
                </c:pt>
                <c:pt idx="6">
                  <c:v>0.57222222222222219</c:v>
                </c:pt>
                <c:pt idx="7">
                  <c:v>0.57222222222222219</c:v>
                </c:pt>
                <c:pt idx="8">
                  <c:v>0.57222222222222219</c:v>
                </c:pt>
                <c:pt idx="9">
                  <c:v>0.57222222222222219</c:v>
                </c:pt>
                <c:pt idx="10">
                  <c:v>0.57222222222222219</c:v>
                </c:pt>
                <c:pt idx="11">
                  <c:v>0.57222222222222219</c:v>
                </c:pt>
                <c:pt idx="12">
                  <c:v>0.57222222222222219</c:v>
                </c:pt>
                <c:pt idx="13">
                  <c:v>0.57222222222222219</c:v>
                </c:pt>
                <c:pt idx="14">
                  <c:v>0.57222222222222219</c:v>
                </c:pt>
                <c:pt idx="15">
                  <c:v>0.57222222222222219</c:v>
                </c:pt>
                <c:pt idx="16">
                  <c:v>0.57222222222222219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64-4F94-A9C0-41F6CECC3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SPACER A/B</c:v>
                </c:pt>
              </c:strCache>
            </c:strRef>
          </c:cat>
          <c:val>
            <c:numRef>
              <c:f>'03'!$L$6:$L$22</c:f>
              <c:numCache>
                <c:formatCode>_(* #,##0_);_(* \(#,##0\);_(* "-"_);_(@_)</c:formatCode>
                <c:ptCount val="17"/>
                <c:pt idx="2">
                  <c:v>3963</c:v>
                </c:pt>
                <c:pt idx="3">
                  <c:v>4230</c:v>
                </c:pt>
                <c:pt idx="4">
                  <c:v>11688</c:v>
                </c:pt>
                <c:pt idx="5">
                  <c:v>190624</c:v>
                </c:pt>
                <c:pt idx="6">
                  <c:v>2392</c:v>
                </c:pt>
                <c:pt idx="7">
                  <c:v>2522</c:v>
                </c:pt>
                <c:pt idx="8">
                  <c:v>2174</c:v>
                </c:pt>
                <c:pt idx="9">
                  <c:v>1236</c:v>
                </c:pt>
                <c:pt idx="10">
                  <c:v>338</c:v>
                </c:pt>
                <c:pt idx="12">
                  <c:v>5464</c:v>
                </c:pt>
                <c:pt idx="14">
                  <c:v>5860</c:v>
                </c:pt>
                <c:pt idx="15">
                  <c:v>2299</c:v>
                </c:pt>
                <c:pt idx="16">
                  <c:v>40080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4-4FEB-A09A-863FCD427D19}"/>
            </c:ext>
          </c:extLst>
        </c:ser>
        <c:ser>
          <c:idx val="1"/>
          <c:order val="1"/>
          <c:tx>
            <c:v>계획</c:v>
          </c:tx>
          <c:cat>
            <c:strRef>
              <c:f>'03'!$D$6:$D$22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SPACER A/B</c:v>
                </c:pt>
              </c:strCache>
            </c:strRef>
          </c:cat>
          <c:val>
            <c:numRef>
              <c:f>'03'!$J$6:$J$22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3963</c:v>
                </c:pt>
                <c:pt idx="3">
                  <c:v>4230</c:v>
                </c:pt>
                <c:pt idx="4">
                  <c:v>11688</c:v>
                </c:pt>
                <c:pt idx="5">
                  <c:v>190624</c:v>
                </c:pt>
                <c:pt idx="6">
                  <c:v>2392</c:v>
                </c:pt>
                <c:pt idx="7">
                  <c:v>2522</c:v>
                </c:pt>
                <c:pt idx="8">
                  <c:v>2174</c:v>
                </c:pt>
                <c:pt idx="9">
                  <c:v>1236</c:v>
                </c:pt>
                <c:pt idx="10">
                  <c:v>338</c:v>
                </c:pt>
                <c:pt idx="11">
                  <c:v>1140</c:v>
                </c:pt>
                <c:pt idx="12">
                  <c:v>5464</c:v>
                </c:pt>
                <c:pt idx="13">
                  <c:v>3034</c:v>
                </c:pt>
                <c:pt idx="14">
                  <c:v>5860</c:v>
                </c:pt>
                <c:pt idx="15">
                  <c:v>2299</c:v>
                </c:pt>
                <c:pt idx="16">
                  <c:v>40080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4-4FEB-A09A-863FCD42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79%</c:v>
                </c:pt>
                <c:pt idx="4">
                  <c:v>100%</c:v>
                </c:pt>
                <c:pt idx="5">
                  <c:v>96%</c:v>
                </c:pt>
                <c:pt idx="6">
                  <c:v>42%</c:v>
                </c:pt>
                <c:pt idx="7">
                  <c:v>50%</c:v>
                </c:pt>
                <c:pt idx="8">
                  <c:v>46%</c:v>
                </c:pt>
                <c:pt idx="9">
                  <c:v>38%</c:v>
                </c:pt>
                <c:pt idx="10">
                  <c:v>25%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42%</c:v>
                </c:pt>
                <c:pt idx="16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SPACER A/B</c:v>
                </c:pt>
              </c:strCache>
            </c:strRef>
          </c:cat>
          <c:val>
            <c:numRef>
              <c:f>'03'!$AD$6:$AD$22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0.79166666666666663</c:v>
                </c:pt>
                <c:pt idx="4">
                  <c:v>1</c:v>
                </c:pt>
                <c:pt idx="5">
                  <c:v>0.95833333333333337</c:v>
                </c:pt>
                <c:pt idx="6">
                  <c:v>0.41666666666666669</c:v>
                </c:pt>
                <c:pt idx="7">
                  <c:v>0.5</c:v>
                </c:pt>
                <c:pt idx="8">
                  <c:v>0.45833333333333331</c:v>
                </c:pt>
                <c:pt idx="9">
                  <c:v>0.375</c:v>
                </c:pt>
                <c:pt idx="10">
                  <c:v>0.25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0.41666666666666669</c:v>
                </c:pt>
                <c:pt idx="16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A-419E-AB03-C2708FF09C7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FA-419E-AB03-C2708FF09C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'03'!$D$6:$D$22</c:f>
              <c:strCache>
                <c:ptCount val="16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BASE</c:v>
                </c:pt>
                <c:pt idx="8">
                  <c:v>STOPPER</c:v>
                </c:pt>
                <c:pt idx="9">
                  <c:v>ADAPTER</c:v>
                </c:pt>
                <c:pt idx="10">
                  <c:v>BASE</c:v>
                </c:pt>
                <c:pt idx="12">
                  <c:v>COVER</c:v>
                </c:pt>
                <c:pt idx="13">
                  <c:v>ADAPTER</c:v>
                </c:pt>
                <c:pt idx="14">
                  <c:v>BASE</c:v>
                </c:pt>
                <c:pt idx="15">
                  <c:v>SPACER A/B</c:v>
                </c:pt>
              </c:strCache>
            </c:strRef>
          </c:cat>
          <c:val>
            <c:numRef>
              <c:f>'03'!$AE$6:$AE$22</c:f>
              <c:numCache>
                <c:formatCode>0%</c:formatCode>
                <c:ptCount val="17"/>
                <c:pt idx="0">
                  <c:v>0.57222222222222219</c:v>
                </c:pt>
                <c:pt idx="1">
                  <c:v>0.57222222222222219</c:v>
                </c:pt>
                <c:pt idx="2">
                  <c:v>0.57222222222222219</c:v>
                </c:pt>
                <c:pt idx="3">
                  <c:v>0.57222222222222219</c:v>
                </c:pt>
                <c:pt idx="4">
                  <c:v>0.57222222222222219</c:v>
                </c:pt>
                <c:pt idx="5">
                  <c:v>0.57222222222222219</c:v>
                </c:pt>
                <c:pt idx="6">
                  <c:v>0.57222222222222219</c:v>
                </c:pt>
                <c:pt idx="7">
                  <c:v>0.57222222222222219</c:v>
                </c:pt>
                <c:pt idx="8">
                  <c:v>0.57222222222222219</c:v>
                </c:pt>
                <c:pt idx="9">
                  <c:v>0.57222222222222219</c:v>
                </c:pt>
                <c:pt idx="10">
                  <c:v>0.57222222222222219</c:v>
                </c:pt>
                <c:pt idx="11">
                  <c:v>0.57222222222222219</c:v>
                </c:pt>
                <c:pt idx="12">
                  <c:v>0.57222222222222219</c:v>
                </c:pt>
                <c:pt idx="13">
                  <c:v>0.57222222222222219</c:v>
                </c:pt>
                <c:pt idx="14">
                  <c:v>0.57222222222222219</c:v>
                </c:pt>
                <c:pt idx="15">
                  <c:v>0.57222222222222219</c:v>
                </c:pt>
                <c:pt idx="16">
                  <c:v>0.57222222222222219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A-419E-AB03-C2708FF0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C39-44FF-A97D-5D69AECEE5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39-44FF-A97D-5D69AECEE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39-44FF-A97D-5D69AECEE5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39-44FF-A97D-5D69AECEE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4268</c:v>
                </c:pt>
                <c:pt idx="3">
                  <c:v>4409</c:v>
                </c:pt>
                <c:pt idx="4">
                  <c:v>6640</c:v>
                </c:pt>
                <c:pt idx="5">
                  <c:v>191136</c:v>
                </c:pt>
                <c:pt idx="6">
                  <c:v>5294</c:v>
                </c:pt>
                <c:pt idx="8">
                  <c:v>104</c:v>
                </c:pt>
                <c:pt idx="10">
                  <c:v>5479</c:v>
                </c:pt>
                <c:pt idx="11">
                  <c:v>1678</c:v>
                </c:pt>
                <c:pt idx="12">
                  <c:v>1867</c:v>
                </c:pt>
                <c:pt idx="13">
                  <c:v>2304</c:v>
                </c:pt>
                <c:pt idx="14">
                  <c:v>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2-4166-8DF5-79212F3D7381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4268</c:v>
                </c:pt>
                <c:pt idx="3">
                  <c:v>4409</c:v>
                </c:pt>
                <c:pt idx="4">
                  <c:v>6640</c:v>
                </c:pt>
                <c:pt idx="5">
                  <c:v>191136</c:v>
                </c:pt>
                <c:pt idx="6">
                  <c:v>5294</c:v>
                </c:pt>
                <c:pt idx="7">
                  <c:v>2174</c:v>
                </c:pt>
                <c:pt idx="8">
                  <c:v>338</c:v>
                </c:pt>
                <c:pt idx="9">
                  <c:v>1140</c:v>
                </c:pt>
                <c:pt idx="10">
                  <c:v>5479</c:v>
                </c:pt>
                <c:pt idx="11">
                  <c:v>1678</c:v>
                </c:pt>
                <c:pt idx="12">
                  <c:v>1867</c:v>
                </c:pt>
                <c:pt idx="13">
                  <c:v>2304</c:v>
                </c:pt>
                <c:pt idx="14">
                  <c:v>1574</c:v>
                </c:pt>
                <c:pt idx="15">
                  <c:v>40080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2-4166-8DF5-79212F3D7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83%</c:v>
                </c:pt>
                <c:pt idx="4">
                  <c:v>92%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5%</c:v>
                </c:pt>
                <c:pt idx="9">
                  <c:v>0%</c:v>
                </c:pt>
                <c:pt idx="10">
                  <c:v>100%</c:v>
                </c:pt>
                <c:pt idx="11">
                  <c:v>42%</c:v>
                </c:pt>
                <c:pt idx="12">
                  <c:v>29%</c:v>
                </c:pt>
                <c:pt idx="13">
                  <c:v>63%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0.83333333333333337</c:v>
                </c:pt>
                <c:pt idx="4">
                  <c:v>0.91666666666666663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5.128205128205128E-2</c:v>
                </c:pt>
                <c:pt idx="9">
                  <c:v>0</c:v>
                </c:pt>
                <c:pt idx="10">
                  <c:v>1</c:v>
                </c:pt>
                <c:pt idx="11">
                  <c:v>0.41666666666666669</c:v>
                </c:pt>
                <c:pt idx="12">
                  <c:v>0.29166666666666669</c:v>
                </c:pt>
                <c:pt idx="13">
                  <c:v>0.625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20-4F1A-84A6-13C473D0CE5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20-4F1A-84A6-13C473D0CE5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0.49508547008547016</c:v>
                </c:pt>
                <c:pt idx="1">
                  <c:v>0.49508547008547016</c:v>
                </c:pt>
                <c:pt idx="2">
                  <c:v>0.49508547008547016</c:v>
                </c:pt>
                <c:pt idx="3">
                  <c:v>0.49508547008547016</c:v>
                </c:pt>
                <c:pt idx="4">
                  <c:v>0.49508547008547016</c:v>
                </c:pt>
                <c:pt idx="5">
                  <c:v>0.49508547008547016</c:v>
                </c:pt>
                <c:pt idx="6">
                  <c:v>0.49508547008547016</c:v>
                </c:pt>
                <c:pt idx="7">
                  <c:v>0.49508547008547016</c:v>
                </c:pt>
                <c:pt idx="8">
                  <c:v>0.49508547008547016</c:v>
                </c:pt>
                <c:pt idx="9">
                  <c:v>0.49508547008547016</c:v>
                </c:pt>
                <c:pt idx="10">
                  <c:v>0.49508547008547016</c:v>
                </c:pt>
                <c:pt idx="11">
                  <c:v>0.49508547008547016</c:v>
                </c:pt>
                <c:pt idx="12">
                  <c:v>0.49508547008547016</c:v>
                </c:pt>
                <c:pt idx="13">
                  <c:v>0.49508547008547016</c:v>
                </c:pt>
                <c:pt idx="14">
                  <c:v>0.49508547008547016</c:v>
                </c:pt>
                <c:pt idx="15">
                  <c:v>0.49508547008547016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20-4F1A-84A6-13C473D0C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4268</c:v>
                </c:pt>
                <c:pt idx="3">
                  <c:v>4409</c:v>
                </c:pt>
                <c:pt idx="4">
                  <c:v>6640</c:v>
                </c:pt>
                <c:pt idx="5">
                  <c:v>191136</c:v>
                </c:pt>
                <c:pt idx="6">
                  <c:v>5294</c:v>
                </c:pt>
                <c:pt idx="8">
                  <c:v>104</c:v>
                </c:pt>
                <c:pt idx="10">
                  <c:v>5479</c:v>
                </c:pt>
                <c:pt idx="11">
                  <c:v>1678</c:v>
                </c:pt>
                <c:pt idx="12">
                  <c:v>1867</c:v>
                </c:pt>
                <c:pt idx="13">
                  <c:v>2304</c:v>
                </c:pt>
                <c:pt idx="14">
                  <c:v>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3A8-88ED-67D138FC57A9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4268</c:v>
                </c:pt>
                <c:pt idx="3">
                  <c:v>4409</c:v>
                </c:pt>
                <c:pt idx="4">
                  <c:v>6640</c:v>
                </c:pt>
                <c:pt idx="5">
                  <c:v>191136</c:v>
                </c:pt>
                <c:pt idx="6">
                  <c:v>5294</c:v>
                </c:pt>
                <c:pt idx="7">
                  <c:v>2174</c:v>
                </c:pt>
                <c:pt idx="8">
                  <c:v>338</c:v>
                </c:pt>
                <c:pt idx="9">
                  <c:v>1140</c:v>
                </c:pt>
                <c:pt idx="10">
                  <c:v>5479</c:v>
                </c:pt>
                <c:pt idx="11">
                  <c:v>1678</c:v>
                </c:pt>
                <c:pt idx="12">
                  <c:v>1867</c:v>
                </c:pt>
                <c:pt idx="13">
                  <c:v>2304</c:v>
                </c:pt>
                <c:pt idx="14">
                  <c:v>1574</c:v>
                </c:pt>
                <c:pt idx="15">
                  <c:v>40080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3A8-88ED-67D138FC5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83%</c:v>
                </c:pt>
                <c:pt idx="4">
                  <c:v>92%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5%</c:v>
                </c:pt>
                <c:pt idx="9">
                  <c:v>0%</c:v>
                </c:pt>
                <c:pt idx="10">
                  <c:v>100%</c:v>
                </c:pt>
                <c:pt idx="11">
                  <c:v>42%</c:v>
                </c:pt>
                <c:pt idx="12">
                  <c:v>29%</c:v>
                </c:pt>
                <c:pt idx="13">
                  <c:v>63%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0.83333333333333337</c:v>
                </c:pt>
                <c:pt idx="4">
                  <c:v>0.91666666666666663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5.128205128205128E-2</c:v>
                </c:pt>
                <c:pt idx="9">
                  <c:v>0</c:v>
                </c:pt>
                <c:pt idx="10">
                  <c:v>1</c:v>
                </c:pt>
                <c:pt idx="11">
                  <c:v>0.41666666666666669</c:v>
                </c:pt>
                <c:pt idx="12">
                  <c:v>0.29166666666666669</c:v>
                </c:pt>
                <c:pt idx="13">
                  <c:v>0.625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0-4407-83FA-894E955C76F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50-4407-83FA-894E955C76F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SHAFT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BASE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0.49508547008547016</c:v>
                </c:pt>
                <c:pt idx="1">
                  <c:v>0.49508547008547016</c:v>
                </c:pt>
                <c:pt idx="2">
                  <c:v>0.49508547008547016</c:v>
                </c:pt>
                <c:pt idx="3">
                  <c:v>0.49508547008547016</c:v>
                </c:pt>
                <c:pt idx="4">
                  <c:v>0.49508547008547016</c:v>
                </c:pt>
                <c:pt idx="5">
                  <c:v>0.49508547008547016</c:v>
                </c:pt>
                <c:pt idx="6">
                  <c:v>0.49508547008547016</c:v>
                </c:pt>
                <c:pt idx="7">
                  <c:v>0.49508547008547016</c:v>
                </c:pt>
                <c:pt idx="8">
                  <c:v>0.49508547008547016</c:v>
                </c:pt>
                <c:pt idx="9">
                  <c:v>0.49508547008547016</c:v>
                </c:pt>
                <c:pt idx="10">
                  <c:v>0.49508547008547016</c:v>
                </c:pt>
                <c:pt idx="11">
                  <c:v>0.49508547008547016</c:v>
                </c:pt>
                <c:pt idx="12">
                  <c:v>0.49508547008547016</c:v>
                </c:pt>
                <c:pt idx="13">
                  <c:v>0.49508547008547016</c:v>
                </c:pt>
                <c:pt idx="14">
                  <c:v>0.49508547008547016</c:v>
                </c:pt>
                <c:pt idx="15">
                  <c:v>0.49508547008547016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0-4407-83FA-894E955C7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2F5-4D64-84FD-B28966E697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F5-4D64-84FD-B28966E69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F5-4D64-84FD-B28966E6977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F5-4D64-84FD-B28966E69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2">
                  <c:v>3677</c:v>
                </c:pt>
                <c:pt idx="3">
                  <c:v>3649</c:v>
                </c:pt>
                <c:pt idx="4">
                  <c:v>6494</c:v>
                </c:pt>
                <c:pt idx="5">
                  <c:v>1559</c:v>
                </c:pt>
                <c:pt idx="6">
                  <c:v>5249</c:v>
                </c:pt>
                <c:pt idx="7">
                  <c:v>3606</c:v>
                </c:pt>
                <c:pt idx="10">
                  <c:v>3178</c:v>
                </c:pt>
                <c:pt idx="12">
                  <c:v>5065</c:v>
                </c:pt>
                <c:pt idx="13">
                  <c:v>1375</c:v>
                </c:pt>
                <c:pt idx="14">
                  <c:v>2307</c:v>
                </c:pt>
                <c:pt idx="15">
                  <c:v>42368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A0-4AE6-BA80-C738EB2EDDC4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3677</c:v>
                </c:pt>
                <c:pt idx="3">
                  <c:v>3649</c:v>
                </c:pt>
                <c:pt idx="4">
                  <c:v>6494</c:v>
                </c:pt>
                <c:pt idx="5">
                  <c:v>1559</c:v>
                </c:pt>
                <c:pt idx="6">
                  <c:v>5249</c:v>
                </c:pt>
                <c:pt idx="7">
                  <c:v>3606</c:v>
                </c:pt>
                <c:pt idx="8">
                  <c:v>338</c:v>
                </c:pt>
                <c:pt idx="9">
                  <c:v>1140</c:v>
                </c:pt>
                <c:pt idx="10">
                  <c:v>3178</c:v>
                </c:pt>
                <c:pt idx="11">
                  <c:v>1678</c:v>
                </c:pt>
                <c:pt idx="12">
                  <c:v>5065</c:v>
                </c:pt>
                <c:pt idx="13">
                  <c:v>1375</c:v>
                </c:pt>
                <c:pt idx="14">
                  <c:v>2307</c:v>
                </c:pt>
                <c:pt idx="15">
                  <c:v>42368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0-4AE6-BA80-C738EB2E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71%</c:v>
                </c:pt>
                <c:pt idx="4">
                  <c:v>75%</c:v>
                </c:pt>
                <c:pt idx="5">
                  <c:v>33%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83%</c:v>
                </c:pt>
                <c:pt idx="11">
                  <c:v>0%</c:v>
                </c:pt>
                <c:pt idx="12">
                  <c:v>96%</c:v>
                </c:pt>
                <c:pt idx="13">
                  <c:v>33%</c:v>
                </c:pt>
                <c:pt idx="14">
                  <c:v>58%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0.70833333333333337</c:v>
                </c:pt>
                <c:pt idx="4">
                  <c:v>0.75</c:v>
                </c:pt>
                <c:pt idx="5">
                  <c:v>0.33333333333333331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0.33333333333333331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444-AB45-718B87EFF48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82C-4444-AB45-718B87EFF48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0.5083333333333333</c:v>
                </c:pt>
                <c:pt idx="1">
                  <c:v>0.5083333333333333</c:v>
                </c:pt>
                <c:pt idx="2">
                  <c:v>0.5083333333333333</c:v>
                </c:pt>
                <c:pt idx="3">
                  <c:v>0.5083333333333333</c:v>
                </c:pt>
                <c:pt idx="4">
                  <c:v>0.5083333333333333</c:v>
                </c:pt>
                <c:pt idx="5">
                  <c:v>0.5083333333333333</c:v>
                </c:pt>
                <c:pt idx="6">
                  <c:v>0.5083333333333333</c:v>
                </c:pt>
                <c:pt idx="7">
                  <c:v>0.5083333333333333</c:v>
                </c:pt>
                <c:pt idx="8">
                  <c:v>0.5083333333333333</c:v>
                </c:pt>
                <c:pt idx="9">
                  <c:v>0.5083333333333333</c:v>
                </c:pt>
                <c:pt idx="10">
                  <c:v>0.5083333333333333</c:v>
                </c:pt>
                <c:pt idx="11">
                  <c:v>0.5083333333333333</c:v>
                </c:pt>
                <c:pt idx="12">
                  <c:v>0.5083333333333333</c:v>
                </c:pt>
                <c:pt idx="13">
                  <c:v>0.5083333333333333</c:v>
                </c:pt>
                <c:pt idx="14">
                  <c:v>0.5083333333333333</c:v>
                </c:pt>
                <c:pt idx="15">
                  <c:v>0.5083333333333333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2C-4444-AB45-718B87EFF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2">
                  <c:v>3677</c:v>
                </c:pt>
                <c:pt idx="3">
                  <c:v>3649</c:v>
                </c:pt>
                <c:pt idx="4">
                  <c:v>6494</c:v>
                </c:pt>
                <c:pt idx="5">
                  <c:v>1559</c:v>
                </c:pt>
                <c:pt idx="6">
                  <c:v>5249</c:v>
                </c:pt>
                <c:pt idx="7">
                  <c:v>3606</c:v>
                </c:pt>
                <c:pt idx="10">
                  <c:v>3178</c:v>
                </c:pt>
                <c:pt idx="12">
                  <c:v>5065</c:v>
                </c:pt>
                <c:pt idx="13">
                  <c:v>1375</c:v>
                </c:pt>
                <c:pt idx="14">
                  <c:v>2307</c:v>
                </c:pt>
                <c:pt idx="15">
                  <c:v>42368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D-41AB-8553-89E1D4CAAC03}"/>
            </c:ext>
          </c:extLst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3677</c:v>
                </c:pt>
                <c:pt idx="3">
                  <c:v>3649</c:v>
                </c:pt>
                <c:pt idx="4">
                  <c:v>6494</c:v>
                </c:pt>
                <c:pt idx="5">
                  <c:v>1559</c:v>
                </c:pt>
                <c:pt idx="6">
                  <c:v>5249</c:v>
                </c:pt>
                <c:pt idx="7">
                  <c:v>3606</c:v>
                </c:pt>
                <c:pt idx="8">
                  <c:v>338</c:v>
                </c:pt>
                <c:pt idx="9">
                  <c:v>1140</c:v>
                </c:pt>
                <c:pt idx="10">
                  <c:v>3178</c:v>
                </c:pt>
                <c:pt idx="11">
                  <c:v>1678</c:v>
                </c:pt>
                <c:pt idx="12">
                  <c:v>5065</c:v>
                </c:pt>
                <c:pt idx="13">
                  <c:v>1375</c:v>
                </c:pt>
                <c:pt idx="14">
                  <c:v>2307</c:v>
                </c:pt>
                <c:pt idx="15">
                  <c:v>42368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D-41AB-8553-89E1D4CAA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71%</c:v>
                </c:pt>
                <c:pt idx="4">
                  <c:v>75%</c:v>
                </c:pt>
                <c:pt idx="5">
                  <c:v>33%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83%</c:v>
                </c:pt>
                <c:pt idx="11">
                  <c:v>0%</c:v>
                </c:pt>
                <c:pt idx="12">
                  <c:v>96%</c:v>
                </c:pt>
                <c:pt idx="13">
                  <c:v>33%</c:v>
                </c:pt>
                <c:pt idx="14">
                  <c:v>58%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0.70833333333333337</c:v>
                </c:pt>
                <c:pt idx="4">
                  <c:v>0.75</c:v>
                </c:pt>
                <c:pt idx="5">
                  <c:v>0.33333333333333331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0.83333333333333337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0.33333333333333331</c:v>
                </c:pt>
                <c:pt idx="14">
                  <c:v>0.58333333333333337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7-45EB-B8B1-8FB1844EEB8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37-45EB-B8B1-8FB1844EEB8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COVER</c:v>
                </c:pt>
                <c:pt idx="11">
                  <c:v>FLOATING</c:v>
                </c:pt>
                <c:pt idx="12">
                  <c:v>ACTUATOR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0.5083333333333333</c:v>
                </c:pt>
                <c:pt idx="1">
                  <c:v>0.5083333333333333</c:v>
                </c:pt>
                <c:pt idx="2">
                  <c:v>0.5083333333333333</c:v>
                </c:pt>
                <c:pt idx="3">
                  <c:v>0.5083333333333333</c:v>
                </c:pt>
                <c:pt idx="4">
                  <c:v>0.5083333333333333</c:v>
                </c:pt>
                <c:pt idx="5">
                  <c:v>0.5083333333333333</c:v>
                </c:pt>
                <c:pt idx="6">
                  <c:v>0.5083333333333333</c:v>
                </c:pt>
                <c:pt idx="7">
                  <c:v>0.5083333333333333</c:v>
                </c:pt>
                <c:pt idx="8">
                  <c:v>0.5083333333333333</c:v>
                </c:pt>
                <c:pt idx="9">
                  <c:v>0.5083333333333333</c:v>
                </c:pt>
                <c:pt idx="10">
                  <c:v>0.5083333333333333</c:v>
                </c:pt>
                <c:pt idx="11">
                  <c:v>0.5083333333333333</c:v>
                </c:pt>
                <c:pt idx="12">
                  <c:v>0.5083333333333333</c:v>
                </c:pt>
                <c:pt idx="13">
                  <c:v>0.5083333333333333</c:v>
                </c:pt>
                <c:pt idx="14">
                  <c:v>0.5083333333333333</c:v>
                </c:pt>
                <c:pt idx="15">
                  <c:v>0.5083333333333333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37-45EB-B8B1-8FB1844EE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3D8-4A21-87EB-BADFAA0AED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8-4A21-87EB-BADFAA0AE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D8-4A21-87EB-BADFAA0AED7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D8-4A21-87EB-BADFAA0AE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1703</c:v>
                </c:pt>
                <c:pt idx="3">
                  <c:v>6724</c:v>
                </c:pt>
                <c:pt idx="4">
                  <c:v>12590</c:v>
                </c:pt>
                <c:pt idx="6">
                  <c:v>5602</c:v>
                </c:pt>
                <c:pt idx="7">
                  <c:v>5706</c:v>
                </c:pt>
                <c:pt idx="10">
                  <c:v>2547</c:v>
                </c:pt>
                <c:pt idx="12">
                  <c:v>5206</c:v>
                </c:pt>
                <c:pt idx="13">
                  <c:v>2642</c:v>
                </c:pt>
                <c:pt idx="14">
                  <c:v>43576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E8A-9297-0110BE78DCE8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1703</c:v>
                </c:pt>
                <c:pt idx="3">
                  <c:v>6724</c:v>
                </c:pt>
                <c:pt idx="4">
                  <c:v>12590</c:v>
                </c:pt>
                <c:pt idx="5">
                  <c:v>1559</c:v>
                </c:pt>
                <c:pt idx="6">
                  <c:v>5602</c:v>
                </c:pt>
                <c:pt idx="7">
                  <c:v>57066</c:v>
                </c:pt>
                <c:pt idx="8">
                  <c:v>338</c:v>
                </c:pt>
                <c:pt idx="9">
                  <c:v>1140</c:v>
                </c:pt>
                <c:pt idx="10">
                  <c:v>2547</c:v>
                </c:pt>
                <c:pt idx="11">
                  <c:v>1678</c:v>
                </c:pt>
                <c:pt idx="12">
                  <c:v>5206</c:v>
                </c:pt>
                <c:pt idx="13">
                  <c:v>2642</c:v>
                </c:pt>
                <c:pt idx="14">
                  <c:v>43576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0A-4E8A-9297-0110BE78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100%</c:v>
                </c:pt>
                <c:pt idx="4">
                  <c:v>88%</c:v>
                </c:pt>
                <c:pt idx="5">
                  <c:v>0%</c:v>
                </c:pt>
                <c:pt idx="6">
                  <c:v>100%</c:v>
                </c:pt>
                <c:pt idx="7">
                  <c:v>10%</c:v>
                </c:pt>
                <c:pt idx="8">
                  <c:v>0%</c:v>
                </c:pt>
                <c:pt idx="9">
                  <c:v>0%</c:v>
                </c:pt>
                <c:pt idx="10">
                  <c:v>63%</c:v>
                </c:pt>
                <c:pt idx="11">
                  <c:v>0%</c:v>
                </c:pt>
                <c:pt idx="12">
                  <c:v>96%</c:v>
                </c:pt>
                <c:pt idx="13">
                  <c:v>71%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1</c:v>
                </c:pt>
                <c:pt idx="4">
                  <c:v>0.875</c:v>
                </c:pt>
                <c:pt idx="5">
                  <c:v>0</c:v>
                </c:pt>
                <c:pt idx="6">
                  <c:v>1</c:v>
                </c:pt>
                <c:pt idx="7">
                  <c:v>9.9989485858479651E-2</c:v>
                </c:pt>
                <c:pt idx="8">
                  <c:v>0</c:v>
                </c:pt>
                <c:pt idx="9">
                  <c:v>0</c:v>
                </c:pt>
                <c:pt idx="10">
                  <c:v>0.625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0.70833333333333337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0-4FC9-B8D2-5052DFA4D5E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50-4FC9-B8D2-5052DFA4D5E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0.4177770768350097</c:v>
                </c:pt>
                <c:pt idx="1">
                  <c:v>0.4177770768350097</c:v>
                </c:pt>
                <c:pt idx="2">
                  <c:v>0.4177770768350097</c:v>
                </c:pt>
                <c:pt idx="3">
                  <c:v>0.4177770768350097</c:v>
                </c:pt>
                <c:pt idx="4">
                  <c:v>0.4177770768350097</c:v>
                </c:pt>
                <c:pt idx="5">
                  <c:v>0.4177770768350097</c:v>
                </c:pt>
                <c:pt idx="6">
                  <c:v>0.4177770768350097</c:v>
                </c:pt>
                <c:pt idx="7">
                  <c:v>0.4177770768350097</c:v>
                </c:pt>
                <c:pt idx="8">
                  <c:v>0.4177770768350097</c:v>
                </c:pt>
                <c:pt idx="9">
                  <c:v>0.4177770768350097</c:v>
                </c:pt>
                <c:pt idx="10">
                  <c:v>0.4177770768350097</c:v>
                </c:pt>
                <c:pt idx="11">
                  <c:v>0.4177770768350097</c:v>
                </c:pt>
                <c:pt idx="12">
                  <c:v>0.4177770768350097</c:v>
                </c:pt>
                <c:pt idx="13">
                  <c:v>0.4177770768350097</c:v>
                </c:pt>
                <c:pt idx="14">
                  <c:v>0.4177770768350097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50-4FC9-B8D2-5052DFA4D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'07'!$L$6:$L$20</c:f>
              <c:numCache>
                <c:formatCode>_(* #,##0_);_(* \(#,##0\);_(* "-"_);_(@_)</c:formatCode>
                <c:ptCount val="15"/>
                <c:pt idx="2">
                  <c:v>1703</c:v>
                </c:pt>
                <c:pt idx="3">
                  <c:v>6724</c:v>
                </c:pt>
                <c:pt idx="4">
                  <c:v>12590</c:v>
                </c:pt>
                <c:pt idx="6">
                  <c:v>5602</c:v>
                </c:pt>
                <c:pt idx="7">
                  <c:v>5706</c:v>
                </c:pt>
                <c:pt idx="10">
                  <c:v>2547</c:v>
                </c:pt>
                <c:pt idx="12">
                  <c:v>5206</c:v>
                </c:pt>
                <c:pt idx="13">
                  <c:v>2642</c:v>
                </c:pt>
                <c:pt idx="14">
                  <c:v>43576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2-459C-A0FD-F9C4BEBA6BB0}"/>
            </c:ext>
          </c:extLst>
        </c:ser>
        <c:ser>
          <c:idx val="1"/>
          <c:order val="1"/>
          <c:tx>
            <c:v>계획</c:v>
          </c:tx>
          <c:cat>
            <c:strRef>
              <c:f>'07'!$D$6:$D$20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1703</c:v>
                </c:pt>
                <c:pt idx="3">
                  <c:v>6724</c:v>
                </c:pt>
                <c:pt idx="4">
                  <c:v>12590</c:v>
                </c:pt>
                <c:pt idx="5">
                  <c:v>1559</c:v>
                </c:pt>
                <c:pt idx="6">
                  <c:v>5602</c:v>
                </c:pt>
                <c:pt idx="7">
                  <c:v>57066</c:v>
                </c:pt>
                <c:pt idx="8">
                  <c:v>338</c:v>
                </c:pt>
                <c:pt idx="9">
                  <c:v>1140</c:v>
                </c:pt>
                <c:pt idx="10">
                  <c:v>2547</c:v>
                </c:pt>
                <c:pt idx="11">
                  <c:v>1678</c:v>
                </c:pt>
                <c:pt idx="12">
                  <c:v>5206</c:v>
                </c:pt>
                <c:pt idx="13">
                  <c:v>2642</c:v>
                </c:pt>
                <c:pt idx="14">
                  <c:v>43576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2-459C-A0FD-F9C4BEBA6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42%</c:v>
                </c:pt>
                <c:pt idx="3">
                  <c:v>100%</c:v>
                </c:pt>
                <c:pt idx="4">
                  <c:v>88%</c:v>
                </c:pt>
                <c:pt idx="5">
                  <c:v>0%</c:v>
                </c:pt>
                <c:pt idx="6">
                  <c:v>100%</c:v>
                </c:pt>
                <c:pt idx="7">
                  <c:v>10%</c:v>
                </c:pt>
                <c:pt idx="8">
                  <c:v>0%</c:v>
                </c:pt>
                <c:pt idx="9">
                  <c:v>0%</c:v>
                </c:pt>
                <c:pt idx="10">
                  <c:v>63%</c:v>
                </c:pt>
                <c:pt idx="11">
                  <c:v>0%</c:v>
                </c:pt>
                <c:pt idx="12">
                  <c:v>96%</c:v>
                </c:pt>
                <c:pt idx="13">
                  <c:v>71%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0.41666666666666669</c:v>
                </c:pt>
                <c:pt idx="3">
                  <c:v>1</c:v>
                </c:pt>
                <c:pt idx="4">
                  <c:v>0.875</c:v>
                </c:pt>
                <c:pt idx="5">
                  <c:v>0</c:v>
                </c:pt>
                <c:pt idx="6">
                  <c:v>1</c:v>
                </c:pt>
                <c:pt idx="7">
                  <c:v>9.9989485858479651E-2</c:v>
                </c:pt>
                <c:pt idx="8">
                  <c:v>0</c:v>
                </c:pt>
                <c:pt idx="9">
                  <c:v>0</c:v>
                </c:pt>
                <c:pt idx="10">
                  <c:v>0.625</c:v>
                </c:pt>
                <c:pt idx="11">
                  <c:v>0</c:v>
                </c:pt>
                <c:pt idx="12">
                  <c:v>0.95833333333333337</c:v>
                </c:pt>
                <c:pt idx="13">
                  <c:v>0.70833333333333337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95-4ED8-9680-40A8849E56F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95-4ED8-9680-40A8849E56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SEPARATOR</c:v>
                </c:pt>
                <c:pt idx="5">
                  <c:v>LEAD IN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'07'!$AE$6:$AE$20</c:f>
              <c:numCache>
                <c:formatCode>0%</c:formatCode>
                <c:ptCount val="15"/>
                <c:pt idx="0">
                  <c:v>0.4177770768350097</c:v>
                </c:pt>
                <c:pt idx="1">
                  <c:v>0.4177770768350097</c:v>
                </c:pt>
                <c:pt idx="2">
                  <c:v>0.4177770768350097</c:v>
                </c:pt>
                <c:pt idx="3">
                  <c:v>0.4177770768350097</c:v>
                </c:pt>
                <c:pt idx="4">
                  <c:v>0.4177770768350097</c:v>
                </c:pt>
                <c:pt idx="5">
                  <c:v>0.4177770768350097</c:v>
                </c:pt>
                <c:pt idx="6">
                  <c:v>0.4177770768350097</c:v>
                </c:pt>
                <c:pt idx="7">
                  <c:v>0.4177770768350097</c:v>
                </c:pt>
                <c:pt idx="8">
                  <c:v>0.4177770768350097</c:v>
                </c:pt>
                <c:pt idx="9">
                  <c:v>0.4177770768350097</c:v>
                </c:pt>
                <c:pt idx="10">
                  <c:v>0.4177770768350097</c:v>
                </c:pt>
                <c:pt idx="11">
                  <c:v>0.4177770768350097</c:v>
                </c:pt>
                <c:pt idx="12">
                  <c:v>0.4177770768350097</c:v>
                </c:pt>
                <c:pt idx="13">
                  <c:v>0.4177770768350097</c:v>
                </c:pt>
                <c:pt idx="14">
                  <c:v>0.4177770768350097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95-4ED8-9680-40A8849E5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3F8-4634-9C6C-1C7C5B1A79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F8-4634-9C6C-1C7C5B1A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F8-4634-9C6C-1C7C5B1A792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F8-4634-9C6C-1C7C5B1A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HOLDER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1">
                  <c:v>BRACKER</c:v>
                </c:pt>
                <c:pt idx="12">
                  <c:v>FLOATING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2">
                  <c:v>2908</c:v>
                </c:pt>
                <c:pt idx="3">
                  <c:v>4355</c:v>
                </c:pt>
                <c:pt idx="4">
                  <c:v>301</c:v>
                </c:pt>
                <c:pt idx="5">
                  <c:v>1927</c:v>
                </c:pt>
                <c:pt idx="7">
                  <c:v>4194</c:v>
                </c:pt>
                <c:pt idx="8">
                  <c:v>5698</c:v>
                </c:pt>
                <c:pt idx="12">
                  <c:v>1394</c:v>
                </c:pt>
                <c:pt idx="13">
                  <c:v>5423</c:v>
                </c:pt>
                <c:pt idx="14">
                  <c:v>4597</c:v>
                </c:pt>
                <c:pt idx="15">
                  <c:v>41280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4-4F49-A759-23E8E222E7A8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HOLDER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1">
                  <c:v>BRACKER</c:v>
                </c:pt>
                <c:pt idx="12">
                  <c:v>FLOATING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2908</c:v>
                </c:pt>
                <c:pt idx="3">
                  <c:v>4355</c:v>
                </c:pt>
                <c:pt idx="4">
                  <c:v>301</c:v>
                </c:pt>
                <c:pt idx="5">
                  <c:v>1927</c:v>
                </c:pt>
                <c:pt idx="6">
                  <c:v>1559</c:v>
                </c:pt>
                <c:pt idx="7">
                  <c:v>4194</c:v>
                </c:pt>
                <c:pt idx="8">
                  <c:v>5698</c:v>
                </c:pt>
                <c:pt idx="9">
                  <c:v>338</c:v>
                </c:pt>
                <c:pt idx="10">
                  <c:v>1140</c:v>
                </c:pt>
                <c:pt idx="11">
                  <c:v>2547</c:v>
                </c:pt>
                <c:pt idx="12">
                  <c:v>1394</c:v>
                </c:pt>
                <c:pt idx="13">
                  <c:v>5423</c:v>
                </c:pt>
                <c:pt idx="14">
                  <c:v>4597</c:v>
                </c:pt>
                <c:pt idx="15">
                  <c:v>41280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D4-4F49-A759-23E8E222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83%</c:v>
                </c:pt>
                <c:pt idx="4">
                  <c:v>17%</c:v>
                </c:pt>
                <c:pt idx="5">
                  <c:v>42%</c:v>
                </c:pt>
                <c:pt idx="6">
                  <c:v>0%</c:v>
                </c:pt>
                <c:pt idx="7">
                  <c:v>83%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100%</c:v>
                </c:pt>
                <c:pt idx="14">
                  <c:v>96%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HOLDER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1">
                  <c:v>BRACKER</c:v>
                </c:pt>
                <c:pt idx="12">
                  <c:v>FLOATING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0.83333333333333337</c:v>
                </c:pt>
                <c:pt idx="4">
                  <c:v>0.16666666666666666</c:v>
                </c:pt>
                <c:pt idx="5">
                  <c:v>0.41666666666666669</c:v>
                </c:pt>
                <c:pt idx="6">
                  <c:v>0</c:v>
                </c:pt>
                <c:pt idx="7">
                  <c:v>0.83333333333333337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1</c:v>
                </c:pt>
                <c:pt idx="14">
                  <c:v>0.95833333333333337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A-4EDC-8800-9A975DD19FE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7A-4EDC-8800-9A975DD19FE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HOLDER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1">
                  <c:v>BRACKER</c:v>
                </c:pt>
                <c:pt idx="12">
                  <c:v>FLOATING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  <c:pt idx="3">
                  <c:v>0.45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0.45</c:v>
                </c:pt>
                <c:pt idx="11">
                  <c:v>0.45</c:v>
                </c:pt>
                <c:pt idx="12">
                  <c:v>0.45</c:v>
                </c:pt>
                <c:pt idx="13">
                  <c:v>0.45</c:v>
                </c:pt>
                <c:pt idx="14">
                  <c:v>0.45</c:v>
                </c:pt>
                <c:pt idx="15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7A-4EDC-8800-9A975DD19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HOLDER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1">
                  <c:v>BRACKER</c:v>
                </c:pt>
                <c:pt idx="12">
                  <c:v>FLOATING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2">
                  <c:v>2908</c:v>
                </c:pt>
                <c:pt idx="3">
                  <c:v>4355</c:v>
                </c:pt>
                <c:pt idx="4">
                  <c:v>301</c:v>
                </c:pt>
                <c:pt idx="5">
                  <c:v>1927</c:v>
                </c:pt>
                <c:pt idx="7">
                  <c:v>4194</c:v>
                </c:pt>
                <c:pt idx="8">
                  <c:v>5698</c:v>
                </c:pt>
                <c:pt idx="12">
                  <c:v>1394</c:v>
                </c:pt>
                <c:pt idx="13">
                  <c:v>5423</c:v>
                </c:pt>
                <c:pt idx="14">
                  <c:v>4597</c:v>
                </c:pt>
                <c:pt idx="15">
                  <c:v>41280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E-4186-BB9F-1F24D2B9E653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HOLDER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1">
                  <c:v>BRACKER</c:v>
                </c:pt>
                <c:pt idx="12">
                  <c:v>FLOATING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2908</c:v>
                </c:pt>
                <c:pt idx="3">
                  <c:v>4355</c:v>
                </c:pt>
                <c:pt idx="4">
                  <c:v>301</c:v>
                </c:pt>
                <c:pt idx="5">
                  <c:v>1927</c:v>
                </c:pt>
                <c:pt idx="6">
                  <c:v>1559</c:v>
                </c:pt>
                <c:pt idx="7">
                  <c:v>4194</c:v>
                </c:pt>
                <c:pt idx="8">
                  <c:v>5698</c:v>
                </c:pt>
                <c:pt idx="9">
                  <c:v>338</c:v>
                </c:pt>
                <c:pt idx="10">
                  <c:v>1140</c:v>
                </c:pt>
                <c:pt idx="11">
                  <c:v>2547</c:v>
                </c:pt>
                <c:pt idx="12">
                  <c:v>1394</c:v>
                </c:pt>
                <c:pt idx="13">
                  <c:v>5423</c:v>
                </c:pt>
                <c:pt idx="14">
                  <c:v>4597</c:v>
                </c:pt>
                <c:pt idx="15">
                  <c:v>41280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E-4186-BB9F-1F24D2B9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83%</c:v>
                </c:pt>
                <c:pt idx="4">
                  <c:v>17%</c:v>
                </c:pt>
                <c:pt idx="5">
                  <c:v>42%</c:v>
                </c:pt>
                <c:pt idx="6">
                  <c:v>0%</c:v>
                </c:pt>
                <c:pt idx="7">
                  <c:v>83%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100%</c:v>
                </c:pt>
                <c:pt idx="14">
                  <c:v>96%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HOLDER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1">
                  <c:v>BRACKER</c:v>
                </c:pt>
                <c:pt idx="12">
                  <c:v>FLOATING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0.83333333333333337</c:v>
                </c:pt>
                <c:pt idx="4">
                  <c:v>0.16666666666666666</c:v>
                </c:pt>
                <c:pt idx="5">
                  <c:v>0.41666666666666669</c:v>
                </c:pt>
                <c:pt idx="6">
                  <c:v>0</c:v>
                </c:pt>
                <c:pt idx="7">
                  <c:v>0.83333333333333337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1</c:v>
                </c:pt>
                <c:pt idx="14">
                  <c:v>0.95833333333333337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4-42C1-B0DD-E311BDCDBE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B4-42C1-B0DD-E311BDCDBE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LEAD GUIDE</c:v>
                </c:pt>
                <c:pt idx="5">
                  <c:v>STOPPER</c:v>
                </c:pt>
                <c:pt idx="6">
                  <c:v>HOLDER</c:v>
                </c:pt>
                <c:pt idx="7">
                  <c:v>BASE</c:v>
                </c:pt>
                <c:pt idx="8">
                  <c:v>STOPPER</c:v>
                </c:pt>
                <c:pt idx="9">
                  <c:v>BASE</c:v>
                </c:pt>
                <c:pt idx="11">
                  <c:v>BRACKER</c:v>
                </c:pt>
                <c:pt idx="12">
                  <c:v>FLOATING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  <c:pt idx="3">
                  <c:v>0.45</c:v>
                </c:pt>
                <c:pt idx="4">
                  <c:v>0.45</c:v>
                </c:pt>
                <c:pt idx="5">
                  <c:v>0.45</c:v>
                </c:pt>
                <c:pt idx="6">
                  <c:v>0.45</c:v>
                </c:pt>
                <c:pt idx="7">
                  <c:v>0.45</c:v>
                </c:pt>
                <c:pt idx="8">
                  <c:v>0.45</c:v>
                </c:pt>
                <c:pt idx="9">
                  <c:v>0.45</c:v>
                </c:pt>
                <c:pt idx="10">
                  <c:v>0.45</c:v>
                </c:pt>
                <c:pt idx="11">
                  <c:v>0.45</c:v>
                </c:pt>
                <c:pt idx="12">
                  <c:v>0.45</c:v>
                </c:pt>
                <c:pt idx="13">
                  <c:v>0.45</c:v>
                </c:pt>
                <c:pt idx="14">
                  <c:v>0.45</c:v>
                </c:pt>
                <c:pt idx="15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B4-42C1-B0DD-E311BDCDB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9B7-448E-BDAE-5763723CC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B7-448E-BDAE-5763723CC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B7-448E-BDAE-5763723CC8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B7-448E-BDAE-5763723CC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4237</c:v>
                </c:pt>
                <c:pt idx="3">
                  <c:v>6382</c:v>
                </c:pt>
                <c:pt idx="4">
                  <c:v>13524</c:v>
                </c:pt>
                <c:pt idx="5">
                  <c:v>2590</c:v>
                </c:pt>
                <c:pt idx="6">
                  <c:v>5208</c:v>
                </c:pt>
                <c:pt idx="7">
                  <c:v>5793</c:v>
                </c:pt>
                <c:pt idx="12">
                  <c:v>1289</c:v>
                </c:pt>
                <c:pt idx="13">
                  <c:v>4128</c:v>
                </c:pt>
                <c:pt idx="14">
                  <c:v>45088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A-4D04-96B5-978D4099E1A8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4237</c:v>
                </c:pt>
                <c:pt idx="3">
                  <c:v>6382</c:v>
                </c:pt>
                <c:pt idx="4">
                  <c:v>13524</c:v>
                </c:pt>
                <c:pt idx="5">
                  <c:v>2590</c:v>
                </c:pt>
                <c:pt idx="6">
                  <c:v>5208</c:v>
                </c:pt>
                <c:pt idx="7">
                  <c:v>5793</c:v>
                </c:pt>
                <c:pt idx="8">
                  <c:v>338</c:v>
                </c:pt>
                <c:pt idx="9">
                  <c:v>1140</c:v>
                </c:pt>
                <c:pt idx="10">
                  <c:v>2547</c:v>
                </c:pt>
                <c:pt idx="11">
                  <c:v>1394</c:v>
                </c:pt>
                <c:pt idx="12">
                  <c:v>1289</c:v>
                </c:pt>
                <c:pt idx="13">
                  <c:v>4128</c:v>
                </c:pt>
                <c:pt idx="14">
                  <c:v>45088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2A-4D04-96B5-978D4099E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100%</c:v>
                </c:pt>
                <c:pt idx="4">
                  <c:v>33%</c:v>
                </c:pt>
                <c:pt idx="5">
                  <c:v>58%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92%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1</c:v>
                </c:pt>
                <c:pt idx="4">
                  <c:v>0.33333333333333331</c:v>
                </c:pt>
                <c:pt idx="5">
                  <c:v>0.58333333333333337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0.91666666666666663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40-4325-8C31-1164396E81F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C40-4325-8C31-1164396E81F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0.43888888888888894</c:v>
                </c:pt>
                <c:pt idx="1">
                  <c:v>0.43888888888888894</c:v>
                </c:pt>
                <c:pt idx="2">
                  <c:v>0.43888888888888894</c:v>
                </c:pt>
                <c:pt idx="3">
                  <c:v>0.43888888888888894</c:v>
                </c:pt>
                <c:pt idx="4">
                  <c:v>0.43888888888888894</c:v>
                </c:pt>
                <c:pt idx="5">
                  <c:v>0.43888888888888894</c:v>
                </c:pt>
                <c:pt idx="6">
                  <c:v>0.43888888888888894</c:v>
                </c:pt>
                <c:pt idx="7">
                  <c:v>0.43888888888888894</c:v>
                </c:pt>
                <c:pt idx="8">
                  <c:v>0.43888888888888894</c:v>
                </c:pt>
                <c:pt idx="9">
                  <c:v>0.43888888888888894</c:v>
                </c:pt>
                <c:pt idx="10">
                  <c:v>0.43888888888888894</c:v>
                </c:pt>
                <c:pt idx="11">
                  <c:v>0.43888888888888894</c:v>
                </c:pt>
                <c:pt idx="12">
                  <c:v>0.43888888888888894</c:v>
                </c:pt>
                <c:pt idx="13">
                  <c:v>0.43888888888888894</c:v>
                </c:pt>
                <c:pt idx="14">
                  <c:v>0.43888888888888894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40-4325-8C31-1164396E8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2">
                  <c:v>4237</c:v>
                </c:pt>
                <c:pt idx="3">
                  <c:v>6382</c:v>
                </c:pt>
                <c:pt idx="4">
                  <c:v>13524</c:v>
                </c:pt>
                <c:pt idx="5">
                  <c:v>2590</c:v>
                </c:pt>
                <c:pt idx="6">
                  <c:v>5208</c:v>
                </c:pt>
                <c:pt idx="7">
                  <c:v>5793</c:v>
                </c:pt>
                <c:pt idx="12">
                  <c:v>1289</c:v>
                </c:pt>
                <c:pt idx="13">
                  <c:v>4128</c:v>
                </c:pt>
                <c:pt idx="14">
                  <c:v>45088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C-47D4-BC86-86755F738136}"/>
            </c:ext>
          </c:extLst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4237</c:v>
                </c:pt>
                <c:pt idx="3">
                  <c:v>6382</c:v>
                </c:pt>
                <c:pt idx="4">
                  <c:v>13524</c:v>
                </c:pt>
                <c:pt idx="5">
                  <c:v>2590</c:v>
                </c:pt>
                <c:pt idx="6">
                  <c:v>5208</c:v>
                </c:pt>
                <c:pt idx="7">
                  <c:v>5793</c:v>
                </c:pt>
                <c:pt idx="8">
                  <c:v>338</c:v>
                </c:pt>
                <c:pt idx="9">
                  <c:v>1140</c:v>
                </c:pt>
                <c:pt idx="10">
                  <c:v>2547</c:v>
                </c:pt>
                <c:pt idx="11">
                  <c:v>1394</c:v>
                </c:pt>
                <c:pt idx="12">
                  <c:v>1289</c:v>
                </c:pt>
                <c:pt idx="13">
                  <c:v>4128</c:v>
                </c:pt>
                <c:pt idx="14">
                  <c:v>45088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5C-47D4-BC86-86755F738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100%</c:v>
                </c:pt>
                <c:pt idx="4">
                  <c:v>33%</c:v>
                </c:pt>
                <c:pt idx="5">
                  <c:v>58%</c:v>
                </c:pt>
                <c:pt idx="6">
                  <c:v>100%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29%</c:v>
                </c:pt>
                <c:pt idx="13">
                  <c:v>92%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1</c:v>
                </c:pt>
                <c:pt idx="4">
                  <c:v>0.33333333333333331</c:v>
                </c:pt>
                <c:pt idx="5">
                  <c:v>0.58333333333333337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0.29166666666666669</c:v>
                </c:pt>
                <c:pt idx="13">
                  <c:v>0.91666666666666663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6-4561-927E-FDD7F51D2C3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86-4561-927E-FDD7F51D2C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0.43888888888888894</c:v>
                </c:pt>
                <c:pt idx="1">
                  <c:v>0.43888888888888894</c:v>
                </c:pt>
                <c:pt idx="2">
                  <c:v>0.43888888888888894</c:v>
                </c:pt>
                <c:pt idx="3">
                  <c:v>0.43888888888888894</c:v>
                </c:pt>
                <c:pt idx="4">
                  <c:v>0.43888888888888894</c:v>
                </c:pt>
                <c:pt idx="5">
                  <c:v>0.43888888888888894</c:v>
                </c:pt>
                <c:pt idx="6">
                  <c:v>0.43888888888888894</c:v>
                </c:pt>
                <c:pt idx="7">
                  <c:v>0.43888888888888894</c:v>
                </c:pt>
                <c:pt idx="8">
                  <c:v>0.43888888888888894</c:v>
                </c:pt>
                <c:pt idx="9">
                  <c:v>0.43888888888888894</c:v>
                </c:pt>
                <c:pt idx="10">
                  <c:v>0.43888888888888894</c:v>
                </c:pt>
                <c:pt idx="11">
                  <c:v>0.43888888888888894</c:v>
                </c:pt>
                <c:pt idx="12">
                  <c:v>0.43888888888888894</c:v>
                </c:pt>
                <c:pt idx="13">
                  <c:v>0.43888888888888894</c:v>
                </c:pt>
                <c:pt idx="14">
                  <c:v>0.43888888888888894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86-4561-927E-FDD7F51D2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AE7-44DC-88CD-DA01D03E2F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7-44DC-88CD-DA01D03E2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E7-44DC-88CD-DA01D03E2F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E7-44DC-88CD-DA01D03E2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4957</c:v>
                </c:pt>
                <c:pt idx="3">
                  <c:v>2663</c:v>
                </c:pt>
                <c:pt idx="4">
                  <c:v>48780</c:v>
                </c:pt>
                <c:pt idx="6">
                  <c:v>2832</c:v>
                </c:pt>
                <c:pt idx="7">
                  <c:v>5079</c:v>
                </c:pt>
                <c:pt idx="12">
                  <c:v>1056</c:v>
                </c:pt>
                <c:pt idx="13">
                  <c:v>4807</c:v>
                </c:pt>
                <c:pt idx="14">
                  <c:v>42344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87-4423-8D6D-419FAAB29DD2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4957</c:v>
                </c:pt>
                <c:pt idx="3">
                  <c:v>2663</c:v>
                </c:pt>
                <c:pt idx="4">
                  <c:v>48780</c:v>
                </c:pt>
                <c:pt idx="5">
                  <c:v>2590</c:v>
                </c:pt>
                <c:pt idx="6">
                  <c:v>2832</c:v>
                </c:pt>
                <c:pt idx="7">
                  <c:v>5079</c:v>
                </c:pt>
                <c:pt idx="8">
                  <c:v>338</c:v>
                </c:pt>
                <c:pt idx="9">
                  <c:v>1140</c:v>
                </c:pt>
                <c:pt idx="10">
                  <c:v>2547</c:v>
                </c:pt>
                <c:pt idx="11">
                  <c:v>1394</c:v>
                </c:pt>
                <c:pt idx="12">
                  <c:v>1056</c:v>
                </c:pt>
                <c:pt idx="13">
                  <c:v>4807</c:v>
                </c:pt>
                <c:pt idx="14">
                  <c:v>42344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7-4423-8D6D-419FAAB29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67%</c:v>
                </c:pt>
                <c:pt idx="4">
                  <c:v>75%</c:v>
                </c:pt>
                <c:pt idx="5">
                  <c:v>0%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96%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0.66666666666666663</c:v>
                </c:pt>
                <c:pt idx="4">
                  <c:v>0.75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0.95833333333333337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D7-423C-9568-D3B8BCC19BA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9D7-423C-9568-D3B8BCC19BA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0.38888888888888878</c:v>
                </c:pt>
                <c:pt idx="1">
                  <c:v>0.38888888888888878</c:v>
                </c:pt>
                <c:pt idx="2">
                  <c:v>0.38888888888888878</c:v>
                </c:pt>
                <c:pt idx="3">
                  <c:v>0.38888888888888878</c:v>
                </c:pt>
                <c:pt idx="4">
                  <c:v>0.38888888888888878</c:v>
                </c:pt>
                <c:pt idx="5">
                  <c:v>0.38888888888888878</c:v>
                </c:pt>
                <c:pt idx="6">
                  <c:v>0.38888888888888878</c:v>
                </c:pt>
                <c:pt idx="7">
                  <c:v>0.38888888888888878</c:v>
                </c:pt>
                <c:pt idx="8">
                  <c:v>0.38888888888888878</c:v>
                </c:pt>
                <c:pt idx="9">
                  <c:v>0.38888888888888878</c:v>
                </c:pt>
                <c:pt idx="10">
                  <c:v>0.38888888888888878</c:v>
                </c:pt>
                <c:pt idx="11">
                  <c:v>0.38888888888888878</c:v>
                </c:pt>
                <c:pt idx="12">
                  <c:v>0.38888888888888878</c:v>
                </c:pt>
                <c:pt idx="13">
                  <c:v>0.38888888888888878</c:v>
                </c:pt>
                <c:pt idx="14">
                  <c:v>0.38888888888888878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D7-423C-9568-D3B8BCC19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2">
                  <c:v>4957</c:v>
                </c:pt>
                <c:pt idx="3">
                  <c:v>2663</c:v>
                </c:pt>
                <c:pt idx="4">
                  <c:v>48780</c:v>
                </c:pt>
                <c:pt idx="6">
                  <c:v>2832</c:v>
                </c:pt>
                <c:pt idx="7">
                  <c:v>5079</c:v>
                </c:pt>
                <c:pt idx="12">
                  <c:v>1056</c:v>
                </c:pt>
                <c:pt idx="13">
                  <c:v>4807</c:v>
                </c:pt>
                <c:pt idx="14">
                  <c:v>42344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5-4993-9459-A997420C5AA0}"/>
            </c:ext>
          </c:extLst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4957</c:v>
                </c:pt>
                <c:pt idx="3">
                  <c:v>2663</c:v>
                </c:pt>
                <c:pt idx="4">
                  <c:v>48780</c:v>
                </c:pt>
                <c:pt idx="5">
                  <c:v>2590</c:v>
                </c:pt>
                <c:pt idx="6">
                  <c:v>2832</c:v>
                </c:pt>
                <c:pt idx="7">
                  <c:v>5079</c:v>
                </c:pt>
                <c:pt idx="8">
                  <c:v>338</c:v>
                </c:pt>
                <c:pt idx="9">
                  <c:v>1140</c:v>
                </c:pt>
                <c:pt idx="10">
                  <c:v>2547</c:v>
                </c:pt>
                <c:pt idx="11">
                  <c:v>1394</c:v>
                </c:pt>
                <c:pt idx="12">
                  <c:v>1056</c:v>
                </c:pt>
                <c:pt idx="13">
                  <c:v>4807</c:v>
                </c:pt>
                <c:pt idx="14">
                  <c:v>42344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45-4993-9459-A997420C5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67%</c:v>
                </c:pt>
                <c:pt idx="4">
                  <c:v>75%</c:v>
                </c:pt>
                <c:pt idx="5">
                  <c:v>0%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38%</c:v>
                </c:pt>
                <c:pt idx="13">
                  <c:v>96%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0.66666666666666663</c:v>
                </c:pt>
                <c:pt idx="4">
                  <c:v>0.75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0.375</c:v>
                </c:pt>
                <c:pt idx="13">
                  <c:v>0.95833333333333337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9B-4763-8116-B36C66478C5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9B-4763-8116-B36C66478C5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HOLDER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0.38888888888888878</c:v>
                </c:pt>
                <c:pt idx="1">
                  <c:v>0.38888888888888878</c:v>
                </c:pt>
                <c:pt idx="2">
                  <c:v>0.38888888888888878</c:v>
                </c:pt>
                <c:pt idx="3">
                  <c:v>0.38888888888888878</c:v>
                </c:pt>
                <c:pt idx="4">
                  <c:v>0.38888888888888878</c:v>
                </c:pt>
                <c:pt idx="5">
                  <c:v>0.38888888888888878</c:v>
                </c:pt>
                <c:pt idx="6">
                  <c:v>0.38888888888888878</c:v>
                </c:pt>
                <c:pt idx="7">
                  <c:v>0.38888888888888878</c:v>
                </c:pt>
                <c:pt idx="8">
                  <c:v>0.38888888888888878</c:v>
                </c:pt>
                <c:pt idx="9">
                  <c:v>0.38888888888888878</c:v>
                </c:pt>
                <c:pt idx="10">
                  <c:v>0.38888888888888878</c:v>
                </c:pt>
                <c:pt idx="11">
                  <c:v>0.38888888888888878</c:v>
                </c:pt>
                <c:pt idx="12">
                  <c:v>0.38888888888888878</c:v>
                </c:pt>
                <c:pt idx="13">
                  <c:v>0.38888888888888878</c:v>
                </c:pt>
                <c:pt idx="14">
                  <c:v>0.38888888888888878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B-4763-8116-B36C6647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8E6-448F-9B20-E62E4BD5E6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E6-448F-9B20-E62E4BD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8E6-448F-9B20-E62E4BD5E69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E6-448F-9B20-E62E4BD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BASE/UNDER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3">
                  <c:v>3934</c:v>
                </c:pt>
                <c:pt idx="4">
                  <c:v>100304</c:v>
                </c:pt>
                <c:pt idx="5">
                  <c:v>5121</c:v>
                </c:pt>
                <c:pt idx="6">
                  <c:v>5543</c:v>
                </c:pt>
                <c:pt idx="7">
                  <c:v>693</c:v>
                </c:pt>
                <c:pt idx="12">
                  <c:v>4377</c:v>
                </c:pt>
                <c:pt idx="13">
                  <c:v>4969</c:v>
                </c:pt>
                <c:pt idx="14">
                  <c:v>37840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F-4498-A0CB-42B2886501C9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BASE/UNDER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3934</c:v>
                </c:pt>
                <c:pt idx="3">
                  <c:v>3934</c:v>
                </c:pt>
                <c:pt idx="4">
                  <c:v>100304</c:v>
                </c:pt>
                <c:pt idx="5">
                  <c:v>5121</c:v>
                </c:pt>
                <c:pt idx="6">
                  <c:v>5543</c:v>
                </c:pt>
                <c:pt idx="7">
                  <c:v>693</c:v>
                </c:pt>
                <c:pt idx="8">
                  <c:v>338</c:v>
                </c:pt>
                <c:pt idx="9">
                  <c:v>1140</c:v>
                </c:pt>
                <c:pt idx="10">
                  <c:v>2547</c:v>
                </c:pt>
                <c:pt idx="11">
                  <c:v>1394</c:v>
                </c:pt>
                <c:pt idx="12">
                  <c:v>4377</c:v>
                </c:pt>
                <c:pt idx="13">
                  <c:v>4969</c:v>
                </c:pt>
                <c:pt idx="14">
                  <c:v>37840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F-4498-A0CB-42B288650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17%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79%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BASE/UNDER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0.16666666666666666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0.79166666666666663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A-4746-916B-8E309E0C5A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BA-4746-916B-8E309E0C5A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BASE/UNDER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0.41111111111111109</c:v>
                </c:pt>
                <c:pt idx="1">
                  <c:v>0.41111111111111109</c:v>
                </c:pt>
                <c:pt idx="2">
                  <c:v>0.41111111111111109</c:v>
                </c:pt>
                <c:pt idx="3">
                  <c:v>0.41111111111111109</c:v>
                </c:pt>
                <c:pt idx="4">
                  <c:v>0.41111111111111109</c:v>
                </c:pt>
                <c:pt idx="5">
                  <c:v>0.41111111111111109</c:v>
                </c:pt>
                <c:pt idx="6">
                  <c:v>0.41111111111111109</c:v>
                </c:pt>
                <c:pt idx="7">
                  <c:v>0.41111111111111109</c:v>
                </c:pt>
                <c:pt idx="8">
                  <c:v>0.41111111111111109</c:v>
                </c:pt>
                <c:pt idx="9">
                  <c:v>0.41111111111111109</c:v>
                </c:pt>
                <c:pt idx="10">
                  <c:v>0.41111111111111109</c:v>
                </c:pt>
                <c:pt idx="11">
                  <c:v>0.41111111111111109</c:v>
                </c:pt>
                <c:pt idx="12">
                  <c:v>0.41111111111111109</c:v>
                </c:pt>
                <c:pt idx="13">
                  <c:v>0.41111111111111109</c:v>
                </c:pt>
                <c:pt idx="14">
                  <c:v>0.41111111111111109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BA-4746-916B-8E309E0C5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BASE/UNDER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3">
                  <c:v>3934</c:v>
                </c:pt>
                <c:pt idx="4">
                  <c:v>100304</c:v>
                </c:pt>
                <c:pt idx="5">
                  <c:v>5121</c:v>
                </c:pt>
                <c:pt idx="6">
                  <c:v>5543</c:v>
                </c:pt>
                <c:pt idx="7">
                  <c:v>693</c:v>
                </c:pt>
                <c:pt idx="12">
                  <c:v>4377</c:v>
                </c:pt>
                <c:pt idx="13">
                  <c:v>4969</c:v>
                </c:pt>
                <c:pt idx="14">
                  <c:v>37840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87-4B1D-BBB5-4EBAB48EB271}"/>
            </c:ext>
          </c:extLst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BASE/UNDER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3934</c:v>
                </c:pt>
                <c:pt idx="3">
                  <c:v>3934</c:v>
                </c:pt>
                <c:pt idx="4">
                  <c:v>100304</c:v>
                </c:pt>
                <c:pt idx="5">
                  <c:v>5121</c:v>
                </c:pt>
                <c:pt idx="6">
                  <c:v>5543</c:v>
                </c:pt>
                <c:pt idx="7">
                  <c:v>693</c:v>
                </c:pt>
                <c:pt idx="8">
                  <c:v>338</c:v>
                </c:pt>
                <c:pt idx="9">
                  <c:v>1140</c:v>
                </c:pt>
                <c:pt idx="10">
                  <c:v>2547</c:v>
                </c:pt>
                <c:pt idx="11">
                  <c:v>1394</c:v>
                </c:pt>
                <c:pt idx="12">
                  <c:v>4377</c:v>
                </c:pt>
                <c:pt idx="13">
                  <c:v>4969</c:v>
                </c:pt>
                <c:pt idx="14">
                  <c:v>37840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87-4B1D-BBB5-4EBAB48E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17%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79%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BASE/UNDER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0.16666666666666666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0.79166666666666663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1-4EFF-A4F0-00E1CBB30CD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41-4EFF-A4F0-00E1CBB30CD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BASE/UNDER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0.41111111111111109</c:v>
                </c:pt>
                <c:pt idx="1">
                  <c:v>0.41111111111111109</c:v>
                </c:pt>
                <c:pt idx="2">
                  <c:v>0.41111111111111109</c:v>
                </c:pt>
                <c:pt idx="3">
                  <c:v>0.41111111111111109</c:v>
                </c:pt>
                <c:pt idx="4">
                  <c:v>0.41111111111111109</c:v>
                </c:pt>
                <c:pt idx="5">
                  <c:v>0.41111111111111109</c:v>
                </c:pt>
                <c:pt idx="6">
                  <c:v>0.41111111111111109</c:v>
                </c:pt>
                <c:pt idx="7">
                  <c:v>0.41111111111111109</c:v>
                </c:pt>
                <c:pt idx="8">
                  <c:v>0.41111111111111109</c:v>
                </c:pt>
                <c:pt idx="9">
                  <c:v>0.41111111111111109</c:v>
                </c:pt>
                <c:pt idx="10">
                  <c:v>0.41111111111111109</c:v>
                </c:pt>
                <c:pt idx="11">
                  <c:v>0.41111111111111109</c:v>
                </c:pt>
                <c:pt idx="12">
                  <c:v>0.41111111111111109</c:v>
                </c:pt>
                <c:pt idx="13">
                  <c:v>0.41111111111111109</c:v>
                </c:pt>
                <c:pt idx="14">
                  <c:v>0.41111111111111109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1-4EFF-A4F0-00E1CBB30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65A-452D-9276-298CB9F6B3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5A-452D-9276-298CB9F6B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5A-452D-9276-298CB9F6B3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5A-452D-9276-298CB9F6B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2">
                  <c:v>BASE/UNDER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2">
                  <c:v>1619</c:v>
                </c:pt>
                <c:pt idx="3">
                  <c:v>4562</c:v>
                </c:pt>
                <c:pt idx="4">
                  <c:v>108096</c:v>
                </c:pt>
                <c:pt idx="5">
                  <c:v>6367</c:v>
                </c:pt>
                <c:pt idx="6">
                  <c:v>7450</c:v>
                </c:pt>
                <c:pt idx="7">
                  <c:v>1329</c:v>
                </c:pt>
                <c:pt idx="9">
                  <c:v>2293</c:v>
                </c:pt>
                <c:pt idx="12">
                  <c:v>5431</c:v>
                </c:pt>
                <c:pt idx="13">
                  <c:v>4854</c:v>
                </c:pt>
                <c:pt idx="14">
                  <c:v>38232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6-414D-B216-38E96BB72A5D}"/>
            </c:ext>
          </c:extLst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2">
                  <c:v>BASE/UNDER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4562</c:v>
                </c:pt>
                <c:pt idx="4">
                  <c:v>108096</c:v>
                </c:pt>
                <c:pt idx="5">
                  <c:v>6367</c:v>
                </c:pt>
                <c:pt idx="6">
                  <c:v>7450</c:v>
                </c:pt>
                <c:pt idx="7">
                  <c:v>1329</c:v>
                </c:pt>
                <c:pt idx="8">
                  <c:v>338</c:v>
                </c:pt>
                <c:pt idx="9">
                  <c:v>2293</c:v>
                </c:pt>
                <c:pt idx="10">
                  <c:v>2547</c:v>
                </c:pt>
                <c:pt idx="11">
                  <c:v>1394</c:v>
                </c:pt>
                <c:pt idx="12">
                  <c:v>5431</c:v>
                </c:pt>
                <c:pt idx="13">
                  <c:v>4854</c:v>
                </c:pt>
                <c:pt idx="14">
                  <c:v>38232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6-414D-B216-38E96BB72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92%</c:v>
                </c:pt>
                <c:pt idx="4">
                  <c:v>100%</c:v>
                </c:pt>
                <c:pt idx="5">
                  <c:v>100%</c:v>
                </c:pt>
                <c:pt idx="6">
                  <c:v>88%</c:v>
                </c:pt>
                <c:pt idx="7">
                  <c:v>46%</c:v>
                </c:pt>
                <c:pt idx="8">
                  <c:v>0%</c:v>
                </c:pt>
                <c:pt idx="9">
                  <c:v>54%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2">
                  <c:v>BASE/UNDER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0.91666666666666663</c:v>
                </c:pt>
                <c:pt idx="4">
                  <c:v>1</c:v>
                </c:pt>
                <c:pt idx="5">
                  <c:v>1</c:v>
                </c:pt>
                <c:pt idx="6">
                  <c:v>0.875</c:v>
                </c:pt>
                <c:pt idx="7">
                  <c:v>0.45833333333333331</c:v>
                </c:pt>
                <c:pt idx="8">
                  <c:v>0</c:v>
                </c:pt>
                <c:pt idx="9">
                  <c:v>0.54166666666666663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B-4E70-98FB-4EE6C10A301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CB-4E70-98FB-4EE6C10A30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2">
                  <c:v>BASE/UNDER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0.53333333333333333</c:v>
                </c:pt>
                <c:pt idx="1">
                  <c:v>0.53333333333333333</c:v>
                </c:pt>
                <c:pt idx="2">
                  <c:v>0.53333333333333333</c:v>
                </c:pt>
                <c:pt idx="3">
                  <c:v>0.53333333333333333</c:v>
                </c:pt>
                <c:pt idx="4">
                  <c:v>0.53333333333333333</c:v>
                </c:pt>
                <c:pt idx="5">
                  <c:v>0.53333333333333333</c:v>
                </c:pt>
                <c:pt idx="6">
                  <c:v>0.53333333333333333</c:v>
                </c:pt>
                <c:pt idx="7">
                  <c:v>0.53333333333333333</c:v>
                </c:pt>
                <c:pt idx="8">
                  <c:v>0.53333333333333333</c:v>
                </c:pt>
                <c:pt idx="9">
                  <c:v>0.53333333333333333</c:v>
                </c:pt>
                <c:pt idx="10">
                  <c:v>0.53333333333333333</c:v>
                </c:pt>
                <c:pt idx="11">
                  <c:v>0.53333333333333333</c:v>
                </c:pt>
                <c:pt idx="12">
                  <c:v>0.53333333333333333</c:v>
                </c:pt>
                <c:pt idx="13">
                  <c:v>0.53333333333333333</c:v>
                </c:pt>
                <c:pt idx="14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CB-4E70-98FB-4EE6C10A3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4"/>
                <c:pt idx="2">
                  <c:v>BASE/UNDER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2">
                  <c:v>1619</c:v>
                </c:pt>
                <c:pt idx="3">
                  <c:v>4562</c:v>
                </c:pt>
                <c:pt idx="4">
                  <c:v>108096</c:v>
                </c:pt>
                <c:pt idx="5">
                  <c:v>6367</c:v>
                </c:pt>
                <c:pt idx="6">
                  <c:v>7450</c:v>
                </c:pt>
                <c:pt idx="7">
                  <c:v>1329</c:v>
                </c:pt>
                <c:pt idx="9">
                  <c:v>2293</c:v>
                </c:pt>
                <c:pt idx="12">
                  <c:v>5431</c:v>
                </c:pt>
                <c:pt idx="13">
                  <c:v>4854</c:v>
                </c:pt>
                <c:pt idx="14">
                  <c:v>38232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1-490D-A23B-103BC395BAE6}"/>
            </c:ext>
          </c:extLst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4"/>
                <c:pt idx="2">
                  <c:v>BASE/UNDER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4562</c:v>
                </c:pt>
                <c:pt idx="4">
                  <c:v>108096</c:v>
                </c:pt>
                <c:pt idx="5">
                  <c:v>6367</c:v>
                </c:pt>
                <c:pt idx="6">
                  <c:v>7450</c:v>
                </c:pt>
                <c:pt idx="7">
                  <c:v>1329</c:v>
                </c:pt>
                <c:pt idx="8">
                  <c:v>338</c:v>
                </c:pt>
                <c:pt idx="9">
                  <c:v>2293</c:v>
                </c:pt>
                <c:pt idx="10">
                  <c:v>2547</c:v>
                </c:pt>
                <c:pt idx="11">
                  <c:v>1394</c:v>
                </c:pt>
                <c:pt idx="12">
                  <c:v>5431</c:v>
                </c:pt>
                <c:pt idx="13">
                  <c:v>4854</c:v>
                </c:pt>
                <c:pt idx="14">
                  <c:v>38232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31-490D-A23B-103BC395B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92%</c:v>
                </c:pt>
                <c:pt idx="4">
                  <c:v>100%</c:v>
                </c:pt>
                <c:pt idx="5">
                  <c:v>100%</c:v>
                </c:pt>
                <c:pt idx="6">
                  <c:v>88%</c:v>
                </c:pt>
                <c:pt idx="7">
                  <c:v>46%</c:v>
                </c:pt>
                <c:pt idx="8">
                  <c:v>0%</c:v>
                </c:pt>
                <c:pt idx="9">
                  <c:v>54%</c:v>
                </c:pt>
                <c:pt idx="10">
                  <c:v>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2">
                  <c:v>BASE/UNDER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0.91666666666666663</c:v>
                </c:pt>
                <c:pt idx="4">
                  <c:v>1</c:v>
                </c:pt>
                <c:pt idx="5">
                  <c:v>1</c:v>
                </c:pt>
                <c:pt idx="6">
                  <c:v>0.875</c:v>
                </c:pt>
                <c:pt idx="7">
                  <c:v>0.45833333333333331</c:v>
                </c:pt>
                <c:pt idx="8">
                  <c:v>0</c:v>
                </c:pt>
                <c:pt idx="9">
                  <c:v>0.54166666666666663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8-4856-9584-24BF009AE77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98-4856-9584-24BF009AE77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'14'!$D$6:$D$20</c:f>
              <c:strCache>
                <c:ptCount val="14"/>
                <c:pt idx="2">
                  <c:v>BASE/UNDER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1">
                  <c:v>FLOATING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0.53333333333333333</c:v>
                </c:pt>
                <c:pt idx="1">
                  <c:v>0.53333333333333333</c:v>
                </c:pt>
                <c:pt idx="2">
                  <c:v>0.53333333333333333</c:v>
                </c:pt>
                <c:pt idx="3">
                  <c:v>0.53333333333333333</c:v>
                </c:pt>
                <c:pt idx="4">
                  <c:v>0.53333333333333333</c:v>
                </c:pt>
                <c:pt idx="5">
                  <c:v>0.53333333333333333</c:v>
                </c:pt>
                <c:pt idx="6">
                  <c:v>0.53333333333333333</c:v>
                </c:pt>
                <c:pt idx="7">
                  <c:v>0.53333333333333333</c:v>
                </c:pt>
                <c:pt idx="8">
                  <c:v>0.53333333333333333</c:v>
                </c:pt>
                <c:pt idx="9">
                  <c:v>0.53333333333333333</c:v>
                </c:pt>
                <c:pt idx="10">
                  <c:v>0.53333333333333333</c:v>
                </c:pt>
                <c:pt idx="11">
                  <c:v>0.53333333333333333</c:v>
                </c:pt>
                <c:pt idx="12">
                  <c:v>0.53333333333333333</c:v>
                </c:pt>
                <c:pt idx="13">
                  <c:v>0.53333333333333333</c:v>
                </c:pt>
                <c:pt idx="14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8-4856-9584-24BF009AE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B7B-41BE-B65C-4CA1549B6E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B-41BE-B65C-4CA1549B6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7B-41BE-B65C-4CA1549B6E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7B-41BE-B65C-4CA1549B6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BRACKER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3">
                  <c:v>4702</c:v>
                </c:pt>
                <c:pt idx="5">
                  <c:v>714</c:v>
                </c:pt>
                <c:pt idx="6">
                  <c:v>10572</c:v>
                </c:pt>
                <c:pt idx="7">
                  <c:v>10334</c:v>
                </c:pt>
                <c:pt idx="10">
                  <c:v>2929</c:v>
                </c:pt>
                <c:pt idx="12">
                  <c:v>4466</c:v>
                </c:pt>
                <c:pt idx="13">
                  <c:v>4886</c:v>
                </c:pt>
                <c:pt idx="14">
                  <c:v>4019</c:v>
                </c:pt>
                <c:pt idx="15">
                  <c:v>43088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7-421F-BFDC-BE4A574A185B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BRACKER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4702</c:v>
                </c:pt>
                <c:pt idx="4">
                  <c:v>108096</c:v>
                </c:pt>
                <c:pt idx="5">
                  <c:v>714</c:v>
                </c:pt>
                <c:pt idx="6">
                  <c:v>10572</c:v>
                </c:pt>
                <c:pt idx="7">
                  <c:v>10334</c:v>
                </c:pt>
                <c:pt idx="8">
                  <c:v>1329</c:v>
                </c:pt>
                <c:pt idx="9">
                  <c:v>338</c:v>
                </c:pt>
                <c:pt idx="10">
                  <c:v>2929</c:v>
                </c:pt>
                <c:pt idx="11">
                  <c:v>2547</c:v>
                </c:pt>
                <c:pt idx="12">
                  <c:v>4466</c:v>
                </c:pt>
                <c:pt idx="13">
                  <c:v>4886</c:v>
                </c:pt>
                <c:pt idx="14">
                  <c:v>4019</c:v>
                </c:pt>
                <c:pt idx="15">
                  <c:v>43088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07-421F-BFDC-BE4A574A1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96%</c:v>
                </c:pt>
                <c:pt idx="4">
                  <c:v>0%</c:v>
                </c:pt>
                <c:pt idx="5">
                  <c:v>21%</c:v>
                </c:pt>
                <c:pt idx="6">
                  <c:v>75%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71%</c:v>
                </c:pt>
                <c:pt idx="11">
                  <c:v>0%</c:v>
                </c:pt>
                <c:pt idx="12">
                  <c:v>88%</c:v>
                </c:pt>
                <c:pt idx="13">
                  <c:v>100%</c:v>
                </c:pt>
                <c:pt idx="14">
                  <c:v>83%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BRACKER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0.95833333333333337</c:v>
                </c:pt>
                <c:pt idx="4">
                  <c:v>0</c:v>
                </c:pt>
                <c:pt idx="5">
                  <c:v>0.20833333333333334</c:v>
                </c:pt>
                <c:pt idx="6">
                  <c:v>0.75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0.70833333333333337</c:v>
                </c:pt>
                <c:pt idx="11">
                  <c:v>0</c:v>
                </c:pt>
                <c:pt idx="12">
                  <c:v>0.875</c:v>
                </c:pt>
                <c:pt idx="13">
                  <c:v>1</c:v>
                </c:pt>
                <c:pt idx="14">
                  <c:v>0.83333333333333337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5-46A3-8E2A-0EF76838C53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35-46A3-8E2A-0EF76838C5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BRACKER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0.46111111111111108</c:v>
                </c:pt>
                <c:pt idx="1">
                  <c:v>0.46111111111111108</c:v>
                </c:pt>
                <c:pt idx="2">
                  <c:v>0.46111111111111108</c:v>
                </c:pt>
                <c:pt idx="3">
                  <c:v>0.46111111111111108</c:v>
                </c:pt>
                <c:pt idx="4">
                  <c:v>0.46111111111111108</c:v>
                </c:pt>
                <c:pt idx="5">
                  <c:v>0.46111111111111108</c:v>
                </c:pt>
                <c:pt idx="6">
                  <c:v>0.46111111111111108</c:v>
                </c:pt>
                <c:pt idx="7">
                  <c:v>0.46111111111111108</c:v>
                </c:pt>
                <c:pt idx="8">
                  <c:v>0.46111111111111108</c:v>
                </c:pt>
                <c:pt idx="9">
                  <c:v>0.46111111111111108</c:v>
                </c:pt>
                <c:pt idx="10">
                  <c:v>0.46111111111111108</c:v>
                </c:pt>
                <c:pt idx="11">
                  <c:v>0.46111111111111108</c:v>
                </c:pt>
                <c:pt idx="12">
                  <c:v>0.46111111111111108</c:v>
                </c:pt>
                <c:pt idx="13">
                  <c:v>0.46111111111111108</c:v>
                </c:pt>
                <c:pt idx="14">
                  <c:v>0.46111111111111108</c:v>
                </c:pt>
                <c:pt idx="15">
                  <c:v>0.46111111111111108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35-46A3-8E2A-0EF76838C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BRACKER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3">
                  <c:v>4702</c:v>
                </c:pt>
                <c:pt idx="5">
                  <c:v>714</c:v>
                </c:pt>
                <c:pt idx="6">
                  <c:v>10572</c:v>
                </c:pt>
                <c:pt idx="7">
                  <c:v>10334</c:v>
                </c:pt>
                <c:pt idx="10">
                  <c:v>2929</c:v>
                </c:pt>
                <c:pt idx="12">
                  <c:v>4466</c:v>
                </c:pt>
                <c:pt idx="13">
                  <c:v>4886</c:v>
                </c:pt>
                <c:pt idx="14">
                  <c:v>4019</c:v>
                </c:pt>
                <c:pt idx="15">
                  <c:v>43088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A-49A3-BBBC-4232A95EDA95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BRACKER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4702</c:v>
                </c:pt>
                <c:pt idx="4">
                  <c:v>108096</c:v>
                </c:pt>
                <c:pt idx="5">
                  <c:v>714</c:v>
                </c:pt>
                <c:pt idx="6">
                  <c:v>10572</c:v>
                </c:pt>
                <c:pt idx="7">
                  <c:v>10334</c:v>
                </c:pt>
                <c:pt idx="8">
                  <c:v>1329</c:v>
                </c:pt>
                <c:pt idx="9">
                  <c:v>338</c:v>
                </c:pt>
                <c:pt idx="10">
                  <c:v>2929</c:v>
                </c:pt>
                <c:pt idx="11">
                  <c:v>2547</c:v>
                </c:pt>
                <c:pt idx="12">
                  <c:v>4466</c:v>
                </c:pt>
                <c:pt idx="13">
                  <c:v>4886</c:v>
                </c:pt>
                <c:pt idx="14">
                  <c:v>4019</c:v>
                </c:pt>
                <c:pt idx="15">
                  <c:v>43088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A-49A3-BBBC-4232A95ED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96%</c:v>
                </c:pt>
                <c:pt idx="4">
                  <c:v>0%</c:v>
                </c:pt>
                <c:pt idx="5">
                  <c:v>21%</c:v>
                </c:pt>
                <c:pt idx="6">
                  <c:v>75%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71%</c:v>
                </c:pt>
                <c:pt idx="11">
                  <c:v>0%</c:v>
                </c:pt>
                <c:pt idx="12">
                  <c:v>88%</c:v>
                </c:pt>
                <c:pt idx="13">
                  <c:v>100%</c:v>
                </c:pt>
                <c:pt idx="14">
                  <c:v>83%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BRACKER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0.95833333333333337</c:v>
                </c:pt>
                <c:pt idx="4">
                  <c:v>0</c:v>
                </c:pt>
                <c:pt idx="5">
                  <c:v>0.20833333333333334</c:v>
                </c:pt>
                <c:pt idx="6">
                  <c:v>0.75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0.70833333333333337</c:v>
                </c:pt>
                <c:pt idx="11">
                  <c:v>0</c:v>
                </c:pt>
                <c:pt idx="12">
                  <c:v>0.875</c:v>
                </c:pt>
                <c:pt idx="13">
                  <c:v>1</c:v>
                </c:pt>
                <c:pt idx="14">
                  <c:v>0.83333333333333337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0-47E7-8445-5497ACD9545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50-47E7-8445-5497ACD9545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COVER</c:v>
                </c:pt>
                <c:pt idx="9">
                  <c:v>BASE</c:v>
                </c:pt>
                <c:pt idx="11">
                  <c:v>BRACKER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0.46111111111111108</c:v>
                </c:pt>
                <c:pt idx="1">
                  <c:v>0.46111111111111108</c:v>
                </c:pt>
                <c:pt idx="2">
                  <c:v>0.46111111111111108</c:v>
                </c:pt>
                <c:pt idx="3">
                  <c:v>0.46111111111111108</c:v>
                </c:pt>
                <c:pt idx="4">
                  <c:v>0.46111111111111108</c:v>
                </c:pt>
                <c:pt idx="5">
                  <c:v>0.46111111111111108</c:v>
                </c:pt>
                <c:pt idx="6">
                  <c:v>0.46111111111111108</c:v>
                </c:pt>
                <c:pt idx="7">
                  <c:v>0.46111111111111108</c:v>
                </c:pt>
                <c:pt idx="8">
                  <c:v>0.46111111111111108</c:v>
                </c:pt>
                <c:pt idx="9">
                  <c:v>0.46111111111111108</c:v>
                </c:pt>
                <c:pt idx="10">
                  <c:v>0.46111111111111108</c:v>
                </c:pt>
                <c:pt idx="11">
                  <c:v>0.46111111111111108</c:v>
                </c:pt>
                <c:pt idx="12">
                  <c:v>0.46111111111111108</c:v>
                </c:pt>
                <c:pt idx="13">
                  <c:v>0.46111111111111108</c:v>
                </c:pt>
                <c:pt idx="14">
                  <c:v>0.46111111111111108</c:v>
                </c:pt>
                <c:pt idx="15">
                  <c:v>0.46111111111111108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50-47E7-8445-5497ACD95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F55-409E-B14F-1DE415558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5-409E-B14F-1DE415558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F55-409E-B14F-1DE415558E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55-409E-B14F-1DE415558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1">
                  <c:v>BRACKER</c:v>
                </c:pt>
                <c:pt idx="13">
                  <c:v>FLOAT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3">
                  <c:v>2915</c:v>
                </c:pt>
                <c:pt idx="5">
                  <c:v>12976</c:v>
                </c:pt>
                <c:pt idx="6">
                  <c:v>10638</c:v>
                </c:pt>
                <c:pt idx="8">
                  <c:v>408</c:v>
                </c:pt>
                <c:pt idx="9">
                  <c:v>2391</c:v>
                </c:pt>
                <c:pt idx="10">
                  <c:v>1098</c:v>
                </c:pt>
                <c:pt idx="12">
                  <c:v>5668</c:v>
                </c:pt>
                <c:pt idx="13">
                  <c:v>1702</c:v>
                </c:pt>
                <c:pt idx="15">
                  <c:v>83080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A-4CB1-9C97-C12C2C60799E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1">
                  <c:v>BRACKER</c:v>
                </c:pt>
                <c:pt idx="13">
                  <c:v>FLOAT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2915</c:v>
                </c:pt>
                <c:pt idx="4">
                  <c:v>108096</c:v>
                </c:pt>
                <c:pt idx="5">
                  <c:v>12976</c:v>
                </c:pt>
                <c:pt idx="6">
                  <c:v>10638</c:v>
                </c:pt>
                <c:pt idx="7">
                  <c:v>1329</c:v>
                </c:pt>
                <c:pt idx="8">
                  <c:v>408</c:v>
                </c:pt>
                <c:pt idx="9">
                  <c:v>2391</c:v>
                </c:pt>
                <c:pt idx="10">
                  <c:v>1098</c:v>
                </c:pt>
                <c:pt idx="11">
                  <c:v>2547</c:v>
                </c:pt>
                <c:pt idx="12">
                  <c:v>5668</c:v>
                </c:pt>
                <c:pt idx="13">
                  <c:v>1702</c:v>
                </c:pt>
                <c:pt idx="14">
                  <c:v>4019</c:v>
                </c:pt>
                <c:pt idx="15">
                  <c:v>83080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A-4CB1-9C97-C12C2C607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25%</c:v>
                </c:pt>
                <c:pt idx="9">
                  <c:v>46%</c:v>
                </c:pt>
                <c:pt idx="10">
                  <c:v>25%</c:v>
                </c:pt>
                <c:pt idx="11">
                  <c:v>0%</c:v>
                </c:pt>
                <c:pt idx="12">
                  <c:v>100%</c:v>
                </c:pt>
                <c:pt idx="13">
                  <c:v>54%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1">
                  <c:v>BRACKER</c:v>
                </c:pt>
                <c:pt idx="13">
                  <c:v>FLOAT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0.25</c:v>
                </c:pt>
                <c:pt idx="9">
                  <c:v>0.45833333333333331</c:v>
                </c:pt>
                <c:pt idx="10">
                  <c:v>0.25</c:v>
                </c:pt>
                <c:pt idx="11">
                  <c:v>0</c:v>
                </c:pt>
                <c:pt idx="12">
                  <c:v>1</c:v>
                </c:pt>
                <c:pt idx="13">
                  <c:v>0.54166666666666663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9-42FE-9590-213CBF3E303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99-42FE-9590-213CBF3E30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1">
                  <c:v>BRACKER</c:v>
                </c:pt>
                <c:pt idx="13">
                  <c:v>FLOAT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0.41666666666666674</c:v>
                </c:pt>
                <c:pt idx="1">
                  <c:v>0.41666666666666674</c:v>
                </c:pt>
                <c:pt idx="2">
                  <c:v>0.41666666666666674</c:v>
                </c:pt>
                <c:pt idx="3">
                  <c:v>0.41666666666666674</c:v>
                </c:pt>
                <c:pt idx="4">
                  <c:v>0.41666666666666674</c:v>
                </c:pt>
                <c:pt idx="5">
                  <c:v>0.41666666666666674</c:v>
                </c:pt>
                <c:pt idx="6">
                  <c:v>0.41666666666666674</c:v>
                </c:pt>
                <c:pt idx="7">
                  <c:v>0.41666666666666674</c:v>
                </c:pt>
                <c:pt idx="8">
                  <c:v>0.41666666666666674</c:v>
                </c:pt>
                <c:pt idx="9">
                  <c:v>0.41666666666666674</c:v>
                </c:pt>
                <c:pt idx="10">
                  <c:v>0.41666666666666674</c:v>
                </c:pt>
                <c:pt idx="11">
                  <c:v>0.41666666666666674</c:v>
                </c:pt>
                <c:pt idx="12">
                  <c:v>0.41666666666666674</c:v>
                </c:pt>
                <c:pt idx="13">
                  <c:v>0.41666666666666674</c:v>
                </c:pt>
                <c:pt idx="14">
                  <c:v>0.41666666666666674</c:v>
                </c:pt>
                <c:pt idx="15">
                  <c:v>0.41666666666666674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9-42FE-9590-213CBF3E3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1">
                  <c:v>BRACKER</c:v>
                </c:pt>
                <c:pt idx="13">
                  <c:v>FLOAT</c:v>
                </c:pt>
                <c:pt idx="14">
                  <c:v>BASE</c:v>
                </c:pt>
              </c:strCache>
            </c:strRef>
          </c:cat>
          <c:val>
            <c:numRef>
              <c:f>'16'!$L$6:$L$21</c:f>
              <c:numCache>
                <c:formatCode>_(* #,##0_);_(* \(#,##0\);_(* "-"_);_(@_)</c:formatCode>
                <c:ptCount val="16"/>
                <c:pt idx="3">
                  <c:v>2915</c:v>
                </c:pt>
                <c:pt idx="5">
                  <c:v>12976</c:v>
                </c:pt>
                <c:pt idx="6">
                  <c:v>10638</c:v>
                </c:pt>
                <c:pt idx="8">
                  <c:v>408</c:v>
                </c:pt>
                <c:pt idx="9">
                  <c:v>2391</c:v>
                </c:pt>
                <c:pt idx="10">
                  <c:v>1098</c:v>
                </c:pt>
                <c:pt idx="12">
                  <c:v>5668</c:v>
                </c:pt>
                <c:pt idx="13">
                  <c:v>1702</c:v>
                </c:pt>
                <c:pt idx="15">
                  <c:v>83080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3-4FAB-B948-07FF281B527D}"/>
            </c:ext>
          </c:extLst>
        </c:ser>
        <c:ser>
          <c:idx val="1"/>
          <c:order val="1"/>
          <c:tx>
            <c:v>계획</c:v>
          </c:tx>
          <c:cat>
            <c:strRef>
              <c:f>'16'!$D$6:$D$21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1">
                  <c:v>BRACKER</c:v>
                </c:pt>
                <c:pt idx="13">
                  <c:v>FLOAT</c:v>
                </c:pt>
                <c:pt idx="14">
                  <c:v>BASE</c:v>
                </c:pt>
              </c:strCache>
            </c:strRef>
          </c:cat>
          <c:val>
            <c:numRef>
              <c:f>'16'!$J$6:$J$21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2915</c:v>
                </c:pt>
                <c:pt idx="4">
                  <c:v>108096</c:v>
                </c:pt>
                <c:pt idx="5">
                  <c:v>12976</c:v>
                </c:pt>
                <c:pt idx="6">
                  <c:v>10638</c:v>
                </c:pt>
                <c:pt idx="7">
                  <c:v>1329</c:v>
                </c:pt>
                <c:pt idx="8">
                  <c:v>408</c:v>
                </c:pt>
                <c:pt idx="9">
                  <c:v>2391</c:v>
                </c:pt>
                <c:pt idx="10">
                  <c:v>1098</c:v>
                </c:pt>
                <c:pt idx="11">
                  <c:v>2547</c:v>
                </c:pt>
                <c:pt idx="12">
                  <c:v>5668</c:v>
                </c:pt>
                <c:pt idx="13">
                  <c:v>1702</c:v>
                </c:pt>
                <c:pt idx="14">
                  <c:v>4019</c:v>
                </c:pt>
                <c:pt idx="15">
                  <c:v>83080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3-4FAB-B948-07FF281B5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75%</c:v>
                </c:pt>
                <c:pt idx="4">
                  <c:v>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25%</c:v>
                </c:pt>
                <c:pt idx="9">
                  <c:v>46%</c:v>
                </c:pt>
                <c:pt idx="10">
                  <c:v>25%</c:v>
                </c:pt>
                <c:pt idx="11">
                  <c:v>0%</c:v>
                </c:pt>
                <c:pt idx="12">
                  <c:v>100%</c:v>
                </c:pt>
                <c:pt idx="13">
                  <c:v>54%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1">
                  <c:v>BRACKER</c:v>
                </c:pt>
                <c:pt idx="13">
                  <c:v>FLOAT</c:v>
                </c:pt>
                <c:pt idx="14">
                  <c:v>BASE</c:v>
                </c:pt>
              </c:strCache>
            </c:strRef>
          </c:cat>
          <c:val>
            <c:numRef>
              <c:f>'16'!$AD$6:$AD$21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0.25</c:v>
                </c:pt>
                <c:pt idx="9">
                  <c:v>0.45833333333333331</c:v>
                </c:pt>
                <c:pt idx="10">
                  <c:v>0.25</c:v>
                </c:pt>
                <c:pt idx="11">
                  <c:v>0</c:v>
                </c:pt>
                <c:pt idx="12">
                  <c:v>1</c:v>
                </c:pt>
                <c:pt idx="13">
                  <c:v>0.54166666666666663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9-42DE-B319-19108D02880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59-42DE-B319-19108D0288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'16'!$D$6:$D$21</c:f>
              <c:strCache>
                <c:ptCount val="15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1">
                  <c:v>BRACKER</c:v>
                </c:pt>
                <c:pt idx="13">
                  <c:v>FLOAT</c:v>
                </c:pt>
                <c:pt idx="14">
                  <c:v>BASE</c:v>
                </c:pt>
              </c:strCache>
            </c:strRef>
          </c:cat>
          <c:val>
            <c:numRef>
              <c:f>'16'!$AE$6:$AE$21</c:f>
              <c:numCache>
                <c:formatCode>0%</c:formatCode>
                <c:ptCount val="16"/>
                <c:pt idx="0">
                  <c:v>0.41666666666666674</c:v>
                </c:pt>
                <c:pt idx="1">
                  <c:v>0.41666666666666674</c:v>
                </c:pt>
                <c:pt idx="2">
                  <c:v>0.41666666666666674</c:v>
                </c:pt>
                <c:pt idx="3">
                  <c:v>0.41666666666666674</c:v>
                </c:pt>
                <c:pt idx="4">
                  <c:v>0.41666666666666674</c:v>
                </c:pt>
                <c:pt idx="5">
                  <c:v>0.41666666666666674</c:v>
                </c:pt>
                <c:pt idx="6">
                  <c:v>0.41666666666666674</c:v>
                </c:pt>
                <c:pt idx="7">
                  <c:v>0.41666666666666674</c:v>
                </c:pt>
                <c:pt idx="8">
                  <c:v>0.41666666666666674</c:v>
                </c:pt>
                <c:pt idx="9">
                  <c:v>0.41666666666666674</c:v>
                </c:pt>
                <c:pt idx="10">
                  <c:v>0.41666666666666674</c:v>
                </c:pt>
                <c:pt idx="11">
                  <c:v>0.41666666666666674</c:v>
                </c:pt>
                <c:pt idx="12">
                  <c:v>0.41666666666666674</c:v>
                </c:pt>
                <c:pt idx="13">
                  <c:v>0.41666666666666674</c:v>
                </c:pt>
                <c:pt idx="14">
                  <c:v>0.41666666666666674</c:v>
                </c:pt>
                <c:pt idx="15">
                  <c:v>0.41666666666666674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59-42DE-B319-19108D028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03A-4E81-803D-A67B3D2A6C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A-4E81-803D-A67B3D2A6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03A-4E81-803D-A67B3D2A6C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3A-4E81-803D-A67B3D2A6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5">
                  <c:v>5704</c:v>
                </c:pt>
                <c:pt idx="6">
                  <c:v>4872</c:v>
                </c:pt>
                <c:pt idx="8">
                  <c:v>1006</c:v>
                </c:pt>
                <c:pt idx="14">
                  <c:v>39132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4-4120-B1F3-797F9CEC8703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2915</c:v>
                </c:pt>
                <c:pt idx="4">
                  <c:v>108096</c:v>
                </c:pt>
                <c:pt idx="5">
                  <c:v>5704</c:v>
                </c:pt>
                <c:pt idx="6">
                  <c:v>4872</c:v>
                </c:pt>
                <c:pt idx="7">
                  <c:v>1329</c:v>
                </c:pt>
                <c:pt idx="8">
                  <c:v>1006</c:v>
                </c:pt>
                <c:pt idx="9">
                  <c:v>1098</c:v>
                </c:pt>
                <c:pt idx="10">
                  <c:v>2547</c:v>
                </c:pt>
                <c:pt idx="11">
                  <c:v>5668</c:v>
                </c:pt>
                <c:pt idx="12">
                  <c:v>1702</c:v>
                </c:pt>
                <c:pt idx="13">
                  <c:v>4019</c:v>
                </c:pt>
                <c:pt idx="14">
                  <c:v>39132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4-4120-B1F3-797F9CEC8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46%</c:v>
                </c:pt>
                <c:pt idx="6">
                  <c:v>46%</c:v>
                </c:pt>
                <c:pt idx="7">
                  <c:v>0%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C-4662-869E-4091E183126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CC-4662-869E-4091E183126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0.11388888888888889</c:v>
                </c:pt>
                <c:pt idx="1">
                  <c:v>0.11388888888888889</c:v>
                </c:pt>
                <c:pt idx="2">
                  <c:v>0.11388888888888889</c:v>
                </c:pt>
                <c:pt idx="3">
                  <c:v>0.11388888888888889</c:v>
                </c:pt>
                <c:pt idx="4">
                  <c:v>0.11388888888888889</c:v>
                </c:pt>
                <c:pt idx="5">
                  <c:v>0.11388888888888889</c:v>
                </c:pt>
                <c:pt idx="6">
                  <c:v>0.11388888888888889</c:v>
                </c:pt>
                <c:pt idx="7">
                  <c:v>0.11388888888888889</c:v>
                </c:pt>
                <c:pt idx="8">
                  <c:v>0.11388888888888889</c:v>
                </c:pt>
                <c:pt idx="9">
                  <c:v>0.11388888888888889</c:v>
                </c:pt>
                <c:pt idx="10">
                  <c:v>0.11388888888888889</c:v>
                </c:pt>
                <c:pt idx="11">
                  <c:v>0.11388888888888889</c:v>
                </c:pt>
                <c:pt idx="12">
                  <c:v>0.11388888888888889</c:v>
                </c:pt>
                <c:pt idx="13">
                  <c:v>0.11388888888888889</c:v>
                </c:pt>
                <c:pt idx="14">
                  <c:v>0.11388888888888889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CC-4662-869E-4091E1831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5">
                  <c:v>5704</c:v>
                </c:pt>
                <c:pt idx="6">
                  <c:v>4872</c:v>
                </c:pt>
                <c:pt idx="8">
                  <c:v>1006</c:v>
                </c:pt>
                <c:pt idx="14">
                  <c:v>39132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A5-4BC5-951F-8158ED75CFE0}"/>
            </c:ext>
          </c:extLst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2915</c:v>
                </c:pt>
                <c:pt idx="4">
                  <c:v>108096</c:v>
                </c:pt>
                <c:pt idx="5">
                  <c:v>5704</c:v>
                </c:pt>
                <c:pt idx="6">
                  <c:v>4872</c:v>
                </c:pt>
                <c:pt idx="7">
                  <c:v>1329</c:v>
                </c:pt>
                <c:pt idx="8">
                  <c:v>1006</c:v>
                </c:pt>
                <c:pt idx="9">
                  <c:v>1098</c:v>
                </c:pt>
                <c:pt idx="10">
                  <c:v>2547</c:v>
                </c:pt>
                <c:pt idx="11">
                  <c:v>5668</c:v>
                </c:pt>
                <c:pt idx="12">
                  <c:v>1702</c:v>
                </c:pt>
                <c:pt idx="13">
                  <c:v>4019</c:v>
                </c:pt>
                <c:pt idx="14">
                  <c:v>39132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A5-4BC5-951F-8158ED75C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0%</c:v>
                </c:pt>
                <c:pt idx="5">
                  <c:v>46%</c:v>
                </c:pt>
                <c:pt idx="6">
                  <c:v>46%</c:v>
                </c:pt>
                <c:pt idx="7">
                  <c:v>0%</c:v>
                </c:pt>
                <c:pt idx="8">
                  <c:v>33%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E-43BB-9597-C893846E686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8E-43BB-9597-C893846E686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SHAFT</c:v>
                </c:pt>
                <c:pt idx="5">
                  <c:v>STOPPER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FLOAT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0.11388888888888889</c:v>
                </c:pt>
                <c:pt idx="1">
                  <c:v>0.11388888888888889</c:v>
                </c:pt>
                <c:pt idx="2">
                  <c:v>0.11388888888888889</c:v>
                </c:pt>
                <c:pt idx="3">
                  <c:v>0.11388888888888889</c:v>
                </c:pt>
                <c:pt idx="4">
                  <c:v>0.11388888888888889</c:v>
                </c:pt>
                <c:pt idx="5">
                  <c:v>0.11388888888888889</c:v>
                </c:pt>
                <c:pt idx="6">
                  <c:v>0.11388888888888889</c:v>
                </c:pt>
                <c:pt idx="7">
                  <c:v>0.11388888888888889</c:v>
                </c:pt>
                <c:pt idx="8">
                  <c:v>0.11388888888888889</c:v>
                </c:pt>
                <c:pt idx="9">
                  <c:v>0.11388888888888889</c:v>
                </c:pt>
                <c:pt idx="10">
                  <c:v>0.11388888888888889</c:v>
                </c:pt>
                <c:pt idx="11">
                  <c:v>0.11388888888888889</c:v>
                </c:pt>
                <c:pt idx="12">
                  <c:v>0.11388888888888889</c:v>
                </c:pt>
                <c:pt idx="13">
                  <c:v>0.11388888888888889</c:v>
                </c:pt>
                <c:pt idx="14">
                  <c:v>0.11388888888888889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8E-43BB-9597-C893846E6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3C0-487A-9791-D9C8E7A1BB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C0-487A-9791-D9C8E7A1B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3C0-487A-9791-D9C8E7A1BBB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C0-487A-9791-D9C8E7A1B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4">
                  <c:v>10344</c:v>
                </c:pt>
                <c:pt idx="5">
                  <c:v>5603</c:v>
                </c:pt>
                <c:pt idx="6">
                  <c:v>9738</c:v>
                </c:pt>
                <c:pt idx="7">
                  <c:v>1832</c:v>
                </c:pt>
                <c:pt idx="11">
                  <c:v>3409</c:v>
                </c:pt>
                <c:pt idx="12">
                  <c:v>3109</c:v>
                </c:pt>
                <c:pt idx="13">
                  <c:v>1456</c:v>
                </c:pt>
                <c:pt idx="14">
                  <c:v>40340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2-4E15-8476-FA21C12AEBD8}"/>
            </c:ext>
          </c:extLst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2915</c:v>
                </c:pt>
                <c:pt idx="4">
                  <c:v>10344</c:v>
                </c:pt>
                <c:pt idx="5">
                  <c:v>5603</c:v>
                </c:pt>
                <c:pt idx="6">
                  <c:v>9738</c:v>
                </c:pt>
                <c:pt idx="7">
                  <c:v>1832</c:v>
                </c:pt>
                <c:pt idx="8">
                  <c:v>1006</c:v>
                </c:pt>
                <c:pt idx="9">
                  <c:v>1098</c:v>
                </c:pt>
                <c:pt idx="10">
                  <c:v>2547</c:v>
                </c:pt>
                <c:pt idx="11">
                  <c:v>3409</c:v>
                </c:pt>
                <c:pt idx="12">
                  <c:v>3109</c:v>
                </c:pt>
                <c:pt idx="13">
                  <c:v>1456</c:v>
                </c:pt>
                <c:pt idx="14">
                  <c:v>39132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12-4E15-8476-FA21C12A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75%</c:v>
                </c:pt>
                <c:pt idx="5">
                  <c:v>96%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71%</c:v>
                </c:pt>
                <c:pt idx="12">
                  <c:v>83%</c:v>
                </c:pt>
                <c:pt idx="13">
                  <c:v>54%</c:v>
                </c:pt>
                <c:pt idx="14">
                  <c:v>60%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0.75</c:v>
                </c:pt>
                <c:pt idx="5">
                  <c:v>0.95833333333333337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0.70833333333333337</c:v>
                </c:pt>
                <c:pt idx="12">
                  <c:v>0.83333333333333337</c:v>
                </c:pt>
                <c:pt idx="13">
                  <c:v>0.54166666666666663</c:v>
                </c:pt>
                <c:pt idx="14">
                  <c:v>0.60134076118436741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2-4024-AC4D-157CEAE448A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A2-4024-AC4D-157CEAE448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0.40953382852340231</c:v>
                </c:pt>
                <c:pt idx="1">
                  <c:v>0.40953382852340231</c:v>
                </c:pt>
                <c:pt idx="2">
                  <c:v>0.40953382852340231</c:v>
                </c:pt>
                <c:pt idx="3">
                  <c:v>0.40953382852340231</c:v>
                </c:pt>
                <c:pt idx="4">
                  <c:v>0.40953382852340231</c:v>
                </c:pt>
                <c:pt idx="5">
                  <c:v>0.40953382852340231</c:v>
                </c:pt>
                <c:pt idx="6">
                  <c:v>0.40953382852340231</c:v>
                </c:pt>
                <c:pt idx="7">
                  <c:v>0.40953382852340231</c:v>
                </c:pt>
                <c:pt idx="8">
                  <c:v>0.40953382852340231</c:v>
                </c:pt>
                <c:pt idx="9">
                  <c:v>0.40953382852340231</c:v>
                </c:pt>
                <c:pt idx="10">
                  <c:v>0.40953382852340231</c:v>
                </c:pt>
                <c:pt idx="11">
                  <c:v>0.40953382852340231</c:v>
                </c:pt>
                <c:pt idx="12">
                  <c:v>0.40953382852340231</c:v>
                </c:pt>
                <c:pt idx="13">
                  <c:v>0.40953382852340231</c:v>
                </c:pt>
                <c:pt idx="14">
                  <c:v>0.40953382852340231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A2-4024-AC4D-157CEAE44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4">
                  <c:v>10344</c:v>
                </c:pt>
                <c:pt idx="5">
                  <c:v>5603</c:v>
                </c:pt>
                <c:pt idx="6">
                  <c:v>9738</c:v>
                </c:pt>
                <c:pt idx="7">
                  <c:v>1832</c:v>
                </c:pt>
                <c:pt idx="11">
                  <c:v>3409</c:v>
                </c:pt>
                <c:pt idx="12">
                  <c:v>3109</c:v>
                </c:pt>
                <c:pt idx="13">
                  <c:v>1456</c:v>
                </c:pt>
                <c:pt idx="14">
                  <c:v>40340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1-4DB7-866C-7221DB76A093}"/>
            </c:ext>
          </c:extLst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2915</c:v>
                </c:pt>
                <c:pt idx="4">
                  <c:v>10344</c:v>
                </c:pt>
                <c:pt idx="5">
                  <c:v>5603</c:v>
                </c:pt>
                <c:pt idx="6">
                  <c:v>9738</c:v>
                </c:pt>
                <c:pt idx="7">
                  <c:v>1832</c:v>
                </c:pt>
                <c:pt idx="8">
                  <c:v>1006</c:v>
                </c:pt>
                <c:pt idx="9">
                  <c:v>1098</c:v>
                </c:pt>
                <c:pt idx="10">
                  <c:v>2547</c:v>
                </c:pt>
                <c:pt idx="11">
                  <c:v>3409</c:v>
                </c:pt>
                <c:pt idx="12">
                  <c:v>3109</c:v>
                </c:pt>
                <c:pt idx="13">
                  <c:v>1456</c:v>
                </c:pt>
                <c:pt idx="14">
                  <c:v>39132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C1-4DB7-866C-7221DB76A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75%</c:v>
                </c:pt>
                <c:pt idx="5">
                  <c:v>96%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71%</c:v>
                </c:pt>
                <c:pt idx="12">
                  <c:v>83%</c:v>
                </c:pt>
                <c:pt idx="13">
                  <c:v>54%</c:v>
                </c:pt>
                <c:pt idx="14">
                  <c:v>60%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0.75</c:v>
                </c:pt>
                <c:pt idx="5">
                  <c:v>0.95833333333333337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0.70833333333333337</c:v>
                </c:pt>
                <c:pt idx="12">
                  <c:v>0.83333333333333337</c:v>
                </c:pt>
                <c:pt idx="13">
                  <c:v>0.54166666666666663</c:v>
                </c:pt>
                <c:pt idx="14">
                  <c:v>0.60134076118436741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FF-44D4-952A-515EC010C33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FF-44D4-952A-515EC010C3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0.40953382852340231</c:v>
                </c:pt>
                <c:pt idx="1">
                  <c:v>0.40953382852340231</c:v>
                </c:pt>
                <c:pt idx="2">
                  <c:v>0.40953382852340231</c:v>
                </c:pt>
                <c:pt idx="3">
                  <c:v>0.40953382852340231</c:v>
                </c:pt>
                <c:pt idx="4">
                  <c:v>0.40953382852340231</c:v>
                </c:pt>
                <c:pt idx="5">
                  <c:v>0.40953382852340231</c:v>
                </c:pt>
                <c:pt idx="6">
                  <c:v>0.40953382852340231</c:v>
                </c:pt>
                <c:pt idx="7">
                  <c:v>0.40953382852340231</c:v>
                </c:pt>
                <c:pt idx="8">
                  <c:v>0.40953382852340231</c:v>
                </c:pt>
                <c:pt idx="9">
                  <c:v>0.40953382852340231</c:v>
                </c:pt>
                <c:pt idx="10">
                  <c:v>0.40953382852340231</c:v>
                </c:pt>
                <c:pt idx="11">
                  <c:v>0.40953382852340231</c:v>
                </c:pt>
                <c:pt idx="12">
                  <c:v>0.40953382852340231</c:v>
                </c:pt>
                <c:pt idx="13">
                  <c:v>0.40953382852340231</c:v>
                </c:pt>
                <c:pt idx="14">
                  <c:v>0.40953382852340231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FF-44D4-952A-515EC010C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407D-4D28-89FF-1F3D5131FC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D-4D28-89FF-1F3D5131F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7D-4D28-89FF-1F3D5131FC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7D-4D28-89FF-1F3D5131F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790 FLAPPER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4">
                  <c:v>15286</c:v>
                </c:pt>
                <c:pt idx="5">
                  <c:v>6438</c:v>
                </c:pt>
                <c:pt idx="6">
                  <c:v>2854</c:v>
                </c:pt>
                <c:pt idx="7">
                  <c:v>3463</c:v>
                </c:pt>
                <c:pt idx="12">
                  <c:v>1687</c:v>
                </c:pt>
                <c:pt idx="14">
                  <c:v>38252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B-4D27-901A-BA5E1FA46A1D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790 FLAPPER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2915</c:v>
                </c:pt>
                <c:pt idx="4">
                  <c:v>15286</c:v>
                </c:pt>
                <c:pt idx="5">
                  <c:v>6438</c:v>
                </c:pt>
                <c:pt idx="6">
                  <c:v>2854</c:v>
                </c:pt>
                <c:pt idx="7">
                  <c:v>3463</c:v>
                </c:pt>
                <c:pt idx="8">
                  <c:v>1006</c:v>
                </c:pt>
                <c:pt idx="9">
                  <c:v>1098</c:v>
                </c:pt>
                <c:pt idx="10">
                  <c:v>2547</c:v>
                </c:pt>
                <c:pt idx="11">
                  <c:v>3409</c:v>
                </c:pt>
                <c:pt idx="12">
                  <c:v>1687</c:v>
                </c:pt>
                <c:pt idx="13">
                  <c:v>1456</c:v>
                </c:pt>
                <c:pt idx="14">
                  <c:v>38252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B-4D27-901A-BA5E1FA46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63%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790 FLAPPER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0.625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B-4D69-A670-F99D7CEF50A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FB-4D69-A670-F99D7CEF50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790 FLAPPER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0.30833333333333335</c:v>
                </c:pt>
                <c:pt idx="1">
                  <c:v>0.30833333333333335</c:v>
                </c:pt>
                <c:pt idx="2">
                  <c:v>0.30833333333333335</c:v>
                </c:pt>
                <c:pt idx="3">
                  <c:v>0.30833333333333335</c:v>
                </c:pt>
                <c:pt idx="4">
                  <c:v>0.30833333333333335</c:v>
                </c:pt>
                <c:pt idx="5">
                  <c:v>0.30833333333333335</c:v>
                </c:pt>
                <c:pt idx="6">
                  <c:v>0.30833333333333335</c:v>
                </c:pt>
                <c:pt idx="7">
                  <c:v>0.30833333333333335</c:v>
                </c:pt>
                <c:pt idx="8">
                  <c:v>0.30833333333333335</c:v>
                </c:pt>
                <c:pt idx="9">
                  <c:v>0.30833333333333335</c:v>
                </c:pt>
                <c:pt idx="10">
                  <c:v>0.30833333333333335</c:v>
                </c:pt>
                <c:pt idx="11">
                  <c:v>0.30833333333333335</c:v>
                </c:pt>
                <c:pt idx="12">
                  <c:v>0.30833333333333335</c:v>
                </c:pt>
                <c:pt idx="13">
                  <c:v>0.30833333333333335</c:v>
                </c:pt>
                <c:pt idx="14">
                  <c:v>0.30833333333333335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B-4D69-A670-F99D7CEF5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790 FLAPPER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'21'!$L$6:$L$20</c:f>
              <c:numCache>
                <c:formatCode>_(* #,##0_);_(* \(#,##0\);_(* "-"_);_(@_)</c:formatCode>
                <c:ptCount val="15"/>
                <c:pt idx="4">
                  <c:v>15286</c:v>
                </c:pt>
                <c:pt idx="5">
                  <c:v>6438</c:v>
                </c:pt>
                <c:pt idx="6">
                  <c:v>2854</c:v>
                </c:pt>
                <c:pt idx="7">
                  <c:v>3463</c:v>
                </c:pt>
                <c:pt idx="12">
                  <c:v>1687</c:v>
                </c:pt>
                <c:pt idx="14">
                  <c:v>38252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5D-4724-A0B0-7EFD117714C9}"/>
            </c:ext>
          </c:extLst>
        </c:ser>
        <c:ser>
          <c:idx val="1"/>
          <c:order val="1"/>
          <c:tx>
            <c:v>계획</c:v>
          </c:tx>
          <c:cat>
            <c:strRef>
              <c:f>'21'!$D$6:$D$20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790 FLAPPER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2915</c:v>
                </c:pt>
                <c:pt idx="4">
                  <c:v>15286</c:v>
                </c:pt>
                <c:pt idx="5">
                  <c:v>6438</c:v>
                </c:pt>
                <c:pt idx="6">
                  <c:v>2854</c:v>
                </c:pt>
                <c:pt idx="7">
                  <c:v>3463</c:v>
                </c:pt>
                <c:pt idx="8">
                  <c:v>1006</c:v>
                </c:pt>
                <c:pt idx="9">
                  <c:v>1098</c:v>
                </c:pt>
                <c:pt idx="10">
                  <c:v>2547</c:v>
                </c:pt>
                <c:pt idx="11">
                  <c:v>3409</c:v>
                </c:pt>
                <c:pt idx="12">
                  <c:v>1687</c:v>
                </c:pt>
                <c:pt idx="13">
                  <c:v>1456</c:v>
                </c:pt>
                <c:pt idx="14">
                  <c:v>38252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5D-4724-A0B0-7EFD11771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0%</c:v>
                </c:pt>
                <c:pt idx="4">
                  <c:v>100%</c:v>
                </c:pt>
                <c:pt idx="5">
                  <c:v>100%</c:v>
                </c:pt>
                <c:pt idx="6">
                  <c:v>63%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790 FLAPPER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0.625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7-4F89-BFE5-4E3F6EB8A79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57-4F89-BFE5-4E3F6EB8A7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790 FLAPPER</c:v>
                </c:pt>
                <c:pt idx="7">
                  <c:v>COVER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'21'!$AE$6:$AE$20</c:f>
              <c:numCache>
                <c:formatCode>0%</c:formatCode>
                <c:ptCount val="15"/>
                <c:pt idx="0">
                  <c:v>0.30833333333333335</c:v>
                </c:pt>
                <c:pt idx="1">
                  <c:v>0.30833333333333335</c:v>
                </c:pt>
                <c:pt idx="2">
                  <c:v>0.30833333333333335</c:v>
                </c:pt>
                <c:pt idx="3">
                  <c:v>0.30833333333333335</c:v>
                </c:pt>
                <c:pt idx="4">
                  <c:v>0.30833333333333335</c:v>
                </c:pt>
                <c:pt idx="5">
                  <c:v>0.30833333333333335</c:v>
                </c:pt>
                <c:pt idx="6">
                  <c:v>0.30833333333333335</c:v>
                </c:pt>
                <c:pt idx="7">
                  <c:v>0.30833333333333335</c:v>
                </c:pt>
                <c:pt idx="8">
                  <c:v>0.30833333333333335</c:v>
                </c:pt>
                <c:pt idx="9">
                  <c:v>0.30833333333333335</c:v>
                </c:pt>
                <c:pt idx="10">
                  <c:v>0.30833333333333335</c:v>
                </c:pt>
                <c:pt idx="11">
                  <c:v>0.30833333333333335</c:v>
                </c:pt>
                <c:pt idx="12">
                  <c:v>0.30833333333333335</c:v>
                </c:pt>
                <c:pt idx="13">
                  <c:v>0.30833333333333335</c:v>
                </c:pt>
                <c:pt idx="14">
                  <c:v>0.30833333333333335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7-4F89-BFE5-4E3F6EB8A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640-4577-8BBB-33241C8942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40-4577-8BBB-33241C894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40-4577-8BBB-33241C8942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0-4577-8BBB-33241C894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IN-A</c:v>
                </c:pt>
                <c:pt idx="7">
                  <c:v>IN-B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3">
                  <c:v>2441</c:v>
                </c:pt>
                <c:pt idx="4">
                  <c:v>16210</c:v>
                </c:pt>
                <c:pt idx="5">
                  <c:v>3775</c:v>
                </c:pt>
                <c:pt idx="6">
                  <c:v>4206</c:v>
                </c:pt>
                <c:pt idx="7">
                  <c:v>4024</c:v>
                </c:pt>
                <c:pt idx="12">
                  <c:v>2212</c:v>
                </c:pt>
                <c:pt idx="13">
                  <c:v>2603</c:v>
                </c:pt>
                <c:pt idx="14">
                  <c:v>40960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9-4EBD-AE51-113B88F82F4B}"/>
            </c:ext>
          </c:extLst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IN-A</c:v>
                </c:pt>
                <c:pt idx="7">
                  <c:v>IN-B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2441</c:v>
                </c:pt>
                <c:pt idx="4">
                  <c:v>16210</c:v>
                </c:pt>
                <c:pt idx="5">
                  <c:v>3775</c:v>
                </c:pt>
                <c:pt idx="6">
                  <c:v>4206</c:v>
                </c:pt>
                <c:pt idx="7">
                  <c:v>4024</c:v>
                </c:pt>
                <c:pt idx="8">
                  <c:v>1006</c:v>
                </c:pt>
                <c:pt idx="9">
                  <c:v>1098</c:v>
                </c:pt>
                <c:pt idx="10">
                  <c:v>2547</c:v>
                </c:pt>
                <c:pt idx="11">
                  <c:v>3409</c:v>
                </c:pt>
                <c:pt idx="12">
                  <c:v>2212</c:v>
                </c:pt>
                <c:pt idx="13">
                  <c:v>2603</c:v>
                </c:pt>
                <c:pt idx="14">
                  <c:v>40960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39-4EBD-AE51-113B88F82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67%</c:v>
                </c:pt>
                <c:pt idx="4">
                  <c:v>100%</c:v>
                </c:pt>
                <c:pt idx="5">
                  <c:v>58%</c:v>
                </c:pt>
                <c:pt idx="6">
                  <c:v>88%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71%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IN-A</c:v>
                </c:pt>
                <c:pt idx="7">
                  <c:v>IN-B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0.66666666666666663</c:v>
                </c:pt>
                <c:pt idx="4">
                  <c:v>1</c:v>
                </c:pt>
                <c:pt idx="5">
                  <c:v>0.58333333333333337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0.70833333333333337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9-4512-8FE3-164E3AFC48A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5B9-4512-8FE3-164E3AFC48A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IN-A</c:v>
                </c:pt>
                <c:pt idx="7">
                  <c:v>IN-B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B9-4512-8FE3-164E3AFC4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IN-A</c:v>
                </c:pt>
                <c:pt idx="7">
                  <c:v>IN-B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3">
                  <c:v>2441</c:v>
                </c:pt>
                <c:pt idx="4">
                  <c:v>16210</c:v>
                </c:pt>
                <c:pt idx="5">
                  <c:v>3775</c:v>
                </c:pt>
                <c:pt idx="6">
                  <c:v>4206</c:v>
                </c:pt>
                <c:pt idx="7">
                  <c:v>4024</c:v>
                </c:pt>
                <c:pt idx="12">
                  <c:v>2212</c:v>
                </c:pt>
                <c:pt idx="13">
                  <c:v>2603</c:v>
                </c:pt>
                <c:pt idx="14">
                  <c:v>40960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2-411C-B4C6-1B2C89D51D3E}"/>
            </c:ext>
          </c:extLst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IN-A</c:v>
                </c:pt>
                <c:pt idx="7">
                  <c:v>IN-B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2441</c:v>
                </c:pt>
                <c:pt idx="4">
                  <c:v>16210</c:v>
                </c:pt>
                <c:pt idx="5">
                  <c:v>3775</c:v>
                </c:pt>
                <c:pt idx="6">
                  <c:v>4206</c:v>
                </c:pt>
                <c:pt idx="7">
                  <c:v>4024</c:v>
                </c:pt>
                <c:pt idx="8">
                  <c:v>1006</c:v>
                </c:pt>
                <c:pt idx="9">
                  <c:v>1098</c:v>
                </c:pt>
                <c:pt idx="10">
                  <c:v>2547</c:v>
                </c:pt>
                <c:pt idx="11">
                  <c:v>3409</c:v>
                </c:pt>
                <c:pt idx="12">
                  <c:v>2212</c:v>
                </c:pt>
                <c:pt idx="13">
                  <c:v>2603</c:v>
                </c:pt>
                <c:pt idx="14">
                  <c:v>40960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2-411C-B4C6-1B2C89D51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67%</c:v>
                </c:pt>
                <c:pt idx="4">
                  <c:v>100%</c:v>
                </c:pt>
                <c:pt idx="5">
                  <c:v>58%</c:v>
                </c:pt>
                <c:pt idx="6">
                  <c:v>88%</c:v>
                </c:pt>
                <c:pt idx="7">
                  <c:v>92%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67%</c:v>
                </c:pt>
                <c:pt idx="13">
                  <c:v>71%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IN-A</c:v>
                </c:pt>
                <c:pt idx="7">
                  <c:v>IN-B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0.66666666666666663</c:v>
                </c:pt>
                <c:pt idx="4">
                  <c:v>1</c:v>
                </c:pt>
                <c:pt idx="5">
                  <c:v>0.58333333333333337</c:v>
                </c:pt>
                <c:pt idx="6">
                  <c:v>0.875</c:v>
                </c:pt>
                <c:pt idx="7">
                  <c:v>0.91666666666666663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0.66666666666666663</c:v>
                </c:pt>
                <c:pt idx="13">
                  <c:v>0.70833333333333337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0-4FF1-B2F1-0A9173A2855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30-4FF1-B2F1-0A9173A2855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'22'!$D$6:$D$20</c:f>
              <c:strCache>
                <c:ptCount val="14"/>
                <c:pt idx="2">
                  <c:v>BASE/UNDER</c:v>
                </c:pt>
                <c:pt idx="3">
                  <c:v>BODY</c:v>
                </c:pt>
                <c:pt idx="4">
                  <c:v>SEPARATOR</c:v>
                </c:pt>
                <c:pt idx="5">
                  <c:v>SPACER A/B</c:v>
                </c:pt>
                <c:pt idx="6">
                  <c:v>IN-A</c:v>
                </c:pt>
                <c:pt idx="7">
                  <c:v>IN-B</c:v>
                </c:pt>
                <c:pt idx="8">
                  <c:v>BASE</c:v>
                </c:pt>
                <c:pt idx="10">
                  <c:v>BRACKER</c:v>
                </c:pt>
                <c:pt idx="12">
                  <c:v>BODY</c:v>
                </c:pt>
                <c:pt idx="13">
                  <c:v>COVER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30-4FF1-B2F1-0A9173A28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723-4691-9BF8-CC48BD4DD8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23-4691-9BF8-CC48BD4DD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23-4691-9BF8-CC48BD4DD8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23-4691-9BF8-CC48BD4DD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'23'!$D$6:$D$25</c:f>
              <c:strCache>
                <c:ptCount val="19"/>
                <c:pt idx="2">
                  <c:v>BASE/UNDER</c:v>
                </c:pt>
                <c:pt idx="3">
                  <c:v>BODY</c:v>
                </c:pt>
                <c:pt idx="4">
                  <c:v>COVER</c:v>
                </c:pt>
                <c:pt idx="5">
                  <c:v>STOPPER</c:v>
                </c:pt>
                <c:pt idx="6">
                  <c:v>ACTUATOR</c:v>
                </c:pt>
                <c:pt idx="7">
                  <c:v>STOPPER</c:v>
                </c:pt>
                <c:pt idx="8">
                  <c:v>IN-A</c:v>
                </c:pt>
                <c:pt idx="9">
                  <c:v>IN-B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BODY</c:v>
                </c:pt>
                <c:pt idx="15">
                  <c:v>L/G</c:v>
                </c:pt>
                <c:pt idx="16">
                  <c:v>COVER</c:v>
                </c:pt>
                <c:pt idx="17">
                  <c:v>LATCH</c:v>
                </c:pt>
                <c:pt idx="18">
                  <c:v>LATCH PLATE</c:v>
                </c:pt>
              </c:strCache>
            </c:strRef>
          </c:cat>
          <c:val>
            <c:numRef>
              <c:f>'23'!$L$6:$L$25</c:f>
              <c:numCache>
                <c:formatCode>_(* #,##0_);_(* \(#,##0\);_(* "-"_);_(@_)</c:formatCode>
                <c:ptCount val="20"/>
                <c:pt idx="3">
                  <c:v>1158</c:v>
                </c:pt>
                <c:pt idx="4">
                  <c:v>527</c:v>
                </c:pt>
                <c:pt idx="5">
                  <c:v>5412</c:v>
                </c:pt>
                <c:pt idx="6">
                  <c:v>380</c:v>
                </c:pt>
                <c:pt idx="7">
                  <c:v>352</c:v>
                </c:pt>
                <c:pt idx="8">
                  <c:v>3191</c:v>
                </c:pt>
                <c:pt idx="9">
                  <c:v>2196</c:v>
                </c:pt>
                <c:pt idx="13">
                  <c:v>257</c:v>
                </c:pt>
                <c:pt idx="14">
                  <c:v>1841</c:v>
                </c:pt>
                <c:pt idx="15">
                  <c:v>415</c:v>
                </c:pt>
                <c:pt idx="16">
                  <c:v>374</c:v>
                </c:pt>
                <c:pt idx="17">
                  <c:v>594</c:v>
                </c:pt>
                <c:pt idx="18">
                  <c:v>618</c:v>
                </c:pt>
                <c:pt idx="19">
                  <c:v>86480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E-4BA9-B9B4-15E247C00C21}"/>
            </c:ext>
          </c:extLst>
        </c:ser>
        <c:ser>
          <c:idx val="1"/>
          <c:order val="1"/>
          <c:tx>
            <c:v>계획</c:v>
          </c:tx>
          <c:cat>
            <c:strRef>
              <c:f>'23'!$D$6:$D$25</c:f>
              <c:strCache>
                <c:ptCount val="19"/>
                <c:pt idx="2">
                  <c:v>BASE/UNDER</c:v>
                </c:pt>
                <c:pt idx="3">
                  <c:v>BODY</c:v>
                </c:pt>
                <c:pt idx="4">
                  <c:v>COVER</c:v>
                </c:pt>
                <c:pt idx="5">
                  <c:v>STOPPER</c:v>
                </c:pt>
                <c:pt idx="6">
                  <c:v>ACTUATOR</c:v>
                </c:pt>
                <c:pt idx="7">
                  <c:v>STOPPER</c:v>
                </c:pt>
                <c:pt idx="8">
                  <c:v>IN-A</c:v>
                </c:pt>
                <c:pt idx="9">
                  <c:v>IN-B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BODY</c:v>
                </c:pt>
                <c:pt idx="15">
                  <c:v>L/G</c:v>
                </c:pt>
                <c:pt idx="16">
                  <c:v>COVER</c:v>
                </c:pt>
                <c:pt idx="17">
                  <c:v>LATCH</c:v>
                </c:pt>
                <c:pt idx="18">
                  <c:v>LATCH PLATE</c:v>
                </c:pt>
              </c:strCache>
            </c:strRef>
          </c:cat>
          <c:val>
            <c:numRef>
              <c:f>'23'!$J$6:$J$25</c:f>
              <c:numCache>
                <c:formatCode>_(* #,##0_);_(* \(#,##0\);_(* "-"_);_(@_)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1158</c:v>
                </c:pt>
                <c:pt idx="4">
                  <c:v>527</c:v>
                </c:pt>
                <c:pt idx="5">
                  <c:v>5412</c:v>
                </c:pt>
                <c:pt idx="6">
                  <c:v>380</c:v>
                </c:pt>
                <c:pt idx="7">
                  <c:v>352</c:v>
                </c:pt>
                <c:pt idx="8">
                  <c:v>3191</c:v>
                </c:pt>
                <c:pt idx="9">
                  <c:v>2196</c:v>
                </c:pt>
                <c:pt idx="10">
                  <c:v>1006</c:v>
                </c:pt>
                <c:pt idx="11">
                  <c:v>1098</c:v>
                </c:pt>
                <c:pt idx="12">
                  <c:v>2547</c:v>
                </c:pt>
                <c:pt idx="13">
                  <c:v>257</c:v>
                </c:pt>
                <c:pt idx="14">
                  <c:v>1841</c:v>
                </c:pt>
                <c:pt idx="15">
                  <c:v>415</c:v>
                </c:pt>
                <c:pt idx="16">
                  <c:v>374</c:v>
                </c:pt>
                <c:pt idx="17">
                  <c:v>594</c:v>
                </c:pt>
                <c:pt idx="18">
                  <c:v>618</c:v>
                </c:pt>
                <c:pt idx="19">
                  <c:v>86480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8E-4BA9-B9B4-15E247C00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'23'!$AD$6:$AD$25</c:f>
              <c:strCache>
                <c:ptCount val="20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25%</c:v>
                </c:pt>
                <c:pt idx="5">
                  <c:v>100%</c:v>
                </c:pt>
                <c:pt idx="6">
                  <c:v>17%</c:v>
                </c:pt>
                <c:pt idx="7">
                  <c:v>17%</c:v>
                </c:pt>
                <c:pt idx="8">
                  <c:v>75%</c:v>
                </c:pt>
                <c:pt idx="9">
                  <c:v>54%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58%</c:v>
                </c:pt>
                <c:pt idx="15">
                  <c:v>17%</c:v>
                </c:pt>
                <c:pt idx="16">
                  <c:v>17%</c:v>
                </c:pt>
                <c:pt idx="17">
                  <c:v>17%</c:v>
                </c:pt>
                <c:pt idx="18">
                  <c:v>17%</c:v>
                </c:pt>
                <c:pt idx="19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'23'!$D$6:$D$25</c:f>
              <c:strCache>
                <c:ptCount val="19"/>
                <c:pt idx="2">
                  <c:v>BASE/UNDER</c:v>
                </c:pt>
                <c:pt idx="3">
                  <c:v>BODY</c:v>
                </c:pt>
                <c:pt idx="4">
                  <c:v>COVER</c:v>
                </c:pt>
                <c:pt idx="5">
                  <c:v>STOPPER</c:v>
                </c:pt>
                <c:pt idx="6">
                  <c:v>ACTUATOR</c:v>
                </c:pt>
                <c:pt idx="7">
                  <c:v>STOPPER</c:v>
                </c:pt>
                <c:pt idx="8">
                  <c:v>IN-A</c:v>
                </c:pt>
                <c:pt idx="9">
                  <c:v>IN-B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BODY</c:v>
                </c:pt>
                <c:pt idx="15">
                  <c:v>L/G</c:v>
                </c:pt>
                <c:pt idx="16">
                  <c:v>COVER</c:v>
                </c:pt>
                <c:pt idx="17">
                  <c:v>LATCH</c:v>
                </c:pt>
                <c:pt idx="18">
                  <c:v>LATCH PLATE</c:v>
                </c:pt>
              </c:strCache>
            </c:strRef>
          </c:cat>
          <c:val>
            <c:numRef>
              <c:f>'23'!$AD$6:$AD$25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0.25</c:v>
                </c:pt>
                <c:pt idx="5">
                  <c:v>1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0.75</c:v>
                </c:pt>
                <c:pt idx="9">
                  <c:v>0.54166666666666663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0.58333333333333337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6-48B7-842D-3004A4B89E5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66-48B7-842D-3004A4B89E5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'23'!$D$6:$D$25</c:f>
              <c:strCache>
                <c:ptCount val="19"/>
                <c:pt idx="2">
                  <c:v>BASE/UNDER</c:v>
                </c:pt>
                <c:pt idx="3">
                  <c:v>BODY</c:v>
                </c:pt>
                <c:pt idx="4">
                  <c:v>COVER</c:v>
                </c:pt>
                <c:pt idx="5">
                  <c:v>STOPPER</c:v>
                </c:pt>
                <c:pt idx="6">
                  <c:v>ACTUATOR</c:v>
                </c:pt>
                <c:pt idx="7">
                  <c:v>STOPPER</c:v>
                </c:pt>
                <c:pt idx="8">
                  <c:v>IN-A</c:v>
                </c:pt>
                <c:pt idx="9">
                  <c:v>IN-B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BODY</c:v>
                </c:pt>
                <c:pt idx="15">
                  <c:v>L/G</c:v>
                </c:pt>
                <c:pt idx="16">
                  <c:v>COVER</c:v>
                </c:pt>
                <c:pt idx="17">
                  <c:v>LATCH</c:v>
                </c:pt>
                <c:pt idx="18">
                  <c:v>LATCH PLATE</c:v>
                </c:pt>
              </c:strCache>
            </c:strRef>
          </c:cat>
          <c:val>
            <c:numRef>
              <c:f>'23'!$AE$6:$AE$25</c:f>
              <c:numCache>
                <c:formatCode>0%</c:formatCode>
                <c:ptCount val="20"/>
                <c:pt idx="0">
                  <c:v>0.38055555555555559</c:v>
                </c:pt>
                <c:pt idx="1">
                  <c:v>0.38055555555555559</c:v>
                </c:pt>
                <c:pt idx="2">
                  <c:v>0.38055555555555559</c:v>
                </c:pt>
                <c:pt idx="3">
                  <c:v>0.38055555555555559</c:v>
                </c:pt>
                <c:pt idx="4">
                  <c:v>0.38055555555555559</c:v>
                </c:pt>
                <c:pt idx="5">
                  <c:v>0.38055555555555559</c:v>
                </c:pt>
                <c:pt idx="6">
                  <c:v>0.38055555555555559</c:v>
                </c:pt>
                <c:pt idx="7">
                  <c:v>0.38055555555555559</c:v>
                </c:pt>
                <c:pt idx="8">
                  <c:v>0.38055555555555559</c:v>
                </c:pt>
                <c:pt idx="9">
                  <c:v>0.38055555555555559</c:v>
                </c:pt>
                <c:pt idx="10">
                  <c:v>0.38055555555555559</c:v>
                </c:pt>
                <c:pt idx="11">
                  <c:v>0.38055555555555559</c:v>
                </c:pt>
                <c:pt idx="12">
                  <c:v>0.38055555555555559</c:v>
                </c:pt>
                <c:pt idx="13">
                  <c:v>0.38055555555555559</c:v>
                </c:pt>
                <c:pt idx="14">
                  <c:v>0.38055555555555559</c:v>
                </c:pt>
                <c:pt idx="15">
                  <c:v>0.38055555555555559</c:v>
                </c:pt>
                <c:pt idx="16">
                  <c:v>0.38055555555555559</c:v>
                </c:pt>
                <c:pt idx="17">
                  <c:v>0.38055555555555559</c:v>
                </c:pt>
                <c:pt idx="18">
                  <c:v>0.38055555555555559</c:v>
                </c:pt>
                <c:pt idx="19">
                  <c:v>0.38055555555555559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6-48B7-842D-3004A4B89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'23'!$D$6:$D$25</c:f>
              <c:strCache>
                <c:ptCount val="19"/>
                <c:pt idx="2">
                  <c:v>BASE/UNDER</c:v>
                </c:pt>
                <c:pt idx="3">
                  <c:v>BODY</c:v>
                </c:pt>
                <c:pt idx="4">
                  <c:v>COVER</c:v>
                </c:pt>
                <c:pt idx="5">
                  <c:v>STOPPER</c:v>
                </c:pt>
                <c:pt idx="6">
                  <c:v>ACTUATOR</c:v>
                </c:pt>
                <c:pt idx="7">
                  <c:v>STOPPER</c:v>
                </c:pt>
                <c:pt idx="8">
                  <c:v>IN-A</c:v>
                </c:pt>
                <c:pt idx="9">
                  <c:v>IN-B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BODY</c:v>
                </c:pt>
                <c:pt idx="15">
                  <c:v>L/G</c:v>
                </c:pt>
                <c:pt idx="16">
                  <c:v>COVER</c:v>
                </c:pt>
                <c:pt idx="17">
                  <c:v>LATCH</c:v>
                </c:pt>
                <c:pt idx="18">
                  <c:v>LATCH PLATE</c:v>
                </c:pt>
              </c:strCache>
            </c:strRef>
          </c:cat>
          <c:val>
            <c:numRef>
              <c:f>'23'!$L$6:$L$25</c:f>
              <c:numCache>
                <c:formatCode>_(* #,##0_);_(* \(#,##0\);_(* "-"_);_(@_)</c:formatCode>
                <c:ptCount val="20"/>
                <c:pt idx="3">
                  <c:v>1158</c:v>
                </c:pt>
                <c:pt idx="4">
                  <c:v>527</c:v>
                </c:pt>
                <c:pt idx="5">
                  <c:v>5412</c:v>
                </c:pt>
                <c:pt idx="6">
                  <c:v>380</c:v>
                </c:pt>
                <c:pt idx="7">
                  <c:v>352</c:v>
                </c:pt>
                <c:pt idx="8">
                  <c:v>3191</c:v>
                </c:pt>
                <c:pt idx="9">
                  <c:v>2196</c:v>
                </c:pt>
                <c:pt idx="13">
                  <c:v>257</c:v>
                </c:pt>
                <c:pt idx="14">
                  <c:v>1841</c:v>
                </c:pt>
                <c:pt idx="15">
                  <c:v>415</c:v>
                </c:pt>
                <c:pt idx="16">
                  <c:v>374</c:v>
                </c:pt>
                <c:pt idx="17">
                  <c:v>594</c:v>
                </c:pt>
                <c:pt idx="18">
                  <c:v>618</c:v>
                </c:pt>
                <c:pt idx="19">
                  <c:v>86480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40-4D41-AB3B-F3CBFFFC0E22}"/>
            </c:ext>
          </c:extLst>
        </c:ser>
        <c:ser>
          <c:idx val="1"/>
          <c:order val="1"/>
          <c:tx>
            <c:v>계획</c:v>
          </c:tx>
          <c:cat>
            <c:strRef>
              <c:f>'23'!$D$6:$D$25</c:f>
              <c:strCache>
                <c:ptCount val="19"/>
                <c:pt idx="2">
                  <c:v>BASE/UNDER</c:v>
                </c:pt>
                <c:pt idx="3">
                  <c:v>BODY</c:v>
                </c:pt>
                <c:pt idx="4">
                  <c:v>COVER</c:v>
                </c:pt>
                <c:pt idx="5">
                  <c:v>STOPPER</c:v>
                </c:pt>
                <c:pt idx="6">
                  <c:v>ACTUATOR</c:v>
                </c:pt>
                <c:pt idx="7">
                  <c:v>STOPPER</c:v>
                </c:pt>
                <c:pt idx="8">
                  <c:v>IN-A</c:v>
                </c:pt>
                <c:pt idx="9">
                  <c:v>IN-B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BODY</c:v>
                </c:pt>
                <c:pt idx="15">
                  <c:v>L/G</c:v>
                </c:pt>
                <c:pt idx="16">
                  <c:v>COVER</c:v>
                </c:pt>
                <c:pt idx="17">
                  <c:v>LATCH</c:v>
                </c:pt>
                <c:pt idx="18">
                  <c:v>LATCH PLATE</c:v>
                </c:pt>
              </c:strCache>
            </c:strRef>
          </c:cat>
          <c:val>
            <c:numRef>
              <c:f>'23'!$J$6:$J$25</c:f>
              <c:numCache>
                <c:formatCode>_(* #,##0_);_(* \(#,##0\);_(* "-"_);_(@_)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1158</c:v>
                </c:pt>
                <c:pt idx="4">
                  <c:v>527</c:v>
                </c:pt>
                <c:pt idx="5">
                  <c:v>5412</c:v>
                </c:pt>
                <c:pt idx="6">
                  <c:v>380</c:v>
                </c:pt>
                <c:pt idx="7">
                  <c:v>352</c:v>
                </c:pt>
                <c:pt idx="8">
                  <c:v>3191</c:v>
                </c:pt>
                <c:pt idx="9">
                  <c:v>2196</c:v>
                </c:pt>
                <c:pt idx="10">
                  <c:v>1006</c:v>
                </c:pt>
                <c:pt idx="11">
                  <c:v>1098</c:v>
                </c:pt>
                <c:pt idx="12">
                  <c:v>2547</c:v>
                </c:pt>
                <c:pt idx="13">
                  <c:v>257</c:v>
                </c:pt>
                <c:pt idx="14">
                  <c:v>1841</c:v>
                </c:pt>
                <c:pt idx="15">
                  <c:v>415</c:v>
                </c:pt>
                <c:pt idx="16">
                  <c:v>374</c:v>
                </c:pt>
                <c:pt idx="17">
                  <c:v>594</c:v>
                </c:pt>
                <c:pt idx="18">
                  <c:v>618</c:v>
                </c:pt>
                <c:pt idx="19">
                  <c:v>86480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40-4D41-AB3B-F3CBFFFC0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'23'!$AD$6:$AD$25</c:f>
              <c:strCache>
                <c:ptCount val="20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25%</c:v>
                </c:pt>
                <c:pt idx="5">
                  <c:v>100%</c:v>
                </c:pt>
                <c:pt idx="6">
                  <c:v>17%</c:v>
                </c:pt>
                <c:pt idx="7">
                  <c:v>17%</c:v>
                </c:pt>
                <c:pt idx="8">
                  <c:v>75%</c:v>
                </c:pt>
                <c:pt idx="9">
                  <c:v>54%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58%</c:v>
                </c:pt>
                <c:pt idx="15">
                  <c:v>17%</c:v>
                </c:pt>
                <c:pt idx="16">
                  <c:v>17%</c:v>
                </c:pt>
                <c:pt idx="17">
                  <c:v>17%</c:v>
                </c:pt>
                <c:pt idx="18">
                  <c:v>17%</c:v>
                </c:pt>
                <c:pt idx="19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'23'!$D$6:$D$25</c:f>
              <c:strCache>
                <c:ptCount val="19"/>
                <c:pt idx="2">
                  <c:v>BASE/UNDER</c:v>
                </c:pt>
                <c:pt idx="3">
                  <c:v>BODY</c:v>
                </c:pt>
                <c:pt idx="4">
                  <c:v>COVER</c:v>
                </c:pt>
                <c:pt idx="5">
                  <c:v>STOPPER</c:v>
                </c:pt>
                <c:pt idx="6">
                  <c:v>ACTUATOR</c:v>
                </c:pt>
                <c:pt idx="7">
                  <c:v>STOPPER</c:v>
                </c:pt>
                <c:pt idx="8">
                  <c:v>IN-A</c:v>
                </c:pt>
                <c:pt idx="9">
                  <c:v>IN-B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BODY</c:v>
                </c:pt>
                <c:pt idx="15">
                  <c:v>L/G</c:v>
                </c:pt>
                <c:pt idx="16">
                  <c:v>COVER</c:v>
                </c:pt>
                <c:pt idx="17">
                  <c:v>LATCH</c:v>
                </c:pt>
                <c:pt idx="18">
                  <c:v>LATCH PLATE</c:v>
                </c:pt>
              </c:strCache>
            </c:strRef>
          </c:cat>
          <c:val>
            <c:numRef>
              <c:f>'23'!$AD$6:$AD$25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0.25</c:v>
                </c:pt>
                <c:pt idx="5">
                  <c:v>1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0.75</c:v>
                </c:pt>
                <c:pt idx="9">
                  <c:v>0.54166666666666663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0.58333333333333337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97-47DD-B309-CA7667DDEAC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97-47DD-B309-CA7667DDEAC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'23'!$D$6:$D$25</c:f>
              <c:strCache>
                <c:ptCount val="19"/>
                <c:pt idx="2">
                  <c:v>BASE/UNDER</c:v>
                </c:pt>
                <c:pt idx="3">
                  <c:v>BODY</c:v>
                </c:pt>
                <c:pt idx="4">
                  <c:v>COVER</c:v>
                </c:pt>
                <c:pt idx="5">
                  <c:v>STOPPER</c:v>
                </c:pt>
                <c:pt idx="6">
                  <c:v>ACTUATOR</c:v>
                </c:pt>
                <c:pt idx="7">
                  <c:v>STOPPER</c:v>
                </c:pt>
                <c:pt idx="8">
                  <c:v>IN-A</c:v>
                </c:pt>
                <c:pt idx="9">
                  <c:v>IN-B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BODY</c:v>
                </c:pt>
                <c:pt idx="15">
                  <c:v>L/G</c:v>
                </c:pt>
                <c:pt idx="16">
                  <c:v>COVER</c:v>
                </c:pt>
                <c:pt idx="17">
                  <c:v>LATCH</c:v>
                </c:pt>
                <c:pt idx="18">
                  <c:v>LATCH PLATE</c:v>
                </c:pt>
              </c:strCache>
            </c:strRef>
          </c:cat>
          <c:val>
            <c:numRef>
              <c:f>'23'!$AE$6:$AE$25</c:f>
              <c:numCache>
                <c:formatCode>0%</c:formatCode>
                <c:ptCount val="20"/>
                <c:pt idx="0">
                  <c:v>0.38055555555555559</c:v>
                </c:pt>
                <c:pt idx="1">
                  <c:v>0.38055555555555559</c:v>
                </c:pt>
                <c:pt idx="2">
                  <c:v>0.38055555555555559</c:v>
                </c:pt>
                <c:pt idx="3">
                  <c:v>0.38055555555555559</c:v>
                </c:pt>
                <c:pt idx="4">
                  <c:v>0.38055555555555559</c:v>
                </c:pt>
                <c:pt idx="5">
                  <c:v>0.38055555555555559</c:v>
                </c:pt>
                <c:pt idx="6">
                  <c:v>0.38055555555555559</c:v>
                </c:pt>
                <c:pt idx="7">
                  <c:v>0.38055555555555559</c:v>
                </c:pt>
                <c:pt idx="8">
                  <c:v>0.38055555555555559</c:v>
                </c:pt>
                <c:pt idx="9">
                  <c:v>0.38055555555555559</c:v>
                </c:pt>
                <c:pt idx="10">
                  <c:v>0.38055555555555559</c:v>
                </c:pt>
                <c:pt idx="11">
                  <c:v>0.38055555555555559</c:v>
                </c:pt>
                <c:pt idx="12">
                  <c:v>0.38055555555555559</c:v>
                </c:pt>
                <c:pt idx="13">
                  <c:v>0.38055555555555559</c:v>
                </c:pt>
                <c:pt idx="14">
                  <c:v>0.38055555555555559</c:v>
                </c:pt>
                <c:pt idx="15">
                  <c:v>0.38055555555555559</c:v>
                </c:pt>
                <c:pt idx="16">
                  <c:v>0.38055555555555559</c:v>
                </c:pt>
                <c:pt idx="17">
                  <c:v>0.38055555555555559</c:v>
                </c:pt>
                <c:pt idx="18">
                  <c:v>0.38055555555555559</c:v>
                </c:pt>
                <c:pt idx="19">
                  <c:v>0.38055555555555559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97-47DD-B309-CA7667DD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387-4D94-92C1-1CF3F32C69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87-4D94-92C1-1CF3F32C6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87-4D94-92C1-1CF3F32C69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87-4D94-92C1-1CF3F32C6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'24'!$D$6:$D$25</c:f>
              <c:strCache>
                <c:ptCount val="19"/>
                <c:pt idx="2">
                  <c:v>BASE/UNDER</c:v>
                </c:pt>
                <c:pt idx="3">
                  <c:v>BASE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UNDER</c:v>
                </c:pt>
                <c:pt idx="8">
                  <c:v>BASE</c:v>
                </c:pt>
                <c:pt idx="9">
                  <c:v>SP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L/G</c:v>
                </c:pt>
                <c:pt idx="15">
                  <c:v>SP-B</c:v>
                </c:pt>
                <c:pt idx="16">
                  <c:v>SP-A</c:v>
                </c:pt>
                <c:pt idx="17">
                  <c:v>COVER</c:v>
                </c:pt>
                <c:pt idx="18">
                  <c:v>COVER</c:v>
                </c:pt>
              </c:strCache>
            </c:strRef>
          </c:cat>
          <c:val>
            <c:numRef>
              <c:f>'24'!$L$6:$L$25</c:f>
              <c:numCache>
                <c:formatCode>_(* #,##0_);_(* \(#,##0\);_(* "-"_);_(@_)</c:formatCode>
                <c:ptCount val="20"/>
                <c:pt idx="3">
                  <c:v>534</c:v>
                </c:pt>
                <c:pt idx="4">
                  <c:v>6211</c:v>
                </c:pt>
                <c:pt idx="6">
                  <c:v>4590</c:v>
                </c:pt>
                <c:pt idx="7">
                  <c:v>325</c:v>
                </c:pt>
                <c:pt idx="8">
                  <c:v>314</c:v>
                </c:pt>
                <c:pt idx="9">
                  <c:v>2170</c:v>
                </c:pt>
                <c:pt idx="14">
                  <c:v>615</c:v>
                </c:pt>
                <c:pt idx="15">
                  <c:v>993</c:v>
                </c:pt>
                <c:pt idx="16">
                  <c:v>693</c:v>
                </c:pt>
                <c:pt idx="17">
                  <c:v>343</c:v>
                </c:pt>
                <c:pt idx="18">
                  <c:v>302</c:v>
                </c:pt>
                <c:pt idx="19">
                  <c:v>92928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7-4A05-AF27-582C5597305A}"/>
            </c:ext>
          </c:extLst>
        </c:ser>
        <c:ser>
          <c:idx val="1"/>
          <c:order val="1"/>
          <c:tx>
            <c:v>계획</c:v>
          </c:tx>
          <c:cat>
            <c:strRef>
              <c:f>'24'!$D$6:$D$25</c:f>
              <c:strCache>
                <c:ptCount val="19"/>
                <c:pt idx="2">
                  <c:v>BASE/UNDER</c:v>
                </c:pt>
                <c:pt idx="3">
                  <c:v>BASE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UNDER</c:v>
                </c:pt>
                <c:pt idx="8">
                  <c:v>BASE</c:v>
                </c:pt>
                <c:pt idx="9">
                  <c:v>SP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L/G</c:v>
                </c:pt>
                <c:pt idx="15">
                  <c:v>SP-B</c:v>
                </c:pt>
                <c:pt idx="16">
                  <c:v>SP-A</c:v>
                </c:pt>
                <c:pt idx="17">
                  <c:v>COVER</c:v>
                </c:pt>
                <c:pt idx="18">
                  <c:v>COVER</c:v>
                </c:pt>
              </c:strCache>
            </c:strRef>
          </c:cat>
          <c:val>
            <c:numRef>
              <c:f>'24'!$J$6:$J$25</c:f>
              <c:numCache>
                <c:formatCode>_(* #,##0_);_(* \(#,##0\);_(* "-"_);_(@_)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534</c:v>
                </c:pt>
                <c:pt idx="4">
                  <c:v>6211</c:v>
                </c:pt>
                <c:pt idx="5">
                  <c:v>352</c:v>
                </c:pt>
                <c:pt idx="6">
                  <c:v>4590</c:v>
                </c:pt>
                <c:pt idx="7">
                  <c:v>325</c:v>
                </c:pt>
                <c:pt idx="8">
                  <c:v>325</c:v>
                </c:pt>
                <c:pt idx="9">
                  <c:v>2170</c:v>
                </c:pt>
                <c:pt idx="10">
                  <c:v>1006</c:v>
                </c:pt>
                <c:pt idx="11">
                  <c:v>1098</c:v>
                </c:pt>
                <c:pt idx="12">
                  <c:v>2547</c:v>
                </c:pt>
                <c:pt idx="13">
                  <c:v>257</c:v>
                </c:pt>
                <c:pt idx="14">
                  <c:v>615</c:v>
                </c:pt>
                <c:pt idx="15">
                  <c:v>993</c:v>
                </c:pt>
                <c:pt idx="16">
                  <c:v>693</c:v>
                </c:pt>
                <c:pt idx="17">
                  <c:v>343</c:v>
                </c:pt>
                <c:pt idx="18">
                  <c:v>302</c:v>
                </c:pt>
                <c:pt idx="19">
                  <c:v>92928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7-4A05-AF27-582C55973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'24'!$AD$6:$AD$25</c:f>
              <c:strCache>
                <c:ptCount val="20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17%</c:v>
                </c:pt>
                <c:pt idx="8">
                  <c:v>16%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21%</c:v>
                </c:pt>
                <c:pt idx="15">
                  <c:v>17%</c:v>
                </c:pt>
                <c:pt idx="16">
                  <c:v>17%</c:v>
                </c:pt>
                <c:pt idx="17">
                  <c:v>17%</c:v>
                </c:pt>
                <c:pt idx="18">
                  <c:v>17%</c:v>
                </c:pt>
                <c:pt idx="19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'24'!$D$6:$D$25</c:f>
              <c:strCache>
                <c:ptCount val="19"/>
                <c:pt idx="2">
                  <c:v>BASE/UNDER</c:v>
                </c:pt>
                <c:pt idx="3">
                  <c:v>BASE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UNDER</c:v>
                </c:pt>
                <c:pt idx="8">
                  <c:v>BASE</c:v>
                </c:pt>
                <c:pt idx="9">
                  <c:v>SP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L/G</c:v>
                </c:pt>
                <c:pt idx="15">
                  <c:v>SP-B</c:v>
                </c:pt>
                <c:pt idx="16">
                  <c:v>SP-A</c:v>
                </c:pt>
                <c:pt idx="17">
                  <c:v>COVER</c:v>
                </c:pt>
                <c:pt idx="18">
                  <c:v>COVER</c:v>
                </c:pt>
              </c:strCache>
            </c:strRef>
          </c:cat>
          <c:val>
            <c:numRef>
              <c:f>'24'!$AD$6:$AD$25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0.16666666666666666</c:v>
                </c:pt>
                <c:pt idx="8">
                  <c:v>0.16102564102564101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0.20833333333333334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D-44E1-9260-D353F702921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36D-44E1-9260-D353F70292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'24'!$D$6:$D$25</c:f>
              <c:strCache>
                <c:ptCount val="19"/>
                <c:pt idx="2">
                  <c:v>BASE/UNDER</c:v>
                </c:pt>
                <c:pt idx="3">
                  <c:v>BASE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UNDER</c:v>
                </c:pt>
                <c:pt idx="8">
                  <c:v>BASE</c:v>
                </c:pt>
                <c:pt idx="9">
                  <c:v>SP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L/G</c:v>
                </c:pt>
                <c:pt idx="15">
                  <c:v>SP-B</c:v>
                </c:pt>
                <c:pt idx="16">
                  <c:v>SP-A</c:v>
                </c:pt>
                <c:pt idx="17">
                  <c:v>COVER</c:v>
                </c:pt>
                <c:pt idx="18">
                  <c:v>COVER</c:v>
                </c:pt>
              </c:strCache>
            </c:strRef>
          </c:cat>
          <c:val>
            <c:numRef>
              <c:f>'24'!$AE$6:$AE$25</c:f>
              <c:numCache>
                <c:formatCode>0%</c:formatCode>
                <c:ptCount val="20"/>
                <c:pt idx="0">
                  <c:v>0.33573504273504273</c:v>
                </c:pt>
                <c:pt idx="1">
                  <c:v>0.33573504273504273</c:v>
                </c:pt>
                <c:pt idx="2">
                  <c:v>0.33573504273504273</c:v>
                </c:pt>
                <c:pt idx="3">
                  <c:v>0.33573504273504273</c:v>
                </c:pt>
                <c:pt idx="4">
                  <c:v>0.33573504273504273</c:v>
                </c:pt>
                <c:pt idx="5">
                  <c:v>0.33573504273504273</c:v>
                </c:pt>
                <c:pt idx="6">
                  <c:v>0.33573504273504273</c:v>
                </c:pt>
                <c:pt idx="7">
                  <c:v>0.33573504273504273</c:v>
                </c:pt>
                <c:pt idx="8">
                  <c:v>0.33573504273504273</c:v>
                </c:pt>
                <c:pt idx="9">
                  <c:v>0.33573504273504273</c:v>
                </c:pt>
                <c:pt idx="10">
                  <c:v>0.33573504273504273</c:v>
                </c:pt>
                <c:pt idx="11">
                  <c:v>0.33573504273504273</c:v>
                </c:pt>
                <c:pt idx="12">
                  <c:v>0.33573504273504273</c:v>
                </c:pt>
                <c:pt idx="13">
                  <c:v>0.33573504273504273</c:v>
                </c:pt>
                <c:pt idx="14">
                  <c:v>0.33573504273504273</c:v>
                </c:pt>
                <c:pt idx="15">
                  <c:v>0.33573504273504273</c:v>
                </c:pt>
                <c:pt idx="16">
                  <c:v>0.33573504273504273</c:v>
                </c:pt>
                <c:pt idx="17">
                  <c:v>0.33573504273504273</c:v>
                </c:pt>
                <c:pt idx="18">
                  <c:v>0.33573504273504273</c:v>
                </c:pt>
                <c:pt idx="19">
                  <c:v>0.33573504273504273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6D-44E1-9260-D353F7029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'24'!$D$6:$D$25</c:f>
              <c:strCache>
                <c:ptCount val="19"/>
                <c:pt idx="2">
                  <c:v>BASE/UNDER</c:v>
                </c:pt>
                <c:pt idx="3">
                  <c:v>BASE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UNDER</c:v>
                </c:pt>
                <c:pt idx="8">
                  <c:v>BASE</c:v>
                </c:pt>
                <c:pt idx="9">
                  <c:v>SP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L/G</c:v>
                </c:pt>
                <c:pt idx="15">
                  <c:v>SP-B</c:v>
                </c:pt>
                <c:pt idx="16">
                  <c:v>SP-A</c:v>
                </c:pt>
                <c:pt idx="17">
                  <c:v>COVER</c:v>
                </c:pt>
                <c:pt idx="18">
                  <c:v>COVER</c:v>
                </c:pt>
              </c:strCache>
            </c:strRef>
          </c:cat>
          <c:val>
            <c:numRef>
              <c:f>'24'!$L$6:$L$25</c:f>
              <c:numCache>
                <c:formatCode>_(* #,##0_);_(* \(#,##0\);_(* "-"_);_(@_)</c:formatCode>
                <c:ptCount val="20"/>
                <c:pt idx="3">
                  <c:v>534</c:v>
                </c:pt>
                <c:pt idx="4">
                  <c:v>6211</c:v>
                </c:pt>
                <c:pt idx="6">
                  <c:v>4590</c:v>
                </c:pt>
                <c:pt idx="7">
                  <c:v>325</c:v>
                </c:pt>
                <c:pt idx="8">
                  <c:v>314</c:v>
                </c:pt>
                <c:pt idx="9">
                  <c:v>2170</c:v>
                </c:pt>
                <c:pt idx="14">
                  <c:v>615</c:v>
                </c:pt>
                <c:pt idx="15">
                  <c:v>993</c:v>
                </c:pt>
                <c:pt idx="16">
                  <c:v>693</c:v>
                </c:pt>
                <c:pt idx="17">
                  <c:v>343</c:v>
                </c:pt>
                <c:pt idx="18">
                  <c:v>302</c:v>
                </c:pt>
                <c:pt idx="19">
                  <c:v>92928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F-4176-B6E2-83D5FE2160AA}"/>
            </c:ext>
          </c:extLst>
        </c:ser>
        <c:ser>
          <c:idx val="1"/>
          <c:order val="1"/>
          <c:tx>
            <c:v>계획</c:v>
          </c:tx>
          <c:cat>
            <c:strRef>
              <c:f>'24'!$D$6:$D$25</c:f>
              <c:strCache>
                <c:ptCount val="19"/>
                <c:pt idx="2">
                  <c:v>BASE/UNDER</c:v>
                </c:pt>
                <c:pt idx="3">
                  <c:v>BASE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UNDER</c:v>
                </c:pt>
                <c:pt idx="8">
                  <c:v>BASE</c:v>
                </c:pt>
                <c:pt idx="9">
                  <c:v>SP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L/G</c:v>
                </c:pt>
                <c:pt idx="15">
                  <c:v>SP-B</c:v>
                </c:pt>
                <c:pt idx="16">
                  <c:v>SP-A</c:v>
                </c:pt>
                <c:pt idx="17">
                  <c:v>COVER</c:v>
                </c:pt>
                <c:pt idx="18">
                  <c:v>COVER</c:v>
                </c:pt>
              </c:strCache>
            </c:strRef>
          </c:cat>
          <c:val>
            <c:numRef>
              <c:f>'24'!$J$6:$J$25</c:f>
              <c:numCache>
                <c:formatCode>_(* #,##0_);_(* \(#,##0\);_(* "-"_);_(@_)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534</c:v>
                </c:pt>
                <c:pt idx="4">
                  <c:v>6211</c:v>
                </c:pt>
                <c:pt idx="5">
                  <c:v>352</c:v>
                </c:pt>
                <c:pt idx="6">
                  <c:v>4590</c:v>
                </c:pt>
                <c:pt idx="7">
                  <c:v>325</c:v>
                </c:pt>
                <c:pt idx="8">
                  <c:v>325</c:v>
                </c:pt>
                <c:pt idx="9">
                  <c:v>2170</c:v>
                </c:pt>
                <c:pt idx="10">
                  <c:v>1006</c:v>
                </c:pt>
                <c:pt idx="11">
                  <c:v>1098</c:v>
                </c:pt>
                <c:pt idx="12">
                  <c:v>2547</c:v>
                </c:pt>
                <c:pt idx="13">
                  <c:v>257</c:v>
                </c:pt>
                <c:pt idx="14">
                  <c:v>615</c:v>
                </c:pt>
                <c:pt idx="15">
                  <c:v>993</c:v>
                </c:pt>
                <c:pt idx="16">
                  <c:v>693</c:v>
                </c:pt>
                <c:pt idx="17">
                  <c:v>343</c:v>
                </c:pt>
                <c:pt idx="18">
                  <c:v>302</c:v>
                </c:pt>
                <c:pt idx="19">
                  <c:v>92928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F-4176-B6E2-83D5FE21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'24'!$AD$6:$AD$25</c:f>
              <c:strCache>
                <c:ptCount val="20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17%</c:v>
                </c:pt>
                <c:pt idx="8">
                  <c:v>16%</c:v>
                </c:pt>
                <c:pt idx="9">
                  <c:v>42%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0%</c:v>
                </c:pt>
                <c:pt idx="14">
                  <c:v>21%</c:v>
                </c:pt>
                <c:pt idx="15">
                  <c:v>17%</c:v>
                </c:pt>
                <c:pt idx="16">
                  <c:v>17%</c:v>
                </c:pt>
                <c:pt idx="17">
                  <c:v>17%</c:v>
                </c:pt>
                <c:pt idx="18">
                  <c:v>17%</c:v>
                </c:pt>
                <c:pt idx="19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'24'!$D$6:$D$25</c:f>
              <c:strCache>
                <c:ptCount val="19"/>
                <c:pt idx="2">
                  <c:v>BASE/UNDER</c:v>
                </c:pt>
                <c:pt idx="3">
                  <c:v>BASE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UNDER</c:v>
                </c:pt>
                <c:pt idx="8">
                  <c:v>BASE</c:v>
                </c:pt>
                <c:pt idx="9">
                  <c:v>SP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L/G</c:v>
                </c:pt>
                <c:pt idx="15">
                  <c:v>SP-B</c:v>
                </c:pt>
                <c:pt idx="16">
                  <c:v>SP-A</c:v>
                </c:pt>
                <c:pt idx="17">
                  <c:v>COVER</c:v>
                </c:pt>
                <c:pt idx="18">
                  <c:v>COVER</c:v>
                </c:pt>
              </c:strCache>
            </c:strRef>
          </c:cat>
          <c:val>
            <c:numRef>
              <c:f>'24'!$AD$6:$AD$25</c:f>
              <c:numCache>
                <c:formatCode>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0.16666666666666666</c:v>
                </c:pt>
                <c:pt idx="8">
                  <c:v>0.16102564102564101</c:v>
                </c:pt>
                <c:pt idx="9">
                  <c:v>0.41666666666666669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0.20833333333333334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23-4269-8BFC-2C4E3050B30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23-4269-8BFC-2C4E3050B3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'24'!$D$6:$D$25</c:f>
              <c:strCache>
                <c:ptCount val="19"/>
                <c:pt idx="2">
                  <c:v>BASE/UNDER</c:v>
                </c:pt>
                <c:pt idx="3">
                  <c:v>BASE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UNDER</c:v>
                </c:pt>
                <c:pt idx="8">
                  <c:v>BASE</c:v>
                </c:pt>
                <c:pt idx="9">
                  <c:v>SP</c:v>
                </c:pt>
                <c:pt idx="10">
                  <c:v>BASE</c:v>
                </c:pt>
                <c:pt idx="12">
                  <c:v>BRACKER</c:v>
                </c:pt>
                <c:pt idx="13">
                  <c:v>ADAPTER</c:v>
                </c:pt>
                <c:pt idx="14">
                  <c:v>L/G</c:v>
                </c:pt>
                <c:pt idx="15">
                  <c:v>SP-B</c:v>
                </c:pt>
                <c:pt idx="16">
                  <c:v>SP-A</c:v>
                </c:pt>
                <c:pt idx="17">
                  <c:v>COVER</c:v>
                </c:pt>
                <c:pt idx="18">
                  <c:v>COVER</c:v>
                </c:pt>
              </c:strCache>
            </c:strRef>
          </c:cat>
          <c:val>
            <c:numRef>
              <c:f>'24'!$AE$6:$AE$25</c:f>
              <c:numCache>
                <c:formatCode>0%</c:formatCode>
                <c:ptCount val="20"/>
                <c:pt idx="0">
                  <c:v>0.33573504273504273</c:v>
                </c:pt>
                <c:pt idx="1">
                  <c:v>0.33573504273504273</c:v>
                </c:pt>
                <c:pt idx="2">
                  <c:v>0.33573504273504273</c:v>
                </c:pt>
                <c:pt idx="3">
                  <c:v>0.33573504273504273</c:v>
                </c:pt>
                <c:pt idx="4">
                  <c:v>0.33573504273504273</c:v>
                </c:pt>
                <c:pt idx="5">
                  <c:v>0.33573504273504273</c:v>
                </c:pt>
                <c:pt idx="6">
                  <c:v>0.33573504273504273</c:v>
                </c:pt>
                <c:pt idx="7">
                  <c:v>0.33573504273504273</c:v>
                </c:pt>
                <c:pt idx="8">
                  <c:v>0.33573504273504273</c:v>
                </c:pt>
                <c:pt idx="9">
                  <c:v>0.33573504273504273</c:v>
                </c:pt>
                <c:pt idx="10">
                  <c:v>0.33573504273504273</c:v>
                </c:pt>
                <c:pt idx="11">
                  <c:v>0.33573504273504273</c:v>
                </c:pt>
                <c:pt idx="12">
                  <c:v>0.33573504273504273</c:v>
                </c:pt>
                <c:pt idx="13">
                  <c:v>0.33573504273504273</c:v>
                </c:pt>
                <c:pt idx="14">
                  <c:v>0.33573504273504273</c:v>
                </c:pt>
                <c:pt idx="15">
                  <c:v>0.33573504273504273</c:v>
                </c:pt>
                <c:pt idx="16">
                  <c:v>0.33573504273504273</c:v>
                </c:pt>
                <c:pt idx="17">
                  <c:v>0.33573504273504273</c:v>
                </c:pt>
                <c:pt idx="18">
                  <c:v>0.33573504273504273</c:v>
                </c:pt>
                <c:pt idx="19">
                  <c:v>0.33573504273504273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23-4269-8BFC-2C4E3050B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6DB-43B7-8560-724B6CA11E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B-43B7-8560-724B6CA11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DB-43B7-8560-724B6CA11E7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DB-43B7-8560-724B6CA11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3">
                  <c:v>1749</c:v>
                </c:pt>
                <c:pt idx="4">
                  <c:v>5786</c:v>
                </c:pt>
                <c:pt idx="6">
                  <c:v>5372</c:v>
                </c:pt>
                <c:pt idx="7">
                  <c:v>8649</c:v>
                </c:pt>
                <c:pt idx="8">
                  <c:v>847</c:v>
                </c:pt>
                <c:pt idx="11">
                  <c:v>1229</c:v>
                </c:pt>
                <c:pt idx="12">
                  <c:v>2102</c:v>
                </c:pt>
                <c:pt idx="13">
                  <c:v>1474</c:v>
                </c:pt>
                <c:pt idx="14">
                  <c:v>5013</c:v>
                </c:pt>
                <c:pt idx="15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2-4604-99E8-7922665E1F91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1749</c:v>
                </c:pt>
                <c:pt idx="4">
                  <c:v>5786</c:v>
                </c:pt>
                <c:pt idx="5">
                  <c:v>352</c:v>
                </c:pt>
                <c:pt idx="6">
                  <c:v>5372</c:v>
                </c:pt>
                <c:pt idx="7">
                  <c:v>8649</c:v>
                </c:pt>
                <c:pt idx="8">
                  <c:v>847</c:v>
                </c:pt>
                <c:pt idx="9">
                  <c:v>1098</c:v>
                </c:pt>
                <c:pt idx="10">
                  <c:v>2547</c:v>
                </c:pt>
                <c:pt idx="11">
                  <c:v>1229</c:v>
                </c:pt>
                <c:pt idx="12">
                  <c:v>2102</c:v>
                </c:pt>
                <c:pt idx="13">
                  <c:v>1474</c:v>
                </c:pt>
                <c:pt idx="14">
                  <c:v>5013</c:v>
                </c:pt>
                <c:pt idx="15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F2-4604-99E8-7922665E1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46%</c:v>
                </c:pt>
                <c:pt idx="13">
                  <c:v>54%</c:v>
                </c:pt>
                <c:pt idx="14">
                  <c:v>100%</c:v>
                </c:pt>
                <c:pt idx="15">
                  <c:v>17%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0.45833333333333331</c:v>
                </c:pt>
                <c:pt idx="13">
                  <c:v>0.54166666666666663</c:v>
                </c:pt>
                <c:pt idx="14">
                  <c:v>1</c:v>
                </c:pt>
                <c:pt idx="15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5-4617-A6F5-A77BEF56436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05-4617-A6F5-A77BEF56436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0.42500000000000004</c:v>
                </c:pt>
                <c:pt idx="1">
                  <c:v>0.42500000000000004</c:v>
                </c:pt>
                <c:pt idx="2">
                  <c:v>0.42500000000000004</c:v>
                </c:pt>
                <c:pt idx="3">
                  <c:v>0.42500000000000004</c:v>
                </c:pt>
                <c:pt idx="4">
                  <c:v>0.42500000000000004</c:v>
                </c:pt>
                <c:pt idx="5">
                  <c:v>0.42500000000000004</c:v>
                </c:pt>
                <c:pt idx="6">
                  <c:v>0.42500000000000004</c:v>
                </c:pt>
                <c:pt idx="7">
                  <c:v>0.42500000000000004</c:v>
                </c:pt>
                <c:pt idx="8">
                  <c:v>0.42500000000000004</c:v>
                </c:pt>
                <c:pt idx="9">
                  <c:v>0.42500000000000004</c:v>
                </c:pt>
                <c:pt idx="10">
                  <c:v>0.42500000000000004</c:v>
                </c:pt>
                <c:pt idx="11">
                  <c:v>0.42500000000000004</c:v>
                </c:pt>
                <c:pt idx="12">
                  <c:v>0.42500000000000004</c:v>
                </c:pt>
                <c:pt idx="13">
                  <c:v>0.42500000000000004</c:v>
                </c:pt>
                <c:pt idx="14">
                  <c:v>0.42500000000000004</c:v>
                </c:pt>
                <c:pt idx="15">
                  <c:v>0.42500000000000004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05-4617-A6F5-A77BEF564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3">
                  <c:v>1749</c:v>
                </c:pt>
                <c:pt idx="4">
                  <c:v>5786</c:v>
                </c:pt>
                <c:pt idx="6">
                  <c:v>5372</c:v>
                </c:pt>
                <c:pt idx="7">
                  <c:v>8649</c:v>
                </c:pt>
                <c:pt idx="8">
                  <c:v>847</c:v>
                </c:pt>
                <c:pt idx="11">
                  <c:v>1229</c:v>
                </c:pt>
                <c:pt idx="12">
                  <c:v>2102</c:v>
                </c:pt>
                <c:pt idx="13">
                  <c:v>1474</c:v>
                </c:pt>
                <c:pt idx="14">
                  <c:v>5013</c:v>
                </c:pt>
                <c:pt idx="15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6-4C53-ADC0-98444995C4EF}"/>
            </c:ext>
          </c:extLst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1619</c:v>
                </c:pt>
                <c:pt idx="3">
                  <c:v>1749</c:v>
                </c:pt>
                <c:pt idx="4">
                  <c:v>5786</c:v>
                </c:pt>
                <c:pt idx="5">
                  <c:v>352</c:v>
                </c:pt>
                <c:pt idx="6">
                  <c:v>5372</c:v>
                </c:pt>
                <c:pt idx="7">
                  <c:v>8649</c:v>
                </c:pt>
                <c:pt idx="8">
                  <c:v>847</c:v>
                </c:pt>
                <c:pt idx="9">
                  <c:v>1098</c:v>
                </c:pt>
                <c:pt idx="10">
                  <c:v>2547</c:v>
                </c:pt>
                <c:pt idx="11">
                  <c:v>1229</c:v>
                </c:pt>
                <c:pt idx="12">
                  <c:v>2102</c:v>
                </c:pt>
                <c:pt idx="13">
                  <c:v>1474</c:v>
                </c:pt>
                <c:pt idx="14">
                  <c:v>5013</c:v>
                </c:pt>
                <c:pt idx="15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36-4C53-ADC0-98444995C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54%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46%</c:v>
                </c:pt>
                <c:pt idx="13">
                  <c:v>54%</c:v>
                </c:pt>
                <c:pt idx="14">
                  <c:v>100%</c:v>
                </c:pt>
                <c:pt idx="15">
                  <c:v>17%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0.54166666666666663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0.45833333333333331</c:v>
                </c:pt>
                <c:pt idx="13">
                  <c:v>0.54166666666666663</c:v>
                </c:pt>
                <c:pt idx="14">
                  <c:v>1</c:v>
                </c:pt>
                <c:pt idx="15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5-4E4F-BE38-58AF39BCBEE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55-4E4F-BE38-58AF39BCBE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'27'!$D$6:$D$21</c:f>
              <c:strCache>
                <c:ptCount val="15"/>
                <c:pt idx="2">
                  <c:v>BASE/UNDER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BODY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0.42500000000000004</c:v>
                </c:pt>
                <c:pt idx="1">
                  <c:v>0.42500000000000004</c:v>
                </c:pt>
                <c:pt idx="2">
                  <c:v>0.42500000000000004</c:v>
                </c:pt>
                <c:pt idx="3">
                  <c:v>0.42500000000000004</c:v>
                </c:pt>
                <c:pt idx="4">
                  <c:v>0.42500000000000004</c:v>
                </c:pt>
                <c:pt idx="5">
                  <c:v>0.42500000000000004</c:v>
                </c:pt>
                <c:pt idx="6">
                  <c:v>0.42500000000000004</c:v>
                </c:pt>
                <c:pt idx="7">
                  <c:v>0.42500000000000004</c:v>
                </c:pt>
                <c:pt idx="8">
                  <c:v>0.42500000000000004</c:v>
                </c:pt>
                <c:pt idx="9">
                  <c:v>0.42500000000000004</c:v>
                </c:pt>
                <c:pt idx="10">
                  <c:v>0.42500000000000004</c:v>
                </c:pt>
                <c:pt idx="11">
                  <c:v>0.42500000000000004</c:v>
                </c:pt>
                <c:pt idx="12">
                  <c:v>0.42500000000000004</c:v>
                </c:pt>
                <c:pt idx="13">
                  <c:v>0.42500000000000004</c:v>
                </c:pt>
                <c:pt idx="14">
                  <c:v>0.42500000000000004</c:v>
                </c:pt>
                <c:pt idx="15">
                  <c:v>0.42500000000000004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5-4E4F-BE38-58AF39BCB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EAC-4507-8C4A-844F50A187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AC-4507-8C4A-844F50A18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AC-4507-8C4A-844F50A187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AC-4507-8C4A-844F50A18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2">
                  <c:v>3627</c:v>
                </c:pt>
                <c:pt idx="3">
                  <c:v>4518</c:v>
                </c:pt>
                <c:pt idx="4">
                  <c:v>5854</c:v>
                </c:pt>
                <c:pt idx="6">
                  <c:v>5104</c:v>
                </c:pt>
                <c:pt idx="7">
                  <c:v>3050</c:v>
                </c:pt>
                <c:pt idx="9">
                  <c:v>34008</c:v>
                </c:pt>
                <c:pt idx="11">
                  <c:v>709</c:v>
                </c:pt>
                <c:pt idx="12">
                  <c:v>646</c:v>
                </c:pt>
                <c:pt idx="13">
                  <c:v>3168</c:v>
                </c:pt>
                <c:pt idx="14">
                  <c:v>3509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61-409E-918E-B67CCA7F48F3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3627</c:v>
                </c:pt>
                <c:pt idx="3">
                  <c:v>4518</c:v>
                </c:pt>
                <c:pt idx="4">
                  <c:v>5854</c:v>
                </c:pt>
                <c:pt idx="5">
                  <c:v>352</c:v>
                </c:pt>
                <c:pt idx="6">
                  <c:v>5104</c:v>
                </c:pt>
                <c:pt idx="7">
                  <c:v>3050</c:v>
                </c:pt>
                <c:pt idx="8">
                  <c:v>847</c:v>
                </c:pt>
                <c:pt idx="9">
                  <c:v>34008</c:v>
                </c:pt>
                <c:pt idx="10">
                  <c:v>2547</c:v>
                </c:pt>
                <c:pt idx="11">
                  <c:v>709</c:v>
                </c:pt>
                <c:pt idx="12">
                  <c:v>646</c:v>
                </c:pt>
                <c:pt idx="13">
                  <c:v>3168</c:v>
                </c:pt>
                <c:pt idx="14">
                  <c:v>3509</c:v>
                </c:pt>
                <c:pt idx="15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1-409E-918E-B67CCA7F4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75%</c:v>
                </c:pt>
                <c:pt idx="3">
                  <c:v>88%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46%</c:v>
                </c:pt>
                <c:pt idx="8">
                  <c:v>0%</c:v>
                </c:pt>
                <c:pt idx="9">
                  <c:v>79%</c:v>
                </c:pt>
                <c:pt idx="10">
                  <c:v>0%</c:v>
                </c:pt>
                <c:pt idx="11">
                  <c:v>21%</c:v>
                </c:pt>
                <c:pt idx="12">
                  <c:v>21%</c:v>
                </c:pt>
                <c:pt idx="13">
                  <c:v>63%</c:v>
                </c:pt>
                <c:pt idx="14">
                  <c:v>79%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0.875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0.45833333333333331</c:v>
                </c:pt>
                <c:pt idx="8">
                  <c:v>0</c:v>
                </c:pt>
                <c:pt idx="9">
                  <c:v>0.79166666666666663</c:v>
                </c:pt>
                <c:pt idx="10">
                  <c:v>0</c:v>
                </c:pt>
                <c:pt idx="11">
                  <c:v>0.20833333333333334</c:v>
                </c:pt>
                <c:pt idx="12">
                  <c:v>0.20833333333333334</c:v>
                </c:pt>
                <c:pt idx="13">
                  <c:v>0.625</c:v>
                </c:pt>
                <c:pt idx="14">
                  <c:v>0.79166666666666663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90-4A04-98B6-F9617FF45CD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90-4A04-98B6-F9617FF45C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0.44722222222222219</c:v>
                </c:pt>
                <c:pt idx="1">
                  <c:v>0.44722222222222219</c:v>
                </c:pt>
                <c:pt idx="2">
                  <c:v>0.44722222222222219</c:v>
                </c:pt>
                <c:pt idx="3">
                  <c:v>0.44722222222222219</c:v>
                </c:pt>
                <c:pt idx="4">
                  <c:v>0.44722222222222219</c:v>
                </c:pt>
                <c:pt idx="5">
                  <c:v>0.44722222222222219</c:v>
                </c:pt>
                <c:pt idx="6">
                  <c:v>0.44722222222222219</c:v>
                </c:pt>
                <c:pt idx="7">
                  <c:v>0.44722222222222219</c:v>
                </c:pt>
                <c:pt idx="8">
                  <c:v>0.44722222222222219</c:v>
                </c:pt>
                <c:pt idx="9">
                  <c:v>0.44722222222222219</c:v>
                </c:pt>
                <c:pt idx="10">
                  <c:v>0.44722222222222219</c:v>
                </c:pt>
                <c:pt idx="11">
                  <c:v>0.44722222222222219</c:v>
                </c:pt>
                <c:pt idx="12">
                  <c:v>0.44722222222222219</c:v>
                </c:pt>
                <c:pt idx="13">
                  <c:v>0.44722222222222219</c:v>
                </c:pt>
                <c:pt idx="14">
                  <c:v>0.44722222222222219</c:v>
                </c:pt>
                <c:pt idx="15">
                  <c:v>0.44722222222222219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90-4A04-98B6-F9617FF45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2">
                  <c:v>3627</c:v>
                </c:pt>
                <c:pt idx="3">
                  <c:v>4518</c:v>
                </c:pt>
                <c:pt idx="4">
                  <c:v>5854</c:v>
                </c:pt>
                <c:pt idx="6">
                  <c:v>5104</c:v>
                </c:pt>
                <c:pt idx="7">
                  <c:v>3050</c:v>
                </c:pt>
                <c:pt idx="9">
                  <c:v>34008</c:v>
                </c:pt>
                <c:pt idx="11">
                  <c:v>709</c:v>
                </c:pt>
                <c:pt idx="12">
                  <c:v>646</c:v>
                </c:pt>
                <c:pt idx="13">
                  <c:v>3168</c:v>
                </c:pt>
                <c:pt idx="14">
                  <c:v>3509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D-4B02-9877-25C17A2DA128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3627</c:v>
                </c:pt>
                <c:pt idx="3">
                  <c:v>4518</c:v>
                </c:pt>
                <c:pt idx="4">
                  <c:v>5854</c:v>
                </c:pt>
                <c:pt idx="5">
                  <c:v>352</c:v>
                </c:pt>
                <c:pt idx="6">
                  <c:v>5104</c:v>
                </c:pt>
                <c:pt idx="7">
                  <c:v>3050</c:v>
                </c:pt>
                <c:pt idx="8">
                  <c:v>847</c:v>
                </c:pt>
                <c:pt idx="9">
                  <c:v>34008</c:v>
                </c:pt>
                <c:pt idx="10">
                  <c:v>2547</c:v>
                </c:pt>
                <c:pt idx="11">
                  <c:v>709</c:v>
                </c:pt>
                <c:pt idx="12">
                  <c:v>646</c:v>
                </c:pt>
                <c:pt idx="13">
                  <c:v>3168</c:v>
                </c:pt>
                <c:pt idx="14">
                  <c:v>3509</c:v>
                </c:pt>
                <c:pt idx="15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D-4B02-9877-25C17A2D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75%</c:v>
                </c:pt>
                <c:pt idx="3">
                  <c:v>88%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46%</c:v>
                </c:pt>
                <c:pt idx="8">
                  <c:v>0%</c:v>
                </c:pt>
                <c:pt idx="9">
                  <c:v>79%</c:v>
                </c:pt>
                <c:pt idx="10">
                  <c:v>0%</c:v>
                </c:pt>
                <c:pt idx="11">
                  <c:v>21%</c:v>
                </c:pt>
                <c:pt idx="12">
                  <c:v>21%</c:v>
                </c:pt>
                <c:pt idx="13">
                  <c:v>63%</c:v>
                </c:pt>
                <c:pt idx="14">
                  <c:v>79%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0.875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0.45833333333333331</c:v>
                </c:pt>
                <c:pt idx="8">
                  <c:v>0</c:v>
                </c:pt>
                <c:pt idx="9">
                  <c:v>0.79166666666666663</c:v>
                </c:pt>
                <c:pt idx="10">
                  <c:v>0</c:v>
                </c:pt>
                <c:pt idx="11">
                  <c:v>0.20833333333333334</c:v>
                </c:pt>
                <c:pt idx="12">
                  <c:v>0.20833333333333334</c:v>
                </c:pt>
                <c:pt idx="13">
                  <c:v>0.625</c:v>
                </c:pt>
                <c:pt idx="14">
                  <c:v>0.79166666666666663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1-4A1E-8A0B-7640A320624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21-4A1E-8A0B-7640A320624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BASE</c:v>
                </c:pt>
                <c:pt idx="6">
                  <c:v>BASE</c:v>
                </c:pt>
                <c:pt idx="7">
                  <c:v>SP</c:v>
                </c:pt>
                <c:pt idx="8">
                  <c:v>BASE</c:v>
                </c:pt>
                <c:pt idx="10">
                  <c:v>BRACKER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0.44722222222222219</c:v>
                </c:pt>
                <c:pt idx="1">
                  <c:v>0.44722222222222219</c:v>
                </c:pt>
                <c:pt idx="2">
                  <c:v>0.44722222222222219</c:v>
                </c:pt>
                <c:pt idx="3">
                  <c:v>0.44722222222222219</c:v>
                </c:pt>
                <c:pt idx="4">
                  <c:v>0.44722222222222219</c:v>
                </c:pt>
                <c:pt idx="5">
                  <c:v>0.44722222222222219</c:v>
                </c:pt>
                <c:pt idx="6">
                  <c:v>0.44722222222222219</c:v>
                </c:pt>
                <c:pt idx="7">
                  <c:v>0.44722222222222219</c:v>
                </c:pt>
                <c:pt idx="8">
                  <c:v>0.44722222222222219</c:v>
                </c:pt>
                <c:pt idx="9">
                  <c:v>0.44722222222222219</c:v>
                </c:pt>
                <c:pt idx="10">
                  <c:v>0.44722222222222219</c:v>
                </c:pt>
                <c:pt idx="11">
                  <c:v>0.44722222222222219</c:v>
                </c:pt>
                <c:pt idx="12">
                  <c:v>0.44722222222222219</c:v>
                </c:pt>
                <c:pt idx="13">
                  <c:v>0.44722222222222219</c:v>
                </c:pt>
                <c:pt idx="14">
                  <c:v>0.44722222222222219</c:v>
                </c:pt>
                <c:pt idx="15">
                  <c:v>0.44722222222222219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21-4A1E-8A0B-7640A3206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F53-469D-A0D6-2B4CF8D8A4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53-469D-A0D6-2B4CF8D8A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53-469D-A0D6-2B4CF8D8A4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53-469D-A0D6-2B4CF8D8A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10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6014</c:v>
                </c:pt>
                <c:pt idx="3">
                  <c:v>2828</c:v>
                </c:pt>
                <c:pt idx="4">
                  <c:v>5578</c:v>
                </c:pt>
                <c:pt idx="5">
                  <c:v>16386</c:v>
                </c:pt>
                <c:pt idx="6">
                  <c:v>5047</c:v>
                </c:pt>
                <c:pt idx="7">
                  <c:v>1188</c:v>
                </c:pt>
                <c:pt idx="9">
                  <c:v>34377</c:v>
                </c:pt>
                <c:pt idx="10">
                  <c:v>1058</c:v>
                </c:pt>
                <c:pt idx="12">
                  <c:v>5338</c:v>
                </c:pt>
                <c:pt idx="13">
                  <c:v>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F-489B-8E1C-BDADA1C1C6DF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10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6014</c:v>
                </c:pt>
                <c:pt idx="3">
                  <c:v>2828</c:v>
                </c:pt>
                <c:pt idx="4">
                  <c:v>5578</c:v>
                </c:pt>
                <c:pt idx="5">
                  <c:v>16386</c:v>
                </c:pt>
                <c:pt idx="6">
                  <c:v>5047</c:v>
                </c:pt>
                <c:pt idx="7">
                  <c:v>1188</c:v>
                </c:pt>
                <c:pt idx="8">
                  <c:v>847</c:v>
                </c:pt>
                <c:pt idx="9">
                  <c:v>34377</c:v>
                </c:pt>
                <c:pt idx="10">
                  <c:v>1058</c:v>
                </c:pt>
                <c:pt idx="11">
                  <c:v>709</c:v>
                </c:pt>
                <c:pt idx="12">
                  <c:v>5338</c:v>
                </c:pt>
                <c:pt idx="13">
                  <c:v>4101</c:v>
                </c:pt>
                <c:pt idx="14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3F-489B-8E1C-BDADA1C1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50%</c:v>
                </c:pt>
                <c:pt idx="4">
                  <c:v>100%</c:v>
                </c:pt>
                <c:pt idx="5">
                  <c:v>67%</c:v>
                </c:pt>
                <c:pt idx="6">
                  <c:v>100%</c:v>
                </c:pt>
                <c:pt idx="7">
                  <c:v>42%</c:v>
                </c:pt>
                <c:pt idx="8">
                  <c:v>0%</c:v>
                </c:pt>
                <c:pt idx="9">
                  <c:v>83%</c:v>
                </c:pt>
                <c:pt idx="10">
                  <c:v>58%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10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0.66666666666666663</c:v>
                </c:pt>
                <c:pt idx="6">
                  <c:v>1</c:v>
                </c:pt>
                <c:pt idx="7">
                  <c:v>0.41666666666666669</c:v>
                </c:pt>
                <c:pt idx="8">
                  <c:v>0</c:v>
                </c:pt>
                <c:pt idx="9">
                  <c:v>0.83333333333333337</c:v>
                </c:pt>
                <c:pt idx="10">
                  <c:v>0.58333333333333337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B-4A67-85A6-99466879D9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5B-4A67-85A6-99466879D9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10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0.52777777777777779</c:v>
                </c:pt>
                <c:pt idx="1">
                  <c:v>0.52777777777777779</c:v>
                </c:pt>
                <c:pt idx="2">
                  <c:v>0.52777777777777779</c:v>
                </c:pt>
                <c:pt idx="3">
                  <c:v>0.52777777777777779</c:v>
                </c:pt>
                <c:pt idx="4">
                  <c:v>0.52777777777777779</c:v>
                </c:pt>
                <c:pt idx="5">
                  <c:v>0.52777777777777779</c:v>
                </c:pt>
                <c:pt idx="6">
                  <c:v>0.52777777777777779</c:v>
                </c:pt>
                <c:pt idx="7">
                  <c:v>0.52777777777777779</c:v>
                </c:pt>
                <c:pt idx="8">
                  <c:v>0.52777777777777779</c:v>
                </c:pt>
                <c:pt idx="9">
                  <c:v>0.52777777777777779</c:v>
                </c:pt>
                <c:pt idx="10">
                  <c:v>0.52777777777777779</c:v>
                </c:pt>
                <c:pt idx="11">
                  <c:v>0.52777777777777779</c:v>
                </c:pt>
                <c:pt idx="12">
                  <c:v>0.52777777777777779</c:v>
                </c:pt>
                <c:pt idx="13">
                  <c:v>0.52777777777777779</c:v>
                </c:pt>
                <c:pt idx="14">
                  <c:v>0.52777777777777779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5B-4A67-85A6-99466879D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10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'29'!$L$6:$L$20</c:f>
              <c:numCache>
                <c:formatCode>_(* #,##0_);_(* \(#,##0\);_(* "-"_);_(@_)</c:formatCode>
                <c:ptCount val="15"/>
                <c:pt idx="2">
                  <c:v>6014</c:v>
                </c:pt>
                <c:pt idx="3">
                  <c:v>2828</c:v>
                </c:pt>
                <c:pt idx="4">
                  <c:v>5578</c:v>
                </c:pt>
                <c:pt idx="5">
                  <c:v>16386</c:v>
                </c:pt>
                <c:pt idx="6">
                  <c:v>5047</c:v>
                </c:pt>
                <c:pt idx="7">
                  <c:v>1188</c:v>
                </c:pt>
                <c:pt idx="9">
                  <c:v>34377</c:v>
                </c:pt>
                <c:pt idx="10">
                  <c:v>1058</c:v>
                </c:pt>
                <c:pt idx="12">
                  <c:v>5338</c:v>
                </c:pt>
                <c:pt idx="13">
                  <c:v>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B23-AE83-5B1E1AE389C2}"/>
            </c:ext>
          </c:extLst>
        </c:ser>
        <c:ser>
          <c:idx val="1"/>
          <c:order val="1"/>
          <c:tx>
            <c:v>계획</c:v>
          </c:tx>
          <c:cat>
            <c:strRef>
              <c:f>'29'!$D$6:$D$20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10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6014</c:v>
                </c:pt>
                <c:pt idx="3">
                  <c:v>2828</c:v>
                </c:pt>
                <c:pt idx="4">
                  <c:v>5578</c:v>
                </c:pt>
                <c:pt idx="5">
                  <c:v>16386</c:v>
                </c:pt>
                <c:pt idx="6">
                  <c:v>5047</c:v>
                </c:pt>
                <c:pt idx="7">
                  <c:v>1188</c:v>
                </c:pt>
                <c:pt idx="8">
                  <c:v>847</c:v>
                </c:pt>
                <c:pt idx="9">
                  <c:v>34377</c:v>
                </c:pt>
                <c:pt idx="10">
                  <c:v>1058</c:v>
                </c:pt>
                <c:pt idx="11">
                  <c:v>709</c:v>
                </c:pt>
                <c:pt idx="12">
                  <c:v>5338</c:v>
                </c:pt>
                <c:pt idx="13">
                  <c:v>4101</c:v>
                </c:pt>
                <c:pt idx="14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B23-AE83-5B1E1AE38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50%</c:v>
                </c:pt>
                <c:pt idx="4">
                  <c:v>100%</c:v>
                </c:pt>
                <c:pt idx="5">
                  <c:v>67%</c:v>
                </c:pt>
                <c:pt idx="6">
                  <c:v>100%</c:v>
                </c:pt>
                <c:pt idx="7">
                  <c:v>42%</c:v>
                </c:pt>
                <c:pt idx="8">
                  <c:v>0%</c:v>
                </c:pt>
                <c:pt idx="9">
                  <c:v>83%</c:v>
                </c:pt>
                <c:pt idx="10">
                  <c:v>58%</c:v>
                </c:pt>
                <c:pt idx="11">
                  <c:v>0%</c:v>
                </c:pt>
                <c:pt idx="12">
                  <c:v>100%</c:v>
                </c:pt>
                <c:pt idx="13">
                  <c:v>92%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10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0.66666666666666663</c:v>
                </c:pt>
                <c:pt idx="6">
                  <c:v>1</c:v>
                </c:pt>
                <c:pt idx="7">
                  <c:v>0.41666666666666669</c:v>
                </c:pt>
                <c:pt idx="8">
                  <c:v>0</c:v>
                </c:pt>
                <c:pt idx="9">
                  <c:v>0.83333333333333337</c:v>
                </c:pt>
                <c:pt idx="10">
                  <c:v>0.58333333333333337</c:v>
                </c:pt>
                <c:pt idx="11">
                  <c:v>0</c:v>
                </c:pt>
                <c:pt idx="12">
                  <c:v>1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B-4CB6-A7B6-7794A94BBB1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9B-4CB6-A7B6-7794A94BBB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BODY</c:v>
                </c:pt>
                <c:pt idx="8">
                  <c:v>BASE</c:v>
                </c:pt>
                <c:pt idx="10">
                  <c:v>TOP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'29'!$AE$6:$AE$20</c:f>
              <c:numCache>
                <c:formatCode>0%</c:formatCode>
                <c:ptCount val="15"/>
                <c:pt idx="0">
                  <c:v>0.52777777777777779</c:v>
                </c:pt>
                <c:pt idx="1">
                  <c:v>0.52777777777777779</c:v>
                </c:pt>
                <c:pt idx="2">
                  <c:v>0.52777777777777779</c:v>
                </c:pt>
                <c:pt idx="3">
                  <c:v>0.52777777777777779</c:v>
                </c:pt>
                <c:pt idx="4">
                  <c:v>0.52777777777777779</c:v>
                </c:pt>
                <c:pt idx="5">
                  <c:v>0.52777777777777779</c:v>
                </c:pt>
                <c:pt idx="6">
                  <c:v>0.52777777777777779</c:v>
                </c:pt>
                <c:pt idx="7">
                  <c:v>0.52777777777777779</c:v>
                </c:pt>
                <c:pt idx="8">
                  <c:v>0.52777777777777779</c:v>
                </c:pt>
                <c:pt idx="9">
                  <c:v>0.52777777777777779</c:v>
                </c:pt>
                <c:pt idx="10">
                  <c:v>0.52777777777777779</c:v>
                </c:pt>
                <c:pt idx="11">
                  <c:v>0.52777777777777779</c:v>
                </c:pt>
                <c:pt idx="12">
                  <c:v>0.52777777777777779</c:v>
                </c:pt>
                <c:pt idx="13">
                  <c:v>0.52777777777777779</c:v>
                </c:pt>
                <c:pt idx="14">
                  <c:v>0.52777777777777779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9B-4CB6-A7B6-7794A94BB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C1B-4518-8360-E849C78AC1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1B-4518-8360-E849C78AC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1B-4518-8360-E849C78AC16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1B-4518-8360-E849C78AC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22P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3440</c:v>
                </c:pt>
                <c:pt idx="3">
                  <c:v>4327</c:v>
                </c:pt>
                <c:pt idx="4">
                  <c:v>2748</c:v>
                </c:pt>
                <c:pt idx="5">
                  <c:v>46662</c:v>
                </c:pt>
                <c:pt idx="7">
                  <c:v>2228</c:v>
                </c:pt>
                <c:pt idx="8">
                  <c:v>551</c:v>
                </c:pt>
                <c:pt idx="9">
                  <c:v>48783</c:v>
                </c:pt>
                <c:pt idx="10">
                  <c:v>18176</c:v>
                </c:pt>
                <c:pt idx="12">
                  <c:v>5568</c:v>
                </c:pt>
                <c:pt idx="13">
                  <c:v>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DC-451F-A98C-975F793BEBB5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22P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3440</c:v>
                </c:pt>
                <c:pt idx="3">
                  <c:v>4327</c:v>
                </c:pt>
                <c:pt idx="4">
                  <c:v>2748</c:v>
                </c:pt>
                <c:pt idx="5">
                  <c:v>46662</c:v>
                </c:pt>
                <c:pt idx="6">
                  <c:v>5047</c:v>
                </c:pt>
                <c:pt idx="7">
                  <c:v>2228</c:v>
                </c:pt>
                <c:pt idx="8">
                  <c:v>551</c:v>
                </c:pt>
                <c:pt idx="9">
                  <c:v>48783</c:v>
                </c:pt>
                <c:pt idx="10">
                  <c:v>18176</c:v>
                </c:pt>
                <c:pt idx="11">
                  <c:v>709</c:v>
                </c:pt>
                <c:pt idx="12">
                  <c:v>5568</c:v>
                </c:pt>
                <c:pt idx="13">
                  <c:v>4998</c:v>
                </c:pt>
                <c:pt idx="14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DC-451F-A98C-975F793BE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75%</c:v>
                </c:pt>
                <c:pt idx="3">
                  <c:v>83%</c:v>
                </c:pt>
                <c:pt idx="4">
                  <c:v>63%</c:v>
                </c:pt>
                <c:pt idx="5">
                  <c:v>71%</c:v>
                </c:pt>
                <c:pt idx="6">
                  <c:v>0%</c:v>
                </c:pt>
                <c:pt idx="7">
                  <c:v>46%</c:v>
                </c:pt>
                <c:pt idx="8">
                  <c:v>38%</c:v>
                </c:pt>
                <c:pt idx="9">
                  <c:v>100%</c:v>
                </c:pt>
                <c:pt idx="10">
                  <c:v>67%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22P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0.83333333333333337</c:v>
                </c:pt>
                <c:pt idx="4">
                  <c:v>0.625</c:v>
                </c:pt>
                <c:pt idx="5">
                  <c:v>0.70833333333333337</c:v>
                </c:pt>
                <c:pt idx="6">
                  <c:v>0</c:v>
                </c:pt>
                <c:pt idx="7">
                  <c:v>0.45833333333333331</c:v>
                </c:pt>
                <c:pt idx="8">
                  <c:v>0.375</c:v>
                </c:pt>
                <c:pt idx="9">
                  <c:v>1</c:v>
                </c:pt>
                <c:pt idx="10">
                  <c:v>0.66666666666666663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7-4A4F-8A52-6008D7668A6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97-4A4F-8A52-6008D7668A6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22P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0.49444444444444446</c:v>
                </c:pt>
                <c:pt idx="1">
                  <c:v>0.49444444444444446</c:v>
                </c:pt>
                <c:pt idx="2">
                  <c:v>0.49444444444444446</c:v>
                </c:pt>
                <c:pt idx="3">
                  <c:v>0.49444444444444446</c:v>
                </c:pt>
                <c:pt idx="4">
                  <c:v>0.49444444444444446</c:v>
                </c:pt>
                <c:pt idx="5">
                  <c:v>0.49444444444444446</c:v>
                </c:pt>
                <c:pt idx="6">
                  <c:v>0.49444444444444446</c:v>
                </c:pt>
                <c:pt idx="7">
                  <c:v>0.49444444444444446</c:v>
                </c:pt>
                <c:pt idx="8">
                  <c:v>0.49444444444444446</c:v>
                </c:pt>
                <c:pt idx="9">
                  <c:v>0.49444444444444446</c:v>
                </c:pt>
                <c:pt idx="10">
                  <c:v>0.49444444444444446</c:v>
                </c:pt>
                <c:pt idx="11">
                  <c:v>0.49444444444444446</c:v>
                </c:pt>
                <c:pt idx="12">
                  <c:v>0.49444444444444446</c:v>
                </c:pt>
                <c:pt idx="13">
                  <c:v>0.49444444444444446</c:v>
                </c:pt>
                <c:pt idx="14">
                  <c:v>0.49444444444444446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7-4A4F-8A52-6008D7668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22P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3440</c:v>
                </c:pt>
                <c:pt idx="3">
                  <c:v>4327</c:v>
                </c:pt>
                <c:pt idx="4">
                  <c:v>2748</c:v>
                </c:pt>
                <c:pt idx="5">
                  <c:v>46662</c:v>
                </c:pt>
                <c:pt idx="7">
                  <c:v>2228</c:v>
                </c:pt>
                <c:pt idx="8">
                  <c:v>551</c:v>
                </c:pt>
                <c:pt idx="9">
                  <c:v>48783</c:v>
                </c:pt>
                <c:pt idx="10">
                  <c:v>18176</c:v>
                </c:pt>
                <c:pt idx="12">
                  <c:v>5568</c:v>
                </c:pt>
                <c:pt idx="13">
                  <c:v>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6-4E19-A891-22DEC398E945}"/>
            </c:ext>
          </c:extLst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22P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3440</c:v>
                </c:pt>
                <c:pt idx="3">
                  <c:v>4327</c:v>
                </c:pt>
                <c:pt idx="4">
                  <c:v>2748</c:v>
                </c:pt>
                <c:pt idx="5">
                  <c:v>46662</c:v>
                </c:pt>
                <c:pt idx="6">
                  <c:v>5047</c:v>
                </c:pt>
                <c:pt idx="7">
                  <c:v>2228</c:v>
                </c:pt>
                <c:pt idx="8">
                  <c:v>551</c:v>
                </c:pt>
                <c:pt idx="9">
                  <c:v>48783</c:v>
                </c:pt>
                <c:pt idx="10">
                  <c:v>18176</c:v>
                </c:pt>
                <c:pt idx="11">
                  <c:v>709</c:v>
                </c:pt>
                <c:pt idx="12">
                  <c:v>5568</c:v>
                </c:pt>
                <c:pt idx="13">
                  <c:v>4998</c:v>
                </c:pt>
                <c:pt idx="14">
                  <c:v>4420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C6-4E19-A891-22DEC398E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75%</c:v>
                </c:pt>
                <c:pt idx="3">
                  <c:v>83%</c:v>
                </c:pt>
                <c:pt idx="4">
                  <c:v>63%</c:v>
                </c:pt>
                <c:pt idx="5">
                  <c:v>71%</c:v>
                </c:pt>
                <c:pt idx="6">
                  <c:v>0%</c:v>
                </c:pt>
                <c:pt idx="7">
                  <c:v>46%</c:v>
                </c:pt>
                <c:pt idx="8">
                  <c:v>38%</c:v>
                </c:pt>
                <c:pt idx="9">
                  <c:v>100%</c:v>
                </c:pt>
                <c:pt idx="10">
                  <c:v>67%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22P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0.75</c:v>
                </c:pt>
                <c:pt idx="3">
                  <c:v>0.83333333333333337</c:v>
                </c:pt>
                <c:pt idx="4">
                  <c:v>0.625</c:v>
                </c:pt>
                <c:pt idx="5">
                  <c:v>0.70833333333333337</c:v>
                </c:pt>
                <c:pt idx="6">
                  <c:v>0</c:v>
                </c:pt>
                <c:pt idx="7">
                  <c:v>0.45833333333333331</c:v>
                </c:pt>
                <c:pt idx="8">
                  <c:v>0.375</c:v>
                </c:pt>
                <c:pt idx="9">
                  <c:v>1</c:v>
                </c:pt>
                <c:pt idx="10">
                  <c:v>0.66666666666666663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8-4721-A88C-56358CB6BE7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28-4721-A88C-56358CB6BE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SHAFT</c:v>
                </c:pt>
                <c:pt idx="6">
                  <c:v>BASE</c:v>
                </c:pt>
                <c:pt idx="7">
                  <c:v>SLIDER</c:v>
                </c:pt>
                <c:pt idx="8">
                  <c:v>BASE</c:v>
                </c:pt>
                <c:pt idx="10">
                  <c:v>22P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0.49444444444444446</c:v>
                </c:pt>
                <c:pt idx="1">
                  <c:v>0.49444444444444446</c:v>
                </c:pt>
                <c:pt idx="2">
                  <c:v>0.49444444444444446</c:v>
                </c:pt>
                <c:pt idx="3">
                  <c:v>0.49444444444444446</c:v>
                </c:pt>
                <c:pt idx="4">
                  <c:v>0.49444444444444446</c:v>
                </c:pt>
                <c:pt idx="5">
                  <c:v>0.49444444444444446</c:v>
                </c:pt>
                <c:pt idx="6">
                  <c:v>0.49444444444444446</c:v>
                </c:pt>
                <c:pt idx="7">
                  <c:v>0.49444444444444446</c:v>
                </c:pt>
                <c:pt idx="8">
                  <c:v>0.49444444444444446</c:v>
                </c:pt>
                <c:pt idx="9">
                  <c:v>0.49444444444444446</c:v>
                </c:pt>
                <c:pt idx="10">
                  <c:v>0.49444444444444446</c:v>
                </c:pt>
                <c:pt idx="11">
                  <c:v>0.49444444444444446</c:v>
                </c:pt>
                <c:pt idx="12">
                  <c:v>0.49444444444444446</c:v>
                </c:pt>
                <c:pt idx="13">
                  <c:v>0.49444444444444446</c:v>
                </c:pt>
                <c:pt idx="14">
                  <c:v>0.49444444444444446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8-4721-A88C-56358CB6B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5D9-4079-B3F9-F5E7983D35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9-4079-B3F9-F5E7983D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D9-4079-B3F9-F5E7983D35C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D9-4079-B3F9-F5E7983D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22P</c:v>
                </c:pt>
                <c:pt idx="11">
                  <c:v>TOP/BOTTOM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4852</c:v>
                </c:pt>
                <c:pt idx="3">
                  <c:v>3228</c:v>
                </c:pt>
                <c:pt idx="4">
                  <c:v>3031</c:v>
                </c:pt>
                <c:pt idx="5">
                  <c:v>625</c:v>
                </c:pt>
                <c:pt idx="6">
                  <c:v>2358</c:v>
                </c:pt>
                <c:pt idx="7">
                  <c:v>2495</c:v>
                </c:pt>
                <c:pt idx="8">
                  <c:v>935</c:v>
                </c:pt>
                <c:pt idx="9">
                  <c:v>23037</c:v>
                </c:pt>
                <c:pt idx="10">
                  <c:v>27428</c:v>
                </c:pt>
                <c:pt idx="11">
                  <c:v>1972</c:v>
                </c:pt>
                <c:pt idx="12">
                  <c:v>3247</c:v>
                </c:pt>
                <c:pt idx="13">
                  <c:v>5068</c:v>
                </c:pt>
                <c:pt idx="14">
                  <c:v>45080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C-4D8F-B530-8707DB44926D}"/>
            </c:ext>
          </c:extLst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22P</c:v>
                </c:pt>
                <c:pt idx="11">
                  <c:v>TOP/BOTTOM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4852</c:v>
                </c:pt>
                <c:pt idx="3">
                  <c:v>3228</c:v>
                </c:pt>
                <c:pt idx="4">
                  <c:v>3031</c:v>
                </c:pt>
                <c:pt idx="5">
                  <c:v>625</c:v>
                </c:pt>
                <c:pt idx="6">
                  <c:v>5047</c:v>
                </c:pt>
                <c:pt idx="7">
                  <c:v>2495</c:v>
                </c:pt>
                <c:pt idx="8">
                  <c:v>935</c:v>
                </c:pt>
                <c:pt idx="9">
                  <c:v>23037</c:v>
                </c:pt>
                <c:pt idx="10">
                  <c:v>27428</c:v>
                </c:pt>
                <c:pt idx="11">
                  <c:v>1972</c:v>
                </c:pt>
                <c:pt idx="12">
                  <c:v>3247</c:v>
                </c:pt>
                <c:pt idx="13">
                  <c:v>5068</c:v>
                </c:pt>
                <c:pt idx="14">
                  <c:v>45080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FC-4D8F-B530-8707DB449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71%</c:v>
                </c:pt>
                <c:pt idx="4">
                  <c:v>71%</c:v>
                </c:pt>
                <c:pt idx="5">
                  <c:v>21%</c:v>
                </c:pt>
                <c:pt idx="6">
                  <c:v>31%</c:v>
                </c:pt>
                <c:pt idx="7">
                  <c:v>63%</c:v>
                </c:pt>
                <c:pt idx="8">
                  <c:v>46%</c:v>
                </c:pt>
                <c:pt idx="9">
                  <c:v>46%</c:v>
                </c:pt>
                <c:pt idx="10">
                  <c:v>88%</c:v>
                </c:pt>
                <c:pt idx="11">
                  <c:v>46%</c:v>
                </c:pt>
                <c:pt idx="12">
                  <c:v>71%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22P</c:v>
                </c:pt>
                <c:pt idx="11">
                  <c:v>TOP/BOTTOM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0.70833333333333337</c:v>
                </c:pt>
                <c:pt idx="4">
                  <c:v>0.70833333333333337</c:v>
                </c:pt>
                <c:pt idx="5">
                  <c:v>0.20833333333333334</c:v>
                </c:pt>
                <c:pt idx="6">
                  <c:v>0.31147216168020603</c:v>
                </c:pt>
                <c:pt idx="7">
                  <c:v>0.625</c:v>
                </c:pt>
                <c:pt idx="8">
                  <c:v>0.45833333333333331</c:v>
                </c:pt>
                <c:pt idx="9">
                  <c:v>0.45833333333333331</c:v>
                </c:pt>
                <c:pt idx="10">
                  <c:v>0.875</c:v>
                </c:pt>
                <c:pt idx="11">
                  <c:v>0.45833333333333331</c:v>
                </c:pt>
                <c:pt idx="12">
                  <c:v>0.70833333333333337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B-44A2-9308-FCA4F92747A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6B-44A2-9308-FCA4F92747A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22P</c:v>
                </c:pt>
                <c:pt idx="11">
                  <c:v>TOP/BOTTOM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0.52909814411201372</c:v>
                </c:pt>
                <c:pt idx="1">
                  <c:v>0.52909814411201372</c:v>
                </c:pt>
                <c:pt idx="2">
                  <c:v>0.52909814411201372</c:v>
                </c:pt>
                <c:pt idx="3">
                  <c:v>0.52909814411201372</c:v>
                </c:pt>
                <c:pt idx="4">
                  <c:v>0.52909814411201372</c:v>
                </c:pt>
                <c:pt idx="5">
                  <c:v>0.52909814411201372</c:v>
                </c:pt>
                <c:pt idx="6">
                  <c:v>0.52909814411201372</c:v>
                </c:pt>
                <c:pt idx="7">
                  <c:v>0.52909814411201372</c:v>
                </c:pt>
                <c:pt idx="8">
                  <c:v>0.52909814411201372</c:v>
                </c:pt>
                <c:pt idx="9">
                  <c:v>0.52909814411201372</c:v>
                </c:pt>
                <c:pt idx="10">
                  <c:v>0.52909814411201372</c:v>
                </c:pt>
                <c:pt idx="11">
                  <c:v>0.52909814411201372</c:v>
                </c:pt>
                <c:pt idx="12">
                  <c:v>0.52909814411201372</c:v>
                </c:pt>
                <c:pt idx="13">
                  <c:v>0.52909814411201372</c:v>
                </c:pt>
                <c:pt idx="14">
                  <c:v>0.52909814411201372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6B-44A2-9308-FCA4F9274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22P</c:v>
                </c:pt>
                <c:pt idx="11">
                  <c:v>TOP/BOTTOM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2">
                  <c:v>4852</c:v>
                </c:pt>
                <c:pt idx="3">
                  <c:v>3228</c:v>
                </c:pt>
                <c:pt idx="4">
                  <c:v>3031</c:v>
                </c:pt>
                <c:pt idx="5">
                  <c:v>625</c:v>
                </c:pt>
                <c:pt idx="6">
                  <c:v>2358</c:v>
                </c:pt>
                <c:pt idx="7">
                  <c:v>2495</c:v>
                </c:pt>
                <c:pt idx="8">
                  <c:v>935</c:v>
                </c:pt>
                <c:pt idx="9">
                  <c:v>23037</c:v>
                </c:pt>
                <c:pt idx="10">
                  <c:v>27428</c:v>
                </c:pt>
                <c:pt idx="11">
                  <c:v>1972</c:v>
                </c:pt>
                <c:pt idx="12">
                  <c:v>3247</c:v>
                </c:pt>
                <c:pt idx="13">
                  <c:v>5068</c:v>
                </c:pt>
                <c:pt idx="14">
                  <c:v>45080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3-49E8-BFFF-6760C680AA3E}"/>
            </c:ext>
          </c:extLst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22P</c:v>
                </c:pt>
                <c:pt idx="11">
                  <c:v>TOP/BOTTOM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4852</c:v>
                </c:pt>
                <c:pt idx="3">
                  <c:v>3228</c:v>
                </c:pt>
                <c:pt idx="4">
                  <c:v>3031</c:v>
                </c:pt>
                <c:pt idx="5">
                  <c:v>625</c:v>
                </c:pt>
                <c:pt idx="6">
                  <c:v>5047</c:v>
                </c:pt>
                <c:pt idx="7">
                  <c:v>2495</c:v>
                </c:pt>
                <c:pt idx="8">
                  <c:v>935</c:v>
                </c:pt>
                <c:pt idx="9">
                  <c:v>23037</c:v>
                </c:pt>
                <c:pt idx="10">
                  <c:v>27428</c:v>
                </c:pt>
                <c:pt idx="11">
                  <c:v>1972</c:v>
                </c:pt>
                <c:pt idx="12">
                  <c:v>3247</c:v>
                </c:pt>
                <c:pt idx="13">
                  <c:v>5068</c:v>
                </c:pt>
                <c:pt idx="14">
                  <c:v>45080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3-49E8-BFFF-6760C680A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71%</c:v>
                </c:pt>
                <c:pt idx="4">
                  <c:v>71%</c:v>
                </c:pt>
                <c:pt idx="5">
                  <c:v>21%</c:v>
                </c:pt>
                <c:pt idx="6">
                  <c:v>31%</c:v>
                </c:pt>
                <c:pt idx="7">
                  <c:v>63%</c:v>
                </c:pt>
                <c:pt idx="8">
                  <c:v>46%</c:v>
                </c:pt>
                <c:pt idx="9">
                  <c:v>46%</c:v>
                </c:pt>
                <c:pt idx="10">
                  <c:v>88%</c:v>
                </c:pt>
                <c:pt idx="11">
                  <c:v>46%</c:v>
                </c:pt>
                <c:pt idx="12">
                  <c:v>71%</c:v>
                </c:pt>
                <c:pt idx="13">
                  <c:v>100%</c:v>
                </c:pt>
                <c:pt idx="14">
                  <c:v>54%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22P</c:v>
                </c:pt>
                <c:pt idx="11">
                  <c:v>TOP/BOTTOM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0.70833333333333337</c:v>
                </c:pt>
                <c:pt idx="4">
                  <c:v>0.70833333333333337</c:v>
                </c:pt>
                <c:pt idx="5">
                  <c:v>0.20833333333333334</c:v>
                </c:pt>
                <c:pt idx="6">
                  <c:v>0.31147216168020603</c:v>
                </c:pt>
                <c:pt idx="7">
                  <c:v>0.625</c:v>
                </c:pt>
                <c:pt idx="8">
                  <c:v>0.45833333333333331</c:v>
                </c:pt>
                <c:pt idx="9">
                  <c:v>0.45833333333333331</c:v>
                </c:pt>
                <c:pt idx="10">
                  <c:v>0.875</c:v>
                </c:pt>
                <c:pt idx="11">
                  <c:v>0.45833333333333331</c:v>
                </c:pt>
                <c:pt idx="12">
                  <c:v>0.70833333333333337</c:v>
                </c:pt>
                <c:pt idx="13">
                  <c:v>1</c:v>
                </c:pt>
                <c:pt idx="14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23-4DED-B67D-65276DA0FB0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23-4DED-B67D-65276DA0FB0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2">
                  <c:v>STOPPER</c:v>
                </c:pt>
                <c:pt idx="3">
                  <c:v>SLIDER</c:v>
                </c:pt>
                <c:pt idx="4">
                  <c:v>STOPPER</c:v>
                </c:pt>
                <c:pt idx="5">
                  <c:v>ACTUATOR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22P</c:v>
                </c:pt>
                <c:pt idx="11">
                  <c:v>TOP/BOTTOM</c:v>
                </c:pt>
                <c:pt idx="12">
                  <c:v>SLIDER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0.52909814411201372</c:v>
                </c:pt>
                <c:pt idx="1">
                  <c:v>0.52909814411201372</c:v>
                </c:pt>
                <c:pt idx="2">
                  <c:v>0.52909814411201372</c:v>
                </c:pt>
                <c:pt idx="3">
                  <c:v>0.52909814411201372</c:v>
                </c:pt>
                <c:pt idx="4">
                  <c:v>0.52909814411201372</c:v>
                </c:pt>
                <c:pt idx="5">
                  <c:v>0.52909814411201372</c:v>
                </c:pt>
                <c:pt idx="6">
                  <c:v>0.52909814411201372</c:v>
                </c:pt>
                <c:pt idx="7">
                  <c:v>0.52909814411201372</c:v>
                </c:pt>
                <c:pt idx="8">
                  <c:v>0.52909814411201372</c:v>
                </c:pt>
                <c:pt idx="9">
                  <c:v>0.52909814411201372</c:v>
                </c:pt>
                <c:pt idx="10">
                  <c:v>0.52909814411201372</c:v>
                </c:pt>
                <c:pt idx="11">
                  <c:v>0.52909814411201372</c:v>
                </c:pt>
                <c:pt idx="12">
                  <c:v>0.52909814411201372</c:v>
                </c:pt>
                <c:pt idx="13">
                  <c:v>0.52909814411201372</c:v>
                </c:pt>
                <c:pt idx="14">
                  <c:v>0.52909814411201372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23-4DED-B67D-65276DA0F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05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BC4-4DA9-BEE7-2C0050B804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0.46386939571150099</c:v>
                </c:pt>
                <c:pt idx="1">
                  <c:v>0.46111111111111114</c:v>
                </c:pt>
                <c:pt idx="2">
                  <c:v>0.57222222222222219</c:v>
                </c:pt>
                <c:pt idx="3">
                  <c:v>0.49508547008547016</c:v>
                </c:pt>
                <c:pt idx="5">
                  <c:v>0.5083333333333333</c:v>
                </c:pt>
                <c:pt idx="6">
                  <c:v>0.4177770768350097</c:v>
                </c:pt>
                <c:pt idx="7">
                  <c:v>0.45</c:v>
                </c:pt>
                <c:pt idx="8">
                  <c:v>0.43888888888888894</c:v>
                </c:pt>
                <c:pt idx="9">
                  <c:v>0.38888888888888878</c:v>
                </c:pt>
                <c:pt idx="12">
                  <c:v>0.41111111111111109</c:v>
                </c:pt>
                <c:pt idx="13">
                  <c:v>0.53333333333333333</c:v>
                </c:pt>
                <c:pt idx="14">
                  <c:v>0.46111111111111108</c:v>
                </c:pt>
                <c:pt idx="15">
                  <c:v>0.41666666666666674</c:v>
                </c:pt>
                <c:pt idx="16">
                  <c:v>0.11388888888888889</c:v>
                </c:pt>
                <c:pt idx="19">
                  <c:v>0.40953382852340231</c:v>
                </c:pt>
                <c:pt idx="20">
                  <c:v>0.30833333333333335</c:v>
                </c:pt>
                <c:pt idx="21">
                  <c:v>0.4</c:v>
                </c:pt>
                <c:pt idx="22">
                  <c:v>0.38055555555555559</c:v>
                </c:pt>
                <c:pt idx="23">
                  <c:v>0.33573504273504273</c:v>
                </c:pt>
                <c:pt idx="26">
                  <c:v>0.42500000000000004</c:v>
                </c:pt>
                <c:pt idx="27">
                  <c:v>0.44722222222222219</c:v>
                </c:pt>
                <c:pt idx="28">
                  <c:v>0.52777777777777779</c:v>
                </c:pt>
                <c:pt idx="29">
                  <c:v>0.49444444444444446</c:v>
                </c:pt>
                <c:pt idx="30">
                  <c:v>0.52909814411201372</c:v>
                </c:pt>
                <c:pt idx="31">
                  <c:v>0.33516089828681717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C4-4DA9-BEE7-2C0050B80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C4-4DA9-BEE7-2C0050B8046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C4-4DA9-BEE7-2C0050B80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757C52-B50B-45DB-907B-D9120A6EB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D554999-7E99-4EC8-8500-9C16CC7C9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32866A3-D636-46A8-8D5A-B37E06BA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4019F9E-CDD0-4310-A7FD-F1FFE1A68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A7CC45F-A455-4501-8CE0-DEFA567EB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445A1D8-0910-4CBD-B31F-437ED0E4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6A56292-5C34-4F4E-B1CA-CA4204B73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B9E292C-ADCB-43CF-AB07-E58837F99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A087FC0-C22E-4C94-A373-E28EB46ED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0EDD1BC-19ED-4D27-B66D-8BA4DD07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1F90A2C-B793-47E8-A8FC-6D45F13F3B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DC065AD-05F4-4C5F-8211-F4057F48E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3096CFF-8839-4DE1-AD61-E768C46D3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925E918-DD76-42BC-AE9E-CABD54C3E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3CAB2CD-E5EA-4346-8C80-F657071FB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550F429-9B7E-422C-8ED3-68632CC17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FA9AF4D-CD49-4E1E-B024-A5E2E8C42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004DCFB-CEDA-493D-8C21-6A558DC00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CE7A172-1DCC-407E-9B53-4C0A8DE06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6D538AF-0DC9-4B9E-B259-2F834C6A4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C064E2F-63DA-4FDE-ACDD-EFB390F3C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1571A26-4BD4-4114-86F5-708285501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B2322E5-C216-4967-B13D-AD930B5DE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45BB908-5E56-473A-9516-F6580B7F6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6973A5B-C818-4863-BED0-5A9B70968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6DF4FF6-9BC5-4A2E-BEC8-EBEB3E88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77AAB6D-7849-4212-9D0E-93ACBB01F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0F52988-6AAD-4B26-8B5F-98999401A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FCB5DA9-BE6E-4314-9402-6E47FC1FB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E623B29-67ED-423E-B614-EFCB1EBC1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AA7E539-5477-4E98-942D-3749C157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CD61C59-4139-4B93-ABAB-1E337508F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04FE875-7598-42B9-BFC7-2EE23769C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05AEB99-8E6E-4195-89D1-5C1B8B2A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13368B3-AB07-4131-830E-DFA267F58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134B04F-439C-4B4D-A346-2B8760A05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D6226F0-6E34-4A2B-B890-524FB3A54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3A4C78B-FF39-4B29-A381-662FB0A5A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8D2E559-4B4A-49AB-B14F-FFFC821E2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A6E4281-F19A-42B9-BA1E-0AF05A1FB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B2010F5-AF39-4DC2-B533-D00D11E6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FD3BEAD-3215-4C94-A3D9-024E02D60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3576EB-488D-4F89-AA9F-25A527DDC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DC9AD07-42F1-433C-AE2C-309CC8BC6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2184CB4-0D24-4ED8-BAA0-F721BF708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7A23419-59E1-4524-9D93-04C57011F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DEC9A5A-5C86-497C-A84F-2F164408E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A82C363-C6EA-4A64-B75A-DFFAF593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27E7020-8C30-4B1D-9CBD-391095143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31F5EA4-F1B1-4070-BD7C-EF880F151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5E37F74-6F90-40D8-B42B-D2B62DDD8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18FE622-30E4-4578-9540-FF533D52B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9110BF3-8BCF-41A5-A812-438D83361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398B288-BD77-4F4C-9969-4DCA48262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A35F389-8D0A-483F-A40E-20EEB5AD0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83363D0-ACAB-4E7F-A495-62313092D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1C210C-ACCF-4C69-A3F6-EF2801EA1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DB28A75-87C9-40BF-95B4-50CCD48CD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3144D73-379F-4DE5-96A4-DDF0CCEB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CF905C0-B3DD-404E-B8F9-75C3CF370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79A92F2-E4DB-4BBF-81AE-063765EFB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F682CEF-49D2-453F-906A-9EC38A62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73BBDBC-4CE8-4B91-AB54-315D93DCC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11C178E-A4BF-4174-97D1-B669B4E92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4EB37F2-F3F7-498F-83DF-E913D4C81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1CD60AA-7F39-472E-B42E-E7899A2CE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BCD28D9-4964-4B58-A00C-00DC93D29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CE9915C-0501-469B-8EF4-2BC4136A7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BB3460A-1DFC-471A-9553-E904BDD8E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F59AE84-B1AA-4F62-9FA4-470803DE6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01CCFA0-248D-4B6D-8806-ABC672070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E194BB5-92A0-4AC9-9D00-3AD8F8F1A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A872212-8916-4915-8B75-E85DF3FE4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B72C2F1-7A4B-4335-928C-95DDC4CA67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3C47219-43F8-4DCC-80A9-DBE8832F0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DB206DB-1A22-4496-BEF5-EBD6706BE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E018146-D711-44C8-8A01-A87289627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1F22806-AFB7-4729-BFA6-AB4A3612E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5C7E0EA-69D9-45EF-B765-5B1F03D0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D37F62F-073D-4D9F-97FC-E4111C08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ADF414D-FE63-441C-9956-A5BB891D3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31AABB8-63FB-406C-B826-459E51F47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DD0FBA4-1CBF-4720-BAAC-8109BE81F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84A4285-AB99-41DE-B049-023374354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F9D666A-8457-4060-BB5A-BF22DD112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BB7E052-86C1-49D5-9BB0-1C977884C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D4230C8-C759-4DA1-8184-5B693E7A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E801779-EC1B-49B6-B33B-4F00F26AC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75107C4-E7E0-4097-B46C-0257AF907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43E3CA9-356A-46EB-AECF-5E2080C94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D1D28F1-F1A2-4E67-B444-5AA498BD6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277813</xdr:colOff>
      <xdr:row>51</xdr:row>
      <xdr:rowOff>145521</xdr:rowOff>
    </xdr:from>
    <xdr:to>
      <xdr:col>24</xdr:col>
      <xdr:colOff>410104</xdr:colOff>
      <xdr:row>54</xdr:row>
      <xdr:rowOff>92604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B36B4C0-D187-4DCC-92E9-E349206B844A}"/>
            </a:ext>
          </a:extLst>
        </xdr:cNvPr>
        <xdr:cNvSpPr txBox="1"/>
      </xdr:nvSpPr>
      <xdr:spPr>
        <a:xfrm>
          <a:off x="13467292" y="16166042"/>
          <a:ext cx="6283854" cy="978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400"/>
            <a:t>셈플 </a:t>
          </a:r>
          <a:r>
            <a:rPr lang="en-US" altLang="ko-KR" sz="2400"/>
            <a:t>9</a:t>
          </a:r>
          <a:r>
            <a:rPr lang="ko-KR" altLang="en-US" sz="2400"/>
            <a:t>벌 진행</a:t>
          </a:r>
        </a:p>
      </xdr:txBody>
    </xdr:sp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FC9DDEA-8E43-4BAA-B5F7-117390C11B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A764850-B046-4770-B040-3B8E2B08F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2064AEE-C298-4170-A451-942231B78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5ECB95F-FEB6-4D26-B5C0-4DFCC41E9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F1C9552-FD76-4509-B39B-6F257CCD5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3E48341-4A23-4658-A7C8-497CDD27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AF41E2A-5594-408E-A30C-AA1C6D971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051D971-EB2D-4216-B93C-0EC2BF768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AD26AAD-52D1-4BCB-81A8-C166C5AFF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5D836D1-44AF-4DA5-8910-9D1058C2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8560CC9-CA4F-499D-8A96-27D4C058D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59AB6EF-0E6D-4C37-9282-0B9DE8AD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8541431-2662-4B6F-9A87-83258EAF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1E0F3C8-3456-4D81-B1B2-2A2B9B53D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53E7298-5D1A-4BAF-8DE7-6609437634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7E57405-AA8C-4CDC-9DF6-3B8E962A3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D9AC871-69B3-4B17-87DF-293A72266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9AA6FD0-9120-44E6-B5B8-61F972A29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9693656-C92B-4B2B-B610-781C769EE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4B1FCA6-4AFC-40F9-A5E6-C8422119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375A27F-074C-49B3-B2D4-3A54572256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87CC906-70A5-47D5-834B-C39308003D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271E353-34CD-44AC-B91F-6040B8308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5A1E0BE-88EC-42A1-8518-C5AE2A360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5A151BC-C520-4299-BEAC-D34C9E97F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AB09D19-CD5E-4628-9714-38647B84EF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9A6C67E-8386-4715-86A8-80394AF8E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92E9FBD-8147-4DC9-8551-C0080B0B1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383646</xdr:colOff>
      <xdr:row>53</xdr:row>
      <xdr:rowOff>211666</xdr:rowOff>
    </xdr:from>
    <xdr:to>
      <xdr:col>23</xdr:col>
      <xdr:colOff>211667</xdr:colOff>
      <xdr:row>56</xdr:row>
      <xdr:rowOff>264583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F96F990-47A0-40D4-9606-DCA8EC8BDB58}"/>
            </a:ext>
          </a:extLst>
        </xdr:cNvPr>
        <xdr:cNvSpPr txBox="1"/>
      </xdr:nvSpPr>
      <xdr:spPr>
        <a:xfrm>
          <a:off x="13573125" y="16920104"/>
          <a:ext cx="5437188" cy="1084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/>
            <a:t>0.4P  5</a:t>
          </a:r>
          <a:r>
            <a:rPr lang="ko-KR" altLang="en-US" sz="2400"/>
            <a:t>종 </a:t>
          </a:r>
          <a:r>
            <a:rPr lang="en-US" altLang="ko-KR" sz="2400"/>
            <a:t>250SET </a:t>
          </a:r>
          <a:r>
            <a:rPr lang="ko-KR" altLang="en-US" sz="2400"/>
            <a:t>양산</a:t>
          </a:r>
        </a:p>
      </xdr:txBody>
    </xdr:sp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2B848E1-CE38-495E-A9DC-AF287B958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DE4EFA6-F5B4-4B0D-B8C6-D370B5FC7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344415D-6754-4694-BAF2-7EF3504F7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0D48DCA-0CA2-4E59-ADD1-A1068998C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0298B1B-2E86-4CDF-B877-8B2858552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BC77068-E618-46C0-BA2A-BC7F35865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42</xdr:row>
      <xdr:rowOff>13607</xdr:rowOff>
    </xdr:from>
    <xdr:to>
      <xdr:col>29</xdr:col>
      <xdr:colOff>476250</xdr:colOff>
      <xdr:row>50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9DA2A7E-AC52-4A2D-AC88-422090D4AB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539DEEA-E505-4E30-93A4-943489CCE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C744AC6-4045-4551-B2B0-D66D22C3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5C6A51E-F8CE-4B99-B0BD-3FADCFDF7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28</xdr:row>
      <xdr:rowOff>0</xdr:rowOff>
    </xdr:from>
    <xdr:to>
      <xdr:col>12</xdr:col>
      <xdr:colOff>1199028</xdr:colOff>
      <xdr:row>41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FCABA7C-9E52-4D27-85BC-230C8E91B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29</xdr:col>
      <xdr:colOff>457200</xdr:colOff>
      <xdr:row>41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C5C634F-D500-4042-AA0E-629E7A39D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C6E1C5F-B585-4D11-9791-C3D02E6E3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42</xdr:row>
      <xdr:rowOff>13607</xdr:rowOff>
    </xdr:from>
    <xdr:to>
      <xdr:col>29</xdr:col>
      <xdr:colOff>476250</xdr:colOff>
      <xdr:row>50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13BC10A-0F37-4C9A-8F99-658BDD0DD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ADD0594-EB2A-4DEF-A20B-6CB7B5EBB0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CDBC9DE-B4B3-441B-B457-E4FE3D04D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23B11EB-C489-46AF-B86F-3D4919ED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4F8D4FF-0CBF-4B7E-8FF5-B4039884F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1124083-2BF4-4B9A-89B7-1DE3A87F3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BC1C3E7-8E3C-4705-B6CE-F9815B0D1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59F5CC0-8C3D-4594-92CE-C73AAD43D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E1CF74F-345C-495E-9F22-B52B587CE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B8FE4FC-852B-48F3-AE63-AC75CF78E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A1DFC36-34BB-4FF8-AF3C-BE13347AC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0D9B427-9A8E-48D0-872F-5160328FDF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F9751E66-9748-4E10-AEE1-C24991A7C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CF69640-445B-4312-8ADA-DB35D45E6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096C0F7-E971-45C6-9FCC-C213E9BF4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820A5D5-1E35-4837-871E-71736559F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751B90E-BBCD-4BFB-9F65-A696F6B0D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2544739-E1B2-4196-BEB8-611D9365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5DE3853-A531-4DC7-B1F9-CB2CCD2A39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46E04C3-F497-40AB-8932-F437D6604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93E182B-D3A5-4115-81AC-926B13551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A74E461-736C-4625-8086-1CD820185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941BBE-1DD9-4CD4-8F59-C6240E64F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02497E7-BC81-43DE-A1C1-6B73508C6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B9B85FA-511E-4560-A443-98C002BE5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472713D-73C4-4C79-9B7E-8FC33CB67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3399EC3-AD7A-4D6B-B1BB-2E3956DBA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1566E52-A63A-4333-881A-A3D0B0B29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6CA9746-9D2B-41B6-9F12-B331B7C68F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D9A5DCB-0278-4430-AF80-58534F4AE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F805ABD-B4E5-4456-A0D4-68F949828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BE0A231-057D-48EA-933C-58814658C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885FFBE-E1F2-4ABC-8A21-E4C630D73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7C63709-F0A4-4DFA-AB6D-A2FDE0416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9876685-D4F4-47E5-89C9-7B8EFEFAB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703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055BA46-1EC1-46B0-A6E2-3661F99F7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F4" sqref="AF4:AF18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3" width="5.5" style="68" bestFit="1" customWidth="1"/>
    <col min="34" max="16384" width="9" style="68"/>
  </cols>
  <sheetData>
    <row r="1" spans="1:33" ht="33.75" customHeight="1" thickBot="1">
      <c r="A1" s="391" t="s">
        <v>172</v>
      </c>
      <c r="B1" s="391"/>
      <c r="C1" s="391"/>
      <c r="D1" s="391"/>
      <c r="E1" s="391"/>
      <c r="F1" s="391"/>
      <c r="G1" s="391"/>
      <c r="H1" s="391"/>
    </row>
    <row r="2" spans="1:33" ht="21.75" customHeight="1" thickBot="1">
      <c r="A2" s="89" t="s">
        <v>59</v>
      </c>
      <c r="B2" s="91" t="s">
        <v>74</v>
      </c>
      <c r="C2" s="92" t="s">
        <v>75</v>
      </c>
      <c r="D2" s="92" t="s">
        <v>76</v>
      </c>
      <c r="E2" s="92" t="s">
        <v>77</v>
      </c>
      <c r="F2" s="92" t="s">
        <v>78</v>
      </c>
      <c r="G2" s="92" t="s">
        <v>79</v>
      </c>
      <c r="H2" s="92" t="s">
        <v>80</v>
      </c>
      <c r="I2" s="92" t="s">
        <v>81</v>
      </c>
      <c r="J2" s="92" t="s">
        <v>82</v>
      </c>
      <c r="K2" s="92" t="s">
        <v>83</v>
      </c>
      <c r="L2" s="92" t="s">
        <v>84</v>
      </c>
      <c r="M2" s="92" t="s">
        <v>85</v>
      </c>
      <c r="N2" s="92" t="s">
        <v>86</v>
      </c>
      <c r="O2" s="92" t="s">
        <v>87</v>
      </c>
      <c r="P2" s="92" t="s">
        <v>88</v>
      </c>
      <c r="Q2" s="92" t="s">
        <v>89</v>
      </c>
      <c r="R2" s="92" t="s">
        <v>90</v>
      </c>
      <c r="S2" s="92" t="s">
        <v>91</v>
      </c>
      <c r="T2" s="92" t="s">
        <v>92</v>
      </c>
      <c r="U2" s="92" t="s">
        <v>93</v>
      </c>
      <c r="V2" s="92" t="s">
        <v>94</v>
      </c>
      <c r="W2" s="92" t="s">
        <v>95</v>
      </c>
      <c r="X2" s="92" t="s">
        <v>96</v>
      </c>
      <c r="Y2" s="92" t="s">
        <v>97</v>
      </c>
      <c r="Z2" s="92" t="s">
        <v>98</v>
      </c>
      <c r="AA2" s="92" t="s">
        <v>99</v>
      </c>
      <c r="AB2" s="92" t="s">
        <v>100</v>
      </c>
      <c r="AC2" s="92" t="s">
        <v>101</v>
      </c>
      <c r="AD2" s="92" t="s">
        <v>102</v>
      </c>
      <c r="AE2" s="92" t="s">
        <v>103</v>
      </c>
      <c r="AF2" s="93" t="s">
        <v>104</v>
      </c>
      <c r="AG2" s="89" t="s">
        <v>106</v>
      </c>
    </row>
    <row r="3" spans="1:33" ht="21.75" customHeight="1">
      <c r="A3" s="109" t="s">
        <v>60</v>
      </c>
      <c r="B3" s="104">
        <f>'01'!AD6</f>
        <v>0</v>
      </c>
      <c r="C3" s="104">
        <f>'02'!AD6</f>
        <v>0</v>
      </c>
      <c r="D3" s="97">
        <f>'03'!AD6</f>
        <v>0</v>
      </c>
      <c r="E3" s="97">
        <f>'04'!AD6</f>
        <v>0</v>
      </c>
      <c r="F3" s="97"/>
      <c r="G3" s="97">
        <f>'06'!AD6</f>
        <v>0</v>
      </c>
      <c r="H3" s="97">
        <f>'07'!AD6</f>
        <v>0</v>
      </c>
      <c r="I3" s="97">
        <f>'08'!AD6</f>
        <v>0</v>
      </c>
      <c r="J3" s="97">
        <f>'09'!AD6</f>
        <v>0</v>
      </c>
      <c r="K3" s="97">
        <f>'10'!AD6</f>
        <v>0</v>
      </c>
      <c r="L3" s="97"/>
      <c r="M3" s="97"/>
      <c r="N3" s="115">
        <f>'13'!AD6</f>
        <v>0</v>
      </c>
      <c r="O3" s="97">
        <f>'14'!AD6</f>
        <v>0</v>
      </c>
      <c r="P3" s="97">
        <f>'15'!AD6</f>
        <v>0</v>
      </c>
      <c r="Q3" s="97">
        <f>'16'!AD6</f>
        <v>0</v>
      </c>
      <c r="R3" s="97">
        <f>'17'!AD6</f>
        <v>0</v>
      </c>
      <c r="S3" s="97"/>
      <c r="T3" s="97"/>
      <c r="U3" s="97">
        <f>'20'!AD6</f>
        <v>0</v>
      </c>
      <c r="V3" s="97">
        <f>'21'!AD6</f>
        <v>0</v>
      </c>
      <c r="W3" s="115">
        <f>'22'!AD6</f>
        <v>0</v>
      </c>
      <c r="X3" s="97">
        <f>'23'!AD6</f>
        <v>0</v>
      </c>
      <c r="Y3" s="97">
        <f>'24'!AD6</f>
        <v>0</v>
      </c>
      <c r="Z3" s="97"/>
      <c r="AA3" s="97"/>
      <c r="AB3" s="97">
        <f>'27'!AD6</f>
        <v>0</v>
      </c>
      <c r="AC3" s="97">
        <f>'28'!AD7</f>
        <v>0</v>
      </c>
      <c r="AD3" s="97">
        <f>'29'!AD6</f>
        <v>0</v>
      </c>
      <c r="AE3" s="97">
        <f>'30'!AD6</f>
        <v>0</v>
      </c>
      <c r="AF3" s="98">
        <f>'31'!AD6</f>
        <v>0</v>
      </c>
      <c r="AG3" s="100">
        <f>SUM(B3:AF3)/31</f>
        <v>0</v>
      </c>
    </row>
    <row r="4" spans="1:33" ht="21.75" customHeight="1">
      <c r="A4" s="110" t="s">
        <v>61</v>
      </c>
      <c r="B4" s="105">
        <f>'01'!AD7</f>
        <v>0</v>
      </c>
      <c r="C4" s="105">
        <f>'02'!AD7</f>
        <v>0</v>
      </c>
      <c r="D4" s="74">
        <f>'03'!AD7</f>
        <v>0</v>
      </c>
      <c r="E4" s="74">
        <f>'04'!AD7</f>
        <v>0</v>
      </c>
      <c r="F4" s="74"/>
      <c r="G4" s="74">
        <f>'06'!AD7</f>
        <v>0</v>
      </c>
      <c r="H4" s="74">
        <f>'07'!AD7</f>
        <v>0</v>
      </c>
      <c r="I4" s="74">
        <f>'08'!AD7</f>
        <v>0</v>
      </c>
      <c r="J4" s="74">
        <f>'09'!AD7</f>
        <v>0</v>
      </c>
      <c r="K4" s="74">
        <f>'10'!AD7</f>
        <v>0</v>
      </c>
      <c r="L4" s="74"/>
      <c r="M4" s="74"/>
      <c r="N4" s="74">
        <f>'13'!AD7</f>
        <v>0</v>
      </c>
      <c r="O4" s="74">
        <f>'14'!AD7</f>
        <v>0</v>
      </c>
      <c r="P4" s="74">
        <f>'15'!AD7</f>
        <v>0</v>
      </c>
      <c r="Q4" s="74">
        <f>'16'!AD7</f>
        <v>0</v>
      </c>
      <c r="R4" s="74">
        <f>'17'!AD7</f>
        <v>0</v>
      </c>
      <c r="S4" s="74"/>
      <c r="T4" s="74"/>
      <c r="U4" s="74">
        <f>'20'!AD7</f>
        <v>0</v>
      </c>
      <c r="V4" s="74">
        <f>'21'!AD7</f>
        <v>0</v>
      </c>
      <c r="W4" s="74">
        <f>'22'!AD7</f>
        <v>0</v>
      </c>
      <c r="X4" s="74">
        <f>'23'!AD7</f>
        <v>0</v>
      </c>
      <c r="Y4" s="74">
        <f>'24'!AD7</f>
        <v>0</v>
      </c>
      <c r="Z4" s="74"/>
      <c r="AA4" s="74"/>
      <c r="AB4" s="74">
        <f>'27'!AD7</f>
        <v>0</v>
      </c>
      <c r="AC4" s="74">
        <f>'28'!AD8</f>
        <v>0.75</v>
      </c>
      <c r="AD4" s="74">
        <f>'29'!AD7</f>
        <v>0</v>
      </c>
      <c r="AE4" s="74">
        <f>'30'!AD7</f>
        <v>0</v>
      </c>
      <c r="AF4" s="75">
        <f>'31'!AD7</f>
        <v>0</v>
      </c>
      <c r="AG4" s="76">
        <f t="shared" ref="AG4:AG18" si="0">SUM(B4:AF4)/31</f>
        <v>2.4193548387096774E-2</v>
      </c>
    </row>
    <row r="5" spans="1:33" ht="21.75" customHeight="1">
      <c r="A5" s="111" t="s">
        <v>62</v>
      </c>
      <c r="B5" s="106">
        <f>'01'!AD8</f>
        <v>1</v>
      </c>
      <c r="C5" s="106">
        <f>'02'!AD8</f>
        <v>0.95833333333333337</v>
      </c>
      <c r="D5" s="77">
        <f>'03'!AD8</f>
        <v>0.875</v>
      </c>
      <c r="E5" s="77">
        <f>'04'!AD8</f>
        <v>0.875</v>
      </c>
      <c r="F5" s="77"/>
      <c r="G5" s="77">
        <f>'06'!AD8</f>
        <v>0.79166666666666663</v>
      </c>
      <c r="H5" s="77">
        <f>'07'!AD8</f>
        <v>0.41666666666666669</v>
      </c>
      <c r="I5" s="77">
        <f>'08'!AD8</f>
        <v>0.58333333333333337</v>
      </c>
      <c r="J5" s="77">
        <f>'09'!AD8</f>
        <v>0.875</v>
      </c>
      <c r="K5" s="77">
        <f>'10'!AD8</f>
        <v>1</v>
      </c>
      <c r="L5" s="77"/>
      <c r="M5" s="77"/>
      <c r="N5" s="77">
        <f>'13'!AD8</f>
        <v>0</v>
      </c>
      <c r="O5" s="77">
        <f>'14'!AD8</f>
        <v>0.625</v>
      </c>
      <c r="P5" s="77">
        <f>'15'!AD8</f>
        <v>0</v>
      </c>
      <c r="Q5" s="77">
        <f>'16'!AD8</f>
        <v>0</v>
      </c>
      <c r="R5" s="77">
        <f>'17'!AD8</f>
        <v>0</v>
      </c>
      <c r="S5" s="77"/>
      <c r="T5" s="77"/>
      <c r="U5" s="77">
        <f>'20'!AD8</f>
        <v>0</v>
      </c>
      <c r="V5" s="77">
        <f>'21'!AD8</f>
        <v>0</v>
      </c>
      <c r="W5" s="116">
        <f>'22'!AD8</f>
        <v>0</v>
      </c>
      <c r="X5" s="77">
        <f>'23'!AD8</f>
        <v>0</v>
      </c>
      <c r="Y5" s="77">
        <f>'24'!AD8</f>
        <v>0</v>
      </c>
      <c r="Z5" s="77"/>
      <c r="AA5" s="77"/>
      <c r="AB5" s="77">
        <f>'27'!AD8</f>
        <v>0</v>
      </c>
      <c r="AC5" s="77">
        <f>'28'!AD9</f>
        <v>0.875</v>
      </c>
      <c r="AD5" s="77">
        <f>'29'!AD8</f>
        <v>1</v>
      </c>
      <c r="AE5" s="77">
        <f>'30'!AD8</f>
        <v>0.75</v>
      </c>
      <c r="AF5" s="78">
        <f>'31'!AD8</f>
        <v>0.875</v>
      </c>
      <c r="AG5" s="79">
        <f t="shared" si="0"/>
        <v>0.37096774193548387</v>
      </c>
    </row>
    <row r="6" spans="1:33" ht="21.75" customHeight="1">
      <c r="A6" s="112" t="s">
        <v>63</v>
      </c>
      <c r="B6" s="107">
        <f>'01'!AD9</f>
        <v>0.91666666666666663</v>
      </c>
      <c r="C6" s="107">
        <f>'02'!AD9</f>
        <v>0</v>
      </c>
      <c r="D6" s="80">
        <f>'03'!AD9</f>
        <v>0.79166666666666663</v>
      </c>
      <c r="E6" s="80">
        <f>'04'!AD9</f>
        <v>0.83333333333333337</v>
      </c>
      <c r="F6" s="80"/>
      <c r="G6" s="80">
        <f>'06'!AD9</f>
        <v>0.70833333333333337</v>
      </c>
      <c r="H6" s="80">
        <f>'07'!AD9</f>
        <v>1</v>
      </c>
      <c r="I6" s="80">
        <f>'08'!AD9</f>
        <v>0.83333333333333337</v>
      </c>
      <c r="J6" s="80">
        <f>'09'!AD9</f>
        <v>1</v>
      </c>
      <c r="K6" s="80">
        <f>'10'!AD9</f>
        <v>0.66666666666666663</v>
      </c>
      <c r="L6" s="80"/>
      <c r="M6" s="80"/>
      <c r="N6" s="80">
        <f>'13'!AD9</f>
        <v>0.75</v>
      </c>
      <c r="O6" s="80">
        <f>'14'!AD9</f>
        <v>0.91666666666666663</v>
      </c>
      <c r="P6" s="80">
        <f>'15'!AD9</f>
        <v>0.95833333333333337</v>
      </c>
      <c r="Q6" s="80">
        <f>'16'!AD9</f>
        <v>0.75</v>
      </c>
      <c r="R6" s="80">
        <f>'17'!AD9</f>
        <v>0</v>
      </c>
      <c r="S6" s="80"/>
      <c r="T6" s="80"/>
      <c r="U6" s="80">
        <f>'20'!AD9</f>
        <v>0</v>
      </c>
      <c r="V6" s="80">
        <f>'21'!AD9</f>
        <v>0</v>
      </c>
      <c r="W6" s="80">
        <f>'22'!AD9</f>
        <v>0.66666666666666663</v>
      </c>
      <c r="X6" s="80">
        <f>'23'!AD9+'23'!AD10</f>
        <v>0.66666666666666674</v>
      </c>
      <c r="Y6" s="80">
        <f>'24'!AD9</f>
        <v>0.41666666666666669</v>
      </c>
      <c r="Z6" s="80"/>
      <c r="AA6" s="80"/>
      <c r="AB6" s="80">
        <f>'27'!AD9</f>
        <v>0.41666666666666669</v>
      </c>
      <c r="AC6" s="80">
        <f>'28'!AD10</f>
        <v>1</v>
      </c>
      <c r="AD6" s="80">
        <f>'29'!AD9</f>
        <v>0.5</v>
      </c>
      <c r="AE6" s="80">
        <f>'30'!AD9</f>
        <v>0.83333333333333337</v>
      </c>
      <c r="AF6" s="81">
        <f>'31'!AD9</f>
        <v>0.70833333333333337</v>
      </c>
      <c r="AG6" s="82">
        <f t="shared" si="0"/>
        <v>0.49462365591397844</v>
      </c>
    </row>
    <row r="7" spans="1:33" ht="21.75" customHeight="1">
      <c r="A7" s="112" t="s">
        <v>64</v>
      </c>
      <c r="B7" s="107">
        <f>'01'!AD10</f>
        <v>0.83333333333333337</v>
      </c>
      <c r="C7" s="107">
        <f>'02'!AD10</f>
        <v>0.79166666666666663</v>
      </c>
      <c r="D7" s="80">
        <f>'03'!AD10</f>
        <v>1</v>
      </c>
      <c r="E7" s="80">
        <f>'04'!AD10</f>
        <v>0.91666666666666663</v>
      </c>
      <c r="F7" s="80"/>
      <c r="G7" s="80">
        <f>'06'!AD10</f>
        <v>0.75</v>
      </c>
      <c r="H7" s="80">
        <f>'07'!AD10</f>
        <v>0.875</v>
      </c>
      <c r="I7" s="80">
        <f>'08'!AD10+'08'!AD11</f>
        <v>0.58333333333333337</v>
      </c>
      <c r="J7" s="80">
        <f>'09'!AD10</f>
        <v>0.33333333333333331</v>
      </c>
      <c r="K7" s="80">
        <f>'10'!AD10</f>
        <v>0.75</v>
      </c>
      <c r="L7" s="80"/>
      <c r="M7" s="80"/>
      <c r="N7" s="80">
        <f>'13'!AD10</f>
        <v>1</v>
      </c>
      <c r="O7" s="80">
        <f>'14'!AD10</f>
        <v>1</v>
      </c>
      <c r="P7" s="80">
        <f>'15'!AD10</f>
        <v>0</v>
      </c>
      <c r="Q7" s="80">
        <f>'16'!AD10</f>
        <v>0</v>
      </c>
      <c r="R7" s="80">
        <f>'17'!AD10</f>
        <v>0</v>
      </c>
      <c r="S7" s="80"/>
      <c r="T7" s="80"/>
      <c r="U7" s="80">
        <f>'20'!AD10</f>
        <v>0.75</v>
      </c>
      <c r="V7" s="80">
        <f>'21'!AD10</f>
        <v>1</v>
      </c>
      <c r="W7" s="80">
        <f>'22'!AD10</f>
        <v>1</v>
      </c>
      <c r="X7" s="80">
        <f>'23'!AD11</f>
        <v>1</v>
      </c>
      <c r="Y7" s="80">
        <f>'24'!AD10</f>
        <v>1</v>
      </c>
      <c r="Z7" s="80"/>
      <c r="AA7" s="80"/>
      <c r="AB7" s="80">
        <f>'27'!AD10</f>
        <v>1</v>
      </c>
      <c r="AC7" s="80">
        <f>'28'!AD11</f>
        <v>0</v>
      </c>
      <c r="AD7" s="80">
        <f>'29'!AD10</f>
        <v>1</v>
      </c>
      <c r="AE7" s="80">
        <f>'30'!AD10</f>
        <v>0.625</v>
      </c>
      <c r="AF7" s="81">
        <f>'31'!AD10</f>
        <v>0.70833333333333337</v>
      </c>
      <c r="AG7" s="82">
        <f t="shared" si="0"/>
        <v>0.54569892473118276</v>
      </c>
    </row>
    <row r="8" spans="1:33" ht="21.75" customHeight="1">
      <c r="A8" s="112" t="s">
        <v>65</v>
      </c>
      <c r="B8" s="107">
        <f>'01'!AD11</f>
        <v>0</v>
      </c>
      <c r="C8" s="107">
        <f>'02'!AD11</f>
        <v>0</v>
      </c>
      <c r="D8" s="80">
        <f>'03'!AD11</f>
        <v>0.95833333333333337</v>
      </c>
      <c r="E8" s="80">
        <f>'04'!AD11</f>
        <v>1</v>
      </c>
      <c r="F8" s="80"/>
      <c r="G8" s="80">
        <f>'06'!AD11</f>
        <v>0.33333333333333331</v>
      </c>
      <c r="H8" s="80">
        <f>'07'!AD11</f>
        <v>0</v>
      </c>
      <c r="I8" s="80">
        <f>'08'!AD12</f>
        <v>0</v>
      </c>
      <c r="J8" s="80">
        <f>'09'!AD11</f>
        <v>0.58333333333333337</v>
      </c>
      <c r="K8" s="80">
        <f>'10'!AD11</f>
        <v>0</v>
      </c>
      <c r="L8" s="80"/>
      <c r="M8" s="80"/>
      <c r="N8" s="80">
        <f>'13'!AD11</f>
        <v>0.875</v>
      </c>
      <c r="O8" s="80">
        <f>'14'!AD11</f>
        <v>1</v>
      </c>
      <c r="P8" s="80">
        <f>'15'!AD11+'15'!AD12</f>
        <v>0.95833333333333337</v>
      </c>
      <c r="Q8" s="80">
        <f>'16'!AD11</f>
        <v>1</v>
      </c>
      <c r="R8" s="80">
        <f>'17'!AD11</f>
        <v>0.45833333333333331</v>
      </c>
      <c r="S8" s="80"/>
      <c r="T8" s="80"/>
      <c r="U8" s="80">
        <f>'20'!AD11</f>
        <v>0.95833333333333337</v>
      </c>
      <c r="V8" s="80">
        <f>'21'!AD11</f>
        <v>1</v>
      </c>
      <c r="W8" s="80">
        <f>'22'!AD11</f>
        <v>0.58333333333333337</v>
      </c>
      <c r="X8" s="80">
        <f>'23'!AD12+'23'!AD13</f>
        <v>0.33333333333333331</v>
      </c>
      <c r="Y8" s="80">
        <f>'24'!AD11</f>
        <v>0</v>
      </c>
      <c r="Z8" s="80"/>
      <c r="AA8" s="80"/>
      <c r="AB8" s="80">
        <f>'27'!AD11</f>
        <v>0</v>
      </c>
      <c r="AC8" s="80">
        <f>'28'!AD12</f>
        <v>1</v>
      </c>
      <c r="AD8" s="80">
        <f>'29'!AD11</f>
        <v>0.66666666666666663</v>
      </c>
      <c r="AE8" s="80">
        <f>'30'!AD11</f>
        <v>0.70833333333333337</v>
      </c>
      <c r="AF8" s="81">
        <f>'31'!AD11</f>
        <v>0.20833333333333334</v>
      </c>
      <c r="AG8" s="82">
        <f t="shared" si="0"/>
        <v>0.40725806451612911</v>
      </c>
    </row>
    <row r="9" spans="1:33" ht="21.75" customHeight="1">
      <c r="A9" s="112" t="s">
        <v>66</v>
      </c>
      <c r="B9" s="107">
        <f>'01'!AD12</f>
        <v>0.875</v>
      </c>
      <c r="C9" s="107">
        <f>'02'!AD12</f>
        <v>0.91666666666666663</v>
      </c>
      <c r="D9" s="80">
        <f>'03'!AD12+'03'!AD13</f>
        <v>0.91666666666666674</v>
      </c>
      <c r="E9" s="80">
        <f>'04'!AD12</f>
        <v>1</v>
      </c>
      <c r="F9" s="80"/>
      <c r="G9" s="80">
        <f>'06'!AD12</f>
        <v>1</v>
      </c>
      <c r="H9" s="80">
        <f>'07'!AD12</f>
        <v>1</v>
      </c>
      <c r="I9" s="80">
        <f>'08'!AD13</f>
        <v>0.83333333333333337</v>
      </c>
      <c r="J9" s="80">
        <f>'09'!AD12</f>
        <v>1</v>
      </c>
      <c r="K9" s="80">
        <f>'10'!AD12</f>
        <v>0.5</v>
      </c>
      <c r="L9" s="80"/>
      <c r="M9" s="80"/>
      <c r="N9" s="80">
        <f>'13'!AD12</f>
        <v>1</v>
      </c>
      <c r="O9" s="80">
        <f>'14'!AD12</f>
        <v>0.875</v>
      </c>
      <c r="P9" s="80">
        <f>'15'!AD13</f>
        <v>1</v>
      </c>
      <c r="Q9" s="80">
        <f>'16'!AD12</f>
        <v>1</v>
      </c>
      <c r="R9" s="80">
        <f>'17'!AD12</f>
        <v>0.45833333333333331</v>
      </c>
      <c r="S9" s="80"/>
      <c r="T9" s="80"/>
      <c r="U9" s="80">
        <f>'20'!AD12</f>
        <v>1</v>
      </c>
      <c r="V9" s="80">
        <f>'21'!AD12</f>
        <v>0.625</v>
      </c>
      <c r="W9" s="80">
        <f>'22'!AD12</f>
        <v>0.875</v>
      </c>
      <c r="X9" s="80">
        <f>'23'!AD14</f>
        <v>0.75</v>
      </c>
      <c r="Y9" s="80">
        <f>'24'!AD12</f>
        <v>1</v>
      </c>
      <c r="Z9" s="80"/>
      <c r="AA9" s="80"/>
      <c r="AB9" s="80">
        <f>'27'!AD12</f>
        <v>1</v>
      </c>
      <c r="AC9" s="80">
        <f>'28'!AD13</f>
        <v>0.45833333333333331</v>
      </c>
      <c r="AD9" s="80">
        <f>'29'!AD12</f>
        <v>1</v>
      </c>
      <c r="AE9" s="80">
        <f>'30'!AD12</f>
        <v>0</v>
      </c>
      <c r="AF9" s="81">
        <f>'31'!AD12</f>
        <v>0.31147216168020603</v>
      </c>
      <c r="AG9" s="82">
        <f t="shared" si="0"/>
        <v>0.62563888693592062</v>
      </c>
    </row>
    <row r="10" spans="1:33" ht="21.75" customHeight="1">
      <c r="A10" s="112" t="s">
        <v>67</v>
      </c>
      <c r="B10" s="107">
        <f>'01'!AD13</f>
        <v>0.70833333333333337</v>
      </c>
      <c r="C10" s="107">
        <f>'02'!AD13+'02'!AD14</f>
        <v>0.83333333333333337</v>
      </c>
      <c r="D10" s="80">
        <f>'03'!AD14+'03'!AD15</f>
        <v>0.83333333333333326</v>
      </c>
      <c r="E10" s="80">
        <f>'04'!AD13</f>
        <v>0</v>
      </c>
      <c r="F10" s="80"/>
      <c r="G10" s="80">
        <f>'06'!AD13</f>
        <v>0.75</v>
      </c>
      <c r="H10" s="80">
        <f>'07'!AD13</f>
        <v>9.9989485858479651E-2</v>
      </c>
      <c r="I10" s="80">
        <f>'08'!AD14</f>
        <v>1</v>
      </c>
      <c r="J10" s="80">
        <f>'09'!AD13</f>
        <v>1</v>
      </c>
      <c r="K10" s="80">
        <f>'10'!AD13</f>
        <v>1</v>
      </c>
      <c r="L10" s="80"/>
      <c r="M10" s="80"/>
      <c r="N10" s="80">
        <f>'13'!AD13</f>
        <v>0.16666666666666666</v>
      </c>
      <c r="O10" s="80">
        <f>'14'!AD13</f>
        <v>0.45833333333333331</v>
      </c>
      <c r="P10" s="80">
        <f>'15'!AD14</f>
        <v>0</v>
      </c>
      <c r="Q10" s="80">
        <f>'16'!AD13</f>
        <v>0</v>
      </c>
      <c r="R10" s="80">
        <f>'17'!AD13</f>
        <v>0</v>
      </c>
      <c r="S10" s="80"/>
      <c r="T10" s="80"/>
      <c r="U10" s="80">
        <f>'20'!AD13</f>
        <v>0.75</v>
      </c>
      <c r="V10" s="80">
        <f>'21'!AD13</f>
        <v>1</v>
      </c>
      <c r="W10" s="80">
        <f>'22'!AD13</f>
        <v>0.91666666666666663</v>
      </c>
      <c r="X10" s="80">
        <f>'23'!AD15</f>
        <v>0.54166666666666663</v>
      </c>
      <c r="Y10" s="80">
        <f>'24'!AD13+'24'!AD14+'24'!AD15</f>
        <v>0.74435897435897436</v>
      </c>
      <c r="Z10" s="80"/>
      <c r="AA10" s="80"/>
      <c r="AB10" s="80">
        <f>'27'!AD13</f>
        <v>1</v>
      </c>
      <c r="AC10" s="80">
        <f>'28'!AD14</f>
        <v>0</v>
      </c>
      <c r="AD10" s="80">
        <f>'29'!AD13</f>
        <v>0.41666666666666669</v>
      </c>
      <c r="AE10" s="80">
        <f>'30'!AD13</f>
        <v>0.45833333333333331</v>
      </c>
      <c r="AF10" s="81">
        <f>'31'!AD13</f>
        <v>0.625</v>
      </c>
      <c r="AG10" s="82">
        <f t="shared" si="0"/>
        <v>0.42911876753389633</v>
      </c>
    </row>
    <row r="11" spans="1:33" ht="21.75" customHeight="1">
      <c r="A11" s="119" t="s">
        <v>68</v>
      </c>
      <c r="B11" s="120">
        <f>'01'!AD14</f>
        <v>0</v>
      </c>
      <c r="C11" s="120">
        <f>'02'!AD15</f>
        <v>0</v>
      </c>
      <c r="D11" s="121">
        <f>'03'!AD16</f>
        <v>0.25</v>
      </c>
      <c r="E11" s="121">
        <f>'04'!AD14</f>
        <v>5.128205128205128E-2</v>
      </c>
      <c r="F11" s="121"/>
      <c r="G11" s="121">
        <f>'06'!AD14</f>
        <v>0</v>
      </c>
      <c r="H11" s="121">
        <f>'07'!AD14</f>
        <v>0</v>
      </c>
      <c r="I11" s="121">
        <f>'08'!AD15</f>
        <v>0</v>
      </c>
      <c r="J11" s="121">
        <f>'09'!AD14</f>
        <v>0</v>
      </c>
      <c r="K11" s="121">
        <f>'10'!AD14</f>
        <v>0</v>
      </c>
      <c r="L11" s="121"/>
      <c r="M11" s="121"/>
      <c r="N11" s="121">
        <f>'13'!AD14</f>
        <v>0</v>
      </c>
      <c r="O11" s="121">
        <f>'14'!AD14</f>
        <v>0</v>
      </c>
      <c r="P11" s="121">
        <f>'15'!AD15</f>
        <v>0</v>
      </c>
      <c r="Q11" s="121">
        <f>'16'!AD14</f>
        <v>0.25</v>
      </c>
      <c r="R11" s="121">
        <f>'17'!AD14</f>
        <v>0.33333333333333331</v>
      </c>
      <c r="S11" s="121"/>
      <c r="T11" s="121"/>
      <c r="U11" s="121">
        <f>'20'!AD14</f>
        <v>0</v>
      </c>
      <c r="V11" s="121">
        <f>'21'!AD14</f>
        <v>0</v>
      </c>
      <c r="W11" s="121">
        <f>'22'!AD14</f>
        <v>0</v>
      </c>
      <c r="X11" s="121">
        <f>'23'!AD16</f>
        <v>0</v>
      </c>
      <c r="Y11" s="121">
        <f>'24'!AD16</f>
        <v>0</v>
      </c>
      <c r="Z11" s="121"/>
      <c r="AA11" s="121"/>
      <c r="AB11" s="121">
        <f>'27'!AD14</f>
        <v>0.54166666666666663</v>
      </c>
      <c r="AC11" s="121">
        <f>'28'!AD15</f>
        <v>0.79166666666666663</v>
      </c>
      <c r="AD11" s="121">
        <f>'29'!AD14</f>
        <v>0</v>
      </c>
      <c r="AE11" s="121">
        <f>'30'!AD14</f>
        <v>0.375</v>
      </c>
      <c r="AF11" s="122">
        <f>'31'!AD14</f>
        <v>0.45833333333333331</v>
      </c>
      <c r="AG11" s="123">
        <f t="shared" si="0"/>
        <v>9.8428453267162944E-2</v>
      </c>
    </row>
    <row r="12" spans="1:33" ht="21.75" customHeight="1">
      <c r="A12" s="111" t="s">
        <v>69</v>
      </c>
      <c r="B12" s="106">
        <f>'01'!AD15</f>
        <v>0.33304093567251458</v>
      </c>
      <c r="C12" s="106">
        <f>'02'!AD16</f>
        <v>0</v>
      </c>
      <c r="D12" s="77">
        <f>'03'!AD17</f>
        <v>0</v>
      </c>
      <c r="E12" s="77">
        <f>'04'!AD15</f>
        <v>0</v>
      </c>
      <c r="F12" s="77"/>
      <c r="G12" s="77">
        <f>'06'!AD15</f>
        <v>0</v>
      </c>
      <c r="H12" s="77">
        <f>'07'!AD15</f>
        <v>0</v>
      </c>
      <c r="I12" s="77">
        <f>'08'!AD16</f>
        <v>0</v>
      </c>
      <c r="J12" s="77">
        <f>'09'!AD15</f>
        <v>0</v>
      </c>
      <c r="K12" s="77">
        <f>'10'!AD15</f>
        <v>0</v>
      </c>
      <c r="L12" s="77"/>
      <c r="M12" s="77"/>
      <c r="N12" s="77">
        <f>'13'!AD15</f>
        <v>0</v>
      </c>
      <c r="O12" s="77">
        <f>'14'!AD15</f>
        <v>0.54166666666666663</v>
      </c>
      <c r="P12" s="77">
        <f>'15'!AD16</f>
        <v>0.70833333333333337</v>
      </c>
      <c r="Q12" s="77">
        <f>'16'!AD15+'16'!AD16</f>
        <v>0.70833333333333326</v>
      </c>
      <c r="R12" s="77">
        <f>'17'!AD15</f>
        <v>0</v>
      </c>
      <c r="S12" s="77"/>
      <c r="T12" s="77"/>
      <c r="U12" s="77">
        <f>'20'!AD15</f>
        <v>0</v>
      </c>
      <c r="V12" s="77">
        <f>'21'!AD15</f>
        <v>0</v>
      </c>
      <c r="W12" s="77">
        <f>'22'!AD15</f>
        <v>0</v>
      </c>
      <c r="X12" s="77">
        <f>'23'!AD17</f>
        <v>0</v>
      </c>
      <c r="Y12" s="77">
        <f>'24'!AD17</f>
        <v>0</v>
      </c>
      <c r="Z12" s="77"/>
      <c r="AA12" s="77"/>
      <c r="AB12" s="77">
        <f>'27'!AD15</f>
        <v>0</v>
      </c>
      <c r="AC12" s="77">
        <f>'28'!AD16</f>
        <v>0</v>
      </c>
      <c r="AD12" s="77">
        <f>'29'!AD15</f>
        <v>0.83333333333333337</v>
      </c>
      <c r="AE12" s="77">
        <f>'30'!AD15</f>
        <v>1</v>
      </c>
      <c r="AF12" s="78">
        <f>'31'!AD15</f>
        <v>0.45833333333333331</v>
      </c>
      <c r="AG12" s="79">
        <f t="shared" si="0"/>
        <v>0.14784003018298436</v>
      </c>
    </row>
    <row r="13" spans="1:33" ht="21.75" customHeight="1">
      <c r="A13" s="111" t="s">
        <v>70</v>
      </c>
      <c r="B13" s="106">
        <f>'01'!AD16</f>
        <v>1</v>
      </c>
      <c r="C13" s="106">
        <f>'02'!AD17</f>
        <v>1</v>
      </c>
      <c r="D13" s="77">
        <f>'03'!AD18</f>
        <v>1</v>
      </c>
      <c r="E13" s="77">
        <f>'04'!AD16</f>
        <v>1</v>
      </c>
      <c r="F13" s="77"/>
      <c r="G13" s="77">
        <f>'06'!AD16</f>
        <v>0.83333333333333337</v>
      </c>
      <c r="H13" s="77">
        <f>'07'!AD16</f>
        <v>0.625</v>
      </c>
      <c r="I13" s="77">
        <f>'08'!AD17</f>
        <v>0</v>
      </c>
      <c r="J13" s="77">
        <f>'09'!AD16</f>
        <v>0</v>
      </c>
      <c r="K13" s="77">
        <f>'10'!AD16</f>
        <v>0</v>
      </c>
      <c r="L13" s="77"/>
      <c r="M13" s="77"/>
      <c r="N13" s="77">
        <f>'13'!AD16</f>
        <v>0</v>
      </c>
      <c r="O13" s="77">
        <f>'14'!AD16</f>
        <v>0</v>
      </c>
      <c r="P13" s="77">
        <f>'15'!AD17</f>
        <v>0</v>
      </c>
      <c r="Q13" s="77">
        <f>'16'!AD17</f>
        <v>0</v>
      </c>
      <c r="R13" s="77">
        <f>'17'!AD16</f>
        <v>0</v>
      </c>
      <c r="S13" s="77"/>
      <c r="T13" s="77"/>
      <c r="U13" s="77">
        <f>'20'!AD16</f>
        <v>0</v>
      </c>
      <c r="V13" s="77">
        <f>'21'!AD16</f>
        <v>0</v>
      </c>
      <c r="W13" s="77">
        <f>'22'!AD16</f>
        <v>0</v>
      </c>
      <c r="X13" s="77">
        <f>'23'!AD18</f>
        <v>0</v>
      </c>
      <c r="Y13" s="77">
        <f>'24'!AD18</f>
        <v>0</v>
      </c>
      <c r="Z13" s="77"/>
      <c r="AA13" s="77"/>
      <c r="AB13" s="77">
        <f>'27'!AD16</f>
        <v>0</v>
      </c>
      <c r="AC13" s="77">
        <f>'28'!AD17</f>
        <v>0.20833333333333334</v>
      </c>
      <c r="AD13" s="77">
        <f>'29'!AD16</f>
        <v>0.58333333333333337</v>
      </c>
      <c r="AE13" s="77">
        <f>'30'!AD16</f>
        <v>0.66666666666666663</v>
      </c>
      <c r="AF13" s="78">
        <f>'31'!AD16</f>
        <v>0.875</v>
      </c>
      <c r="AG13" s="79">
        <f t="shared" si="0"/>
        <v>0.25134408602150538</v>
      </c>
    </row>
    <row r="14" spans="1:33" ht="21.75" customHeight="1">
      <c r="A14" s="111" t="s">
        <v>71</v>
      </c>
      <c r="B14" s="106">
        <f>'01'!AD17</f>
        <v>0</v>
      </c>
      <c r="C14" s="106">
        <f>'02'!AD18</f>
        <v>0</v>
      </c>
      <c r="D14" s="77">
        <f>'03'!AD19</f>
        <v>0</v>
      </c>
      <c r="E14" s="77">
        <f>'04'!AD17</f>
        <v>0.41666666666666669</v>
      </c>
      <c r="F14" s="77"/>
      <c r="G14" s="77">
        <f>'06'!AD17</f>
        <v>0</v>
      </c>
      <c r="H14" s="77">
        <f>'07'!AD17</f>
        <v>0</v>
      </c>
      <c r="I14" s="77">
        <f>'08'!AD18</f>
        <v>0.375</v>
      </c>
      <c r="J14" s="77">
        <f>'09'!AD17</f>
        <v>0</v>
      </c>
      <c r="K14" s="77">
        <f>'10'!AD17</f>
        <v>0</v>
      </c>
      <c r="L14" s="77"/>
      <c r="M14" s="77"/>
      <c r="N14" s="77">
        <f>'13'!AD17</f>
        <v>0</v>
      </c>
      <c r="O14" s="77">
        <f>'14'!AD17</f>
        <v>0</v>
      </c>
      <c r="P14" s="77">
        <f>'15'!AD18</f>
        <v>0.875</v>
      </c>
      <c r="Q14" s="77">
        <f>'16'!AD18</f>
        <v>1</v>
      </c>
      <c r="R14" s="77">
        <f>'17'!AD17</f>
        <v>0</v>
      </c>
      <c r="S14" s="77"/>
      <c r="T14" s="77"/>
      <c r="U14" s="77">
        <f>'20'!AD17</f>
        <v>0.70833333333333337</v>
      </c>
      <c r="V14" s="77">
        <f>'21'!AD17</f>
        <v>0</v>
      </c>
      <c r="W14" s="77">
        <f>'22'!AD17</f>
        <v>0</v>
      </c>
      <c r="X14" s="77">
        <f>'23'!AD19</f>
        <v>0.16666666666666666</v>
      </c>
      <c r="Y14" s="77">
        <f>'24'!AD19</f>
        <v>0</v>
      </c>
      <c r="Z14" s="77"/>
      <c r="AA14" s="77"/>
      <c r="AB14" s="77">
        <f>'27'!AD17+'27'!AD18</f>
        <v>0.70833333333333326</v>
      </c>
      <c r="AC14" s="77">
        <f>'28'!AD18</f>
        <v>0.20833333333333334</v>
      </c>
      <c r="AD14" s="77">
        <f>'29'!AD17</f>
        <v>0</v>
      </c>
      <c r="AE14" s="77">
        <f>'30'!AD17</f>
        <v>0</v>
      </c>
      <c r="AF14" s="78">
        <f>'31'!AD17</f>
        <v>0.45833333333333331</v>
      </c>
      <c r="AG14" s="79">
        <f t="shared" si="0"/>
        <v>0.15860215053763438</v>
      </c>
    </row>
    <row r="15" spans="1:33" ht="21.75" customHeight="1">
      <c r="A15" s="112" t="s">
        <v>72</v>
      </c>
      <c r="B15" s="107">
        <f>'01'!AD18</f>
        <v>0.5</v>
      </c>
      <c r="C15" s="107">
        <f>'02'!AD19</f>
        <v>1</v>
      </c>
      <c r="D15" s="80">
        <f>'03'!AD20</f>
        <v>1</v>
      </c>
      <c r="E15" s="80">
        <f>'04'!AD18+'04'!AD19</f>
        <v>0.91666666666666674</v>
      </c>
      <c r="F15" s="80"/>
      <c r="G15" s="80">
        <f>'06'!AD18</f>
        <v>0.95833333333333337</v>
      </c>
      <c r="H15" s="80">
        <f>'07'!AD18</f>
        <v>0.95833333333333337</v>
      </c>
      <c r="I15" s="80">
        <f>'08'!AD19</f>
        <v>1</v>
      </c>
      <c r="J15" s="80">
        <f>'09'!AD18</f>
        <v>0.29166666666666669</v>
      </c>
      <c r="K15" s="80">
        <f>'10'!AD18</f>
        <v>0.375</v>
      </c>
      <c r="L15" s="80"/>
      <c r="M15" s="80"/>
      <c r="N15" s="80">
        <f>'13'!AD18</f>
        <v>0.79166666666666663</v>
      </c>
      <c r="O15" s="80">
        <f>'14'!AD18</f>
        <v>1</v>
      </c>
      <c r="P15" s="80">
        <f>'15'!AD19</f>
        <v>1</v>
      </c>
      <c r="Q15" s="80">
        <f>'16'!AD19</f>
        <v>0.54166666666666663</v>
      </c>
      <c r="R15" s="80">
        <f>'17'!AD18</f>
        <v>0</v>
      </c>
      <c r="S15" s="80"/>
      <c r="T15" s="80"/>
      <c r="U15" s="80">
        <f>'20'!AD18</f>
        <v>0.83333333333333337</v>
      </c>
      <c r="V15" s="80">
        <f>'21'!AD18</f>
        <v>0.41666666666666669</v>
      </c>
      <c r="W15" s="80">
        <f>'22'!AD18</f>
        <v>0.66666666666666663</v>
      </c>
      <c r="X15" s="80">
        <f>'23'!AD20</f>
        <v>0.58333333333333337</v>
      </c>
      <c r="Y15" s="80">
        <f>'24'!AD20+'24'!AD21</f>
        <v>0.375</v>
      </c>
      <c r="Z15" s="80"/>
      <c r="AA15" s="80"/>
      <c r="AB15" s="80">
        <f>'27'!AD19</f>
        <v>0.54166666666666663</v>
      </c>
      <c r="AC15" s="80">
        <f>'28'!AD19</f>
        <v>0.625</v>
      </c>
      <c r="AD15" s="80">
        <f>'29'!AD18</f>
        <v>1</v>
      </c>
      <c r="AE15" s="80">
        <f>'30'!AD18</f>
        <v>1</v>
      </c>
      <c r="AF15" s="81">
        <f>'31'!AD18</f>
        <v>0.70833333333333337</v>
      </c>
      <c r="AG15" s="82">
        <f t="shared" si="0"/>
        <v>0.55107526881720426</v>
      </c>
    </row>
    <row r="16" spans="1:33" ht="21.75" customHeight="1">
      <c r="A16" s="112" t="s">
        <v>73</v>
      </c>
      <c r="B16" s="107">
        <f>'01'!AD19</f>
        <v>0.79166666666666663</v>
      </c>
      <c r="C16" s="107">
        <f>'02'!AD20</f>
        <v>1</v>
      </c>
      <c r="D16" s="80">
        <f>'03'!AD21</f>
        <v>0.41666666666666669</v>
      </c>
      <c r="E16" s="80">
        <f>'04'!AD20</f>
        <v>0.41666666666666669</v>
      </c>
      <c r="F16" s="80"/>
      <c r="G16" s="80">
        <f>'06'!AD19+'06'!AD20</f>
        <v>0.91666666666666674</v>
      </c>
      <c r="H16" s="80">
        <f>'07'!AD19</f>
        <v>0.70833333333333337</v>
      </c>
      <c r="I16" s="80">
        <f>'08'!AD20</f>
        <v>0.95833333333333337</v>
      </c>
      <c r="J16" s="80">
        <f>'09'!AD19</f>
        <v>0.91666666666666663</v>
      </c>
      <c r="K16" s="80">
        <f>'10'!AD19</f>
        <v>0.95833333333333337</v>
      </c>
      <c r="L16" s="80"/>
      <c r="M16" s="80"/>
      <c r="N16" s="80">
        <f>'13'!AD19</f>
        <v>1</v>
      </c>
      <c r="O16" s="80">
        <f>'14'!AD19</f>
        <v>1</v>
      </c>
      <c r="P16" s="80">
        <f>'15'!AD20</f>
        <v>0.83333333333333337</v>
      </c>
      <c r="Q16" s="80">
        <f>'16'!AD20</f>
        <v>0</v>
      </c>
      <c r="R16" s="80">
        <f>'17'!AD19</f>
        <v>0</v>
      </c>
      <c r="S16" s="80"/>
      <c r="T16" s="80"/>
      <c r="U16" s="80">
        <f>'20'!AD19</f>
        <v>0.54166666666666663</v>
      </c>
      <c r="V16" s="80">
        <f>'21'!AD19</f>
        <v>0</v>
      </c>
      <c r="W16" s="80">
        <f>'22'!AD19</f>
        <v>0.70833333333333337</v>
      </c>
      <c r="X16" s="80">
        <f>'23'!AD21+'23'!AD22+'23'!AD23+'23'!AD24</f>
        <v>0.66666666666666663</v>
      </c>
      <c r="Y16" s="80">
        <f>'24'!AD22+'24'!AD23+'24'!AD24</f>
        <v>0.5</v>
      </c>
      <c r="Z16" s="80"/>
      <c r="AA16" s="80"/>
      <c r="AB16" s="80">
        <f>'27'!AD20</f>
        <v>1</v>
      </c>
      <c r="AC16" s="80">
        <f>'28'!AD20</f>
        <v>0.79166666666666663</v>
      </c>
      <c r="AD16" s="80">
        <f>'29'!AD19</f>
        <v>0.91666666666666663</v>
      </c>
      <c r="AE16" s="80">
        <f>'30'!AD19</f>
        <v>1</v>
      </c>
      <c r="AF16" s="81">
        <f>'31'!AD19</f>
        <v>1</v>
      </c>
      <c r="AG16" s="82">
        <f t="shared" si="0"/>
        <v>0.54973118279569888</v>
      </c>
    </row>
    <row r="17" spans="1:33" ht="21.75" customHeight="1" thickBot="1">
      <c r="A17" s="113" t="s">
        <v>111</v>
      </c>
      <c r="B17" s="108">
        <f>'01'!AD20</f>
        <v>0</v>
      </c>
      <c r="C17" s="108">
        <f>'02'!AD21</f>
        <v>0.41666666666666669</v>
      </c>
      <c r="D17" s="83">
        <f>'03'!AD22</f>
        <v>0.54166666666666663</v>
      </c>
      <c r="E17" s="83">
        <f>'04'!AD21</f>
        <v>0</v>
      </c>
      <c r="F17" s="83"/>
      <c r="G17" s="83">
        <f>'06'!AD21</f>
        <v>0.58333333333333337</v>
      </c>
      <c r="H17" s="83">
        <f>'07'!AD20</f>
        <v>0.58333333333333337</v>
      </c>
      <c r="I17" s="83">
        <f>'08'!AD21</f>
        <v>0.58333333333333337</v>
      </c>
      <c r="J17" s="83">
        <f>'09'!AD20</f>
        <v>0.58333333333333337</v>
      </c>
      <c r="K17" s="83">
        <f>'10'!AD20</f>
        <v>0.58333333333333337</v>
      </c>
      <c r="L17" s="83"/>
      <c r="M17" s="83"/>
      <c r="N17" s="83">
        <f>'13'!AD20</f>
        <v>0.58333333333333337</v>
      </c>
      <c r="O17" s="83">
        <f>'14'!AD20</f>
        <v>0.58333333333333337</v>
      </c>
      <c r="P17" s="83">
        <f>'15'!AD21</f>
        <v>0.58333333333333337</v>
      </c>
      <c r="Q17" s="83">
        <f>'16'!AD21</f>
        <v>1</v>
      </c>
      <c r="R17" s="83">
        <f>'17'!AD20</f>
        <v>0.45833333333333331</v>
      </c>
      <c r="S17" s="83"/>
      <c r="T17" s="83"/>
      <c r="U17" s="83">
        <f>'20'!AD20</f>
        <v>0.60134076118436741</v>
      </c>
      <c r="V17" s="83">
        <f>'21'!AD20</f>
        <v>0.58333333333333337</v>
      </c>
      <c r="W17" s="83">
        <f>'22'!AD20</f>
        <v>0.58333333333333337</v>
      </c>
      <c r="X17" s="83">
        <f>'23'!AD25</f>
        <v>1</v>
      </c>
      <c r="Y17" s="83">
        <f>'24'!AD25</f>
        <v>1</v>
      </c>
      <c r="Z17" s="83"/>
      <c r="AA17" s="83"/>
      <c r="AB17" s="83">
        <f>'27'!AD21</f>
        <v>0.16666666666666666</v>
      </c>
      <c r="AC17" s="83">
        <f>'28'!AD21</f>
        <v>0</v>
      </c>
      <c r="AD17" s="83">
        <f>'29'!AD20</f>
        <v>0</v>
      </c>
      <c r="AE17" s="83">
        <f>'30'!AD20</f>
        <v>0</v>
      </c>
      <c r="AF17" s="84">
        <f>'31'!AD20</f>
        <v>0.54166666666666663</v>
      </c>
      <c r="AG17" s="85">
        <f t="shared" si="0"/>
        <v>0.37289271272637742</v>
      </c>
    </row>
    <row r="18" spans="1:33" s="86" customFormat="1" ht="21.75" customHeight="1">
      <c r="A18" s="90" t="s">
        <v>105</v>
      </c>
      <c r="B18" s="94">
        <f>'01'!AD21</f>
        <v>0.46386939571150099</v>
      </c>
      <c r="C18" s="94">
        <f>'02'!AD22</f>
        <v>0.46111111111111114</v>
      </c>
      <c r="D18" s="95">
        <f>'03'!AD23</f>
        <v>0.57222222222222219</v>
      </c>
      <c r="E18" s="95">
        <f>'04'!AD22</f>
        <v>0.49508547008547016</v>
      </c>
      <c r="F18" s="95"/>
      <c r="G18" s="95">
        <f>'06'!AD22</f>
        <v>0.5083333333333333</v>
      </c>
      <c r="H18" s="95">
        <f>'07'!AD21</f>
        <v>0.4177770768350097</v>
      </c>
      <c r="I18" s="95">
        <f>'08'!AD22</f>
        <v>0.45</v>
      </c>
      <c r="J18" s="95">
        <f>'09'!AD21</f>
        <v>0.43888888888888894</v>
      </c>
      <c r="K18" s="95">
        <f>'10'!AD21</f>
        <v>0.38888888888888878</v>
      </c>
      <c r="L18" s="95"/>
      <c r="M18" s="95"/>
      <c r="N18" s="95">
        <f>'13'!AD21</f>
        <v>0.41111111111111109</v>
      </c>
      <c r="O18" s="95">
        <f>'14'!AD21</f>
        <v>0.53333333333333333</v>
      </c>
      <c r="P18" s="95">
        <f>'15'!AD22</f>
        <v>0.46111111111111108</v>
      </c>
      <c r="Q18" s="95">
        <f>'16'!AD22</f>
        <v>0.41666666666666674</v>
      </c>
      <c r="R18" s="95">
        <f>'17'!AD21</f>
        <v>0.11388888888888889</v>
      </c>
      <c r="S18" s="95"/>
      <c r="T18" s="95"/>
      <c r="U18" s="95">
        <f>'20'!AD21</f>
        <v>0.40953382852340231</v>
      </c>
      <c r="V18" s="95">
        <f>'21'!AD21</f>
        <v>0.30833333333333335</v>
      </c>
      <c r="W18" s="95">
        <f>'22'!AD21</f>
        <v>0.4</v>
      </c>
      <c r="X18" s="95">
        <f>'23'!AD26</f>
        <v>0.38055555555555559</v>
      </c>
      <c r="Y18" s="95">
        <f>'24'!AD26</f>
        <v>0.33573504273504273</v>
      </c>
      <c r="Z18" s="95"/>
      <c r="AA18" s="95"/>
      <c r="AB18" s="95">
        <f>'27'!AD22</f>
        <v>0.42500000000000004</v>
      </c>
      <c r="AC18" s="95">
        <f>'28'!AD22</f>
        <v>0.44722222222222219</v>
      </c>
      <c r="AD18" s="95">
        <f>'29'!AD21</f>
        <v>0.52777777777777779</v>
      </c>
      <c r="AE18" s="95">
        <f>'30'!AD21</f>
        <v>0.49444444444444446</v>
      </c>
      <c r="AF18" s="96">
        <f>'31'!AD21</f>
        <v>0.52909814411201372</v>
      </c>
      <c r="AG18" s="99">
        <f t="shared" si="0"/>
        <v>0.33516089828681717</v>
      </c>
    </row>
    <row r="19" spans="1:33" ht="21.75" customHeight="1" thickBot="1">
      <c r="A19" s="69" t="s">
        <v>109</v>
      </c>
      <c r="B19" s="70">
        <v>0.7</v>
      </c>
      <c r="C19" s="71">
        <v>0.7</v>
      </c>
      <c r="D19" s="71">
        <v>0.7</v>
      </c>
      <c r="E19" s="71">
        <v>0.7</v>
      </c>
      <c r="F19" s="71">
        <v>0.7</v>
      </c>
      <c r="G19" s="71">
        <v>0.7</v>
      </c>
      <c r="H19" s="71">
        <v>0.7</v>
      </c>
      <c r="I19" s="71">
        <v>0.7</v>
      </c>
      <c r="J19" s="71">
        <v>0.7</v>
      </c>
      <c r="K19" s="71">
        <v>0.7</v>
      </c>
      <c r="L19" s="71">
        <v>0.7</v>
      </c>
      <c r="M19" s="71">
        <v>0.7</v>
      </c>
      <c r="N19" s="71">
        <v>0.7</v>
      </c>
      <c r="O19" s="71">
        <v>0.7</v>
      </c>
      <c r="P19" s="71">
        <v>0.7</v>
      </c>
      <c r="Q19" s="71">
        <v>0.7</v>
      </c>
      <c r="R19" s="71">
        <v>0.7</v>
      </c>
      <c r="S19" s="71">
        <v>0.7</v>
      </c>
      <c r="T19" s="71">
        <v>0.7</v>
      </c>
      <c r="U19" s="71">
        <v>0.7</v>
      </c>
      <c r="V19" s="71">
        <v>0.7</v>
      </c>
      <c r="W19" s="71">
        <v>0.7</v>
      </c>
      <c r="X19" s="71">
        <v>0.7</v>
      </c>
      <c r="Y19" s="71">
        <v>0.7</v>
      </c>
      <c r="Z19" s="71">
        <v>0.7</v>
      </c>
      <c r="AA19" s="71">
        <v>0.7</v>
      </c>
      <c r="AB19" s="71">
        <v>0.7</v>
      </c>
      <c r="AC19" s="71">
        <v>0.7</v>
      </c>
      <c r="AD19" s="71">
        <v>0.7</v>
      </c>
      <c r="AE19" s="71">
        <v>0.7</v>
      </c>
      <c r="AF19" s="72">
        <v>0.7</v>
      </c>
      <c r="AG19" s="73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CA57-C18A-483F-80D2-AACB29D70818}">
  <sheetPr>
    <pageSetUpPr fitToPage="1"/>
  </sheetPr>
  <dimension ref="A1:AF86"/>
  <sheetViews>
    <sheetView zoomScale="72" zoomScaleNormal="72" zoomScaleSheetLayoutView="70" workbookViewId="0">
      <selection activeCell="C19" sqref="C19:H19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170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135" t="s">
        <v>17</v>
      </c>
      <c r="L5" s="135" t="s">
        <v>18</v>
      </c>
      <c r="M5" s="135" t="s">
        <v>19</v>
      </c>
      <c r="N5" s="13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0.46386939571150099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0.46386939571150099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127</v>
      </c>
      <c r="F8" s="30" t="s">
        <v>124</v>
      </c>
      <c r="G8" s="33">
        <v>1</v>
      </c>
      <c r="H8" s="35">
        <v>24</v>
      </c>
      <c r="I8" s="7">
        <v>22000</v>
      </c>
      <c r="J8" s="5">
        <v>5296</v>
      </c>
      <c r="K8" s="15">
        <f>L8+3695+4307+3354+2397+5399+3847</f>
        <v>28295</v>
      </c>
      <c r="L8" s="15">
        <f>2832+110+2354</f>
        <v>5296</v>
      </c>
      <c r="M8" s="15">
        <f t="shared" si="1"/>
        <v>5296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0.46386939571150099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4130</v>
      </c>
      <c r="K9" s="15">
        <f>L9+2483+2720+3334+3355+5508+204+4399+3307+5387</f>
        <v>34827</v>
      </c>
      <c r="L9" s="15">
        <f>1196+2934</f>
        <v>4130</v>
      </c>
      <c r="M9" s="15">
        <f t="shared" si="1"/>
        <v>4130</v>
      </c>
      <c r="N9" s="15">
        <v>0</v>
      </c>
      <c r="O9" s="58">
        <f t="shared" si="2"/>
        <v>0</v>
      </c>
      <c r="P9" s="39">
        <f t="shared" si="3"/>
        <v>22</v>
      </c>
      <c r="Q9" s="40">
        <f t="shared" si="4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0.91666666666666663</v>
      </c>
      <c r="AD9" s="10">
        <f t="shared" si="7"/>
        <v>0.91666666666666663</v>
      </c>
      <c r="AE9" s="36">
        <f t="shared" si="8"/>
        <v>0.46386939571150099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154</v>
      </c>
      <c r="D10" s="52" t="s">
        <v>158</v>
      </c>
      <c r="E10" s="53" t="s">
        <v>159</v>
      </c>
      <c r="F10" s="30" t="s">
        <v>122</v>
      </c>
      <c r="G10" s="33">
        <v>1</v>
      </c>
      <c r="H10" s="35">
        <v>24</v>
      </c>
      <c r="I10" s="7">
        <v>75000</v>
      </c>
      <c r="J10" s="5">
        <v>8836</v>
      </c>
      <c r="K10" s="15">
        <f>L10+4000+2801+4378+6093+3959+7386+10861+4645</f>
        <v>52959</v>
      </c>
      <c r="L10" s="15">
        <f>4354+2241*2</f>
        <v>8836</v>
      </c>
      <c r="M10" s="15">
        <f t="shared" si="1"/>
        <v>8836</v>
      </c>
      <c r="N10" s="15">
        <v>0</v>
      </c>
      <c r="O10" s="58">
        <f t="shared" si="2"/>
        <v>0</v>
      </c>
      <c r="P10" s="39">
        <f t="shared" si="3"/>
        <v>20</v>
      </c>
      <c r="Q10" s="40">
        <f t="shared" si="4"/>
        <v>4</v>
      </c>
      <c r="R10" s="7"/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0.83333333333333337</v>
      </c>
      <c r="AD10" s="10">
        <f>AC10*AB10*(1-O10)</f>
        <v>0.83333333333333337</v>
      </c>
      <c r="AE10" s="36">
        <f t="shared" si="8"/>
        <v>0.46386939571150099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129</v>
      </c>
      <c r="E11" s="53" t="s">
        <v>131</v>
      </c>
      <c r="F11" s="12" t="s">
        <v>132</v>
      </c>
      <c r="G11" s="12">
        <v>1</v>
      </c>
      <c r="H11" s="13">
        <v>24</v>
      </c>
      <c r="I11" s="7">
        <v>4000</v>
      </c>
      <c r="J11" s="14">
        <v>542</v>
      </c>
      <c r="K11" s="15">
        <f>L11+4550+5818+542</f>
        <v>10910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0.46386939571150099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130</v>
      </c>
      <c r="F12" s="30" t="s">
        <v>122</v>
      </c>
      <c r="G12" s="33">
        <v>1</v>
      </c>
      <c r="H12" s="35">
        <v>20</v>
      </c>
      <c r="I12" s="7">
        <v>10000</v>
      </c>
      <c r="J12" s="14">
        <v>4238</v>
      </c>
      <c r="K12" s="15">
        <f>L12+2164</f>
        <v>6402</v>
      </c>
      <c r="L12" s="15">
        <f>2823+1415</f>
        <v>4238</v>
      </c>
      <c r="M12" s="15">
        <f t="shared" si="1"/>
        <v>4238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si="7"/>
        <v>0.875</v>
      </c>
      <c r="AE12" s="36">
        <f t="shared" si="8"/>
        <v>0.46386939571150099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154</v>
      </c>
      <c r="D13" s="52" t="s">
        <v>157</v>
      </c>
      <c r="E13" s="53" t="s">
        <v>169</v>
      </c>
      <c r="F13" s="30" t="s">
        <v>153</v>
      </c>
      <c r="G13" s="33">
        <v>1</v>
      </c>
      <c r="H13" s="35">
        <v>24</v>
      </c>
      <c r="I13" s="7">
        <v>2100</v>
      </c>
      <c r="J13" s="14">
        <v>2733</v>
      </c>
      <c r="K13" s="15">
        <f>L13</f>
        <v>2733</v>
      </c>
      <c r="L13" s="15">
        <f>580+2153</f>
        <v>2733</v>
      </c>
      <c r="M13" s="15">
        <f t="shared" si="1"/>
        <v>2733</v>
      </c>
      <c r="N13" s="15">
        <v>0</v>
      </c>
      <c r="O13" s="58">
        <f t="shared" si="2"/>
        <v>0</v>
      </c>
      <c r="P13" s="39">
        <f t="shared" si="3"/>
        <v>17</v>
      </c>
      <c r="Q13" s="40">
        <f t="shared" si="4"/>
        <v>7</v>
      </c>
      <c r="R13" s="7"/>
      <c r="S13" s="6"/>
      <c r="T13" s="16">
        <v>3</v>
      </c>
      <c r="U13" s="16"/>
      <c r="V13" s="17"/>
      <c r="W13" s="5">
        <v>4</v>
      </c>
      <c r="X13" s="16"/>
      <c r="Y13" s="16"/>
      <c r="Z13" s="16"/>
      <c r="AA13" s="18"/>
      <c r="AB13" s="8">
        <f t="shared" si="5"/>
        <v>1</v>
      </c>
      <c r="AC13" s="9">
        <f t="shared" si="6"/>
        <v>0.70833333333333337</v>
      </c>
      <c r="AD13" s="10">
        <f t="shared" si="7"/>
        <v>0.70833333333333337</v>
      </c>
      <c r="AE13" s="36">
        <f t="shared" si="8"/>
        <v>0.46386939571150099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165</v>
      </c>
      <c r="F14" s="30" t="s">
        <v>128</v>
      </c>
      <c r="G14" s="33">
        <v>1</v>
      </c>
      <c r="H14" s="35">
        <v>40</v>
      </c>
      <c r="I14" s="7">
        <v>100</v>
      </c>
      <c r="J14" s="5">
        <v>110</v>
      </c>
      <c r="K14" s="15">
        <f>L14+110</f>
        <v>110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0.46386939571150099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167</v>
      </c>
      <c r="F15" s="12">
        <v>8301</v>
      </c>
      <c r="G15" s="12">
        <v>1</v>
      </c>
      <c r="H15" s="13">
        <v>24</v>
      </c>
      <c r="I15" s="31">
        <v>2000</v>
      </c>
      <c r="J15" s="14">
        <v>1140</v>
      </c>
      <c r="K15" s="15">
        <f>L15+1150</f>
        <v>2289</v>
      </c>
      <c r="L15" s="15">
        <v>1139</v>
      </c>
      <c r="M15" s="15">
        <f t="shared" ref="M15" si="10">L15-N15</f>
        <v>1139</v>
      </c>
      <c r="N15" s="15">
        <v>0</v>
      </c>
      <c r="O15" s="58">
        <f t="shared" ref="O15" si="11">IF(L15=0,"0",N15/L15)</f>
        <v>0</v>
      </c>
      <c r="P15" s="39">
        <f t="shared" ref="P15" si="12">IF(L15=0,"0",(24-Q15))</f>
        <v>8</v>
      </c>
      <c r="Q15" s="40">
        <f t="shared" ref="Q15" si="13">SUM(R15:AA15)</f>
        <v>16</v>
      </c>
      <c r="R15" s="7"/>
      <c r="S15" s="6"/>
      <c r="T15" s="16">
        <v>16</v>
      </c>
      <c r="U15" s="16"/>
      <c r="V15" s="17"/>
      <c r="W15" s="5"/>
      <c r="X15" s="16"/>
      <c r="Y15" s="16"/>
      <c r="Z15" s="16"/>
      <c r="AA15" s="18"/>
      <c r="AB15" s="8">
        <f t="shared" ref="AB15" si="14">IF(J15=0,"0",(L15/J15))</f>
        <v>0.99912280701754386</v>
      </c>
      <c r="AC15" s="9">
        <f t="shared" ref="AC15" si="15">IF(P15=0,"0",(P15/24))</f>
        <v>0.33333333333333331</v>
      </c>
      <c r="AD15" s="10">
        <f t="shared" ref="AD15" si="16">AC15*AB15*(1-O15)</f>
        <v>0.33304093567251458</v>
      </c>
      <c r="AE15" s="36">
        <f t="shared" si="8"/>
        <v>0.46386939571150099</v>
      </c>
      <c r="AF15" s="87">
        <f t="shared" ref="AF15" si="17">A15</f>
        <v>10</v>
      </c>
    </row>
    <row r="16" spans="1:32" ht="30" customHeight="1">
      <c r="A16" s="102">
        <v>11</v>
      </c>
      <c r="B16" s="11" t="s">
        <v>57</v>
      </c>
      <c r="C16" s="11" t="s">
        <v>126</v>
      </c>
      <c r="D16" s="52" t="s">
        <v>143</v>
      </c>
      <c r="E16" s="53" t="s">
        <v>164</v>
      </c>
      <c r="F16" s="12" t="s">
        <v>144</v>
      </c>
      <c r="G16" s="12">
        <v>1</v>
      </c>
      <c r="H16" s="13">
        <v>24</v>
      </c>
      <c r="I16" s="7">
        <v>60000</v>
      </c>
      <c r="J16" s="14">
        <v>5389</v>
      </c>
      <c r="K16" s="15">
        <f>L16+2357+5213+5517+5420+5503+5457+5438+2407+5322+5509</f>
        <v>53532</v>
      </c>
      <c r="L16" s="15">
        <f>2951+2438</f>
        <v>5389</v>
      </c>
      <c r="M16" s="15">
        <f t="shared" si="1"/>
        <v>5389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0.46386939571150099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125</v>
      </c>
      <c r="E17" s="53" t="s">
        <v>152</v>
      </c>
      <c r="F17" s="12" t="s">
        <v>155</v>
      </c>
      <c r="G17" s="12">
        <v>1</v>
      </c>
      <c r="H17" s="13">
        <v>24</v>
      </c>
      <c r="I17" s="31">
        <v>2000</v>
      </c>
      <c r="J17" s="14">
        <v>3034</v>
      </c>
      <c r="K17" s="15">
        <f>L17+3034</f>
        <v>3034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0.46386939571150099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146</v>
      </c>
      <c r="E18" s="53" t="s">
        <v>171</v>
      </c>
      <c r="F18" s="30" t="s">
        <v>156</v>
      </c>
      <c r="G18" s="33">
        <v>1</v>
      </c>
      <c r="H18" s="35">
        <v>24</v>
      </c>
      <c r="I18" s="7">
        <v>2000</v>
      </c>
      <c r="J18" s="5">
        <v>3186</v>
      </c>
      <c r="K18" s="15">
        <f>L18</f>
        <v>3186</v>
      </c>
      <c r="L18" s="15">
        <f>487*2+1106*2</f>
        <v>3186</v>
      </c>
      <c r="M18" s="15">
        <f t="shared" si="1"/>
        <v>3186</v>
      </c>
      <c r="N18" s="15">
        <v>0</v>
      </c>
      <c r="O18" s="58">
        <f t="shared" si="2"/>
        <v>0</v>
      </c>
      <c r="P18" s="39">
        <f t="shared" si="3"/>
        <v>12</v>
      </c>
      <c r="Q18" s="40">
        <f t="shared" si="4"/>
        <v>12</v>
      </c>
      <c r="R18" s="7"/>
      <c r="S18" s="6"/>
      <c r="T18" s="16"/>
      <c r="U18" s="16"/>
      <c r="V18" s="17"/>
      <c r="W18" s="5">
        <v>12</v>
      </c>
      <c r="X18" s="16"/>
      <c r="Y18" s="16"/>
      <c r="Z18" s="16"/>
      <c r="AA18" s="18"/>
      <c r="AB18" s="8">
        <f t="shared" si="5"/>
        <v>1</v>
      </c>
      <c r="AC18" s="9">
        <f t="shared" si="6"/>
        <v>0.5</v>
      </c>
      <c r="AD18" s="10">
        <f>AC18*AB18*(1-O18)</f>
        <v>0.5</v>
      </c>
      <c r="AE18" s="36">
        <f t="shared" si="8"/>
        <v>0.46386939571150099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154</v>
      </c>
      <c r="D19" s="52" t="s">
        <v>163</v>
      </c>
      <c r="E19" s="53" t="s">
        <v>160</v>
      </c>
      <c r="F19" s="30" t="s">
        <v>122</v>
      </c>
      <c r="G19" s="33" t="s">
        <v>145</v>
      </c>
      <c r="H19" s="35">
        <v>20</v>
      </c>
      <c r="I19" s="7">
        <v>24000</v>
      </c>
      <c r="J19" s="14">
        <v>4317</v>
      </c>
      <c r="K19" s="15">
        <f>L19+2858+3260+3809+4479+5691+802+2489+3500+2676</f>
        <v>33881</v>
      </c>
      <c r="L19" s="15">
        <f>993+3324</f>
        <v>4317</v>
      </c>
      <c r="M19" s="15">
        <f t="shared" si="1"/>
        <v>4317</v>
      </c>
      <c r="N19" s="15">
        <v>0</v>
      </c>
      <c r="O19" s="58">
        <f t="shared" si="2"/>
        <v>0</v>
      </c>
      <c r="P19" s="39">
        <f t="shared" si="3"/>
        <v>19</v>
      </c>
      <c r="Q19" s="40">
        <f t="shared" si="4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0.79166666666666663</v>
      </c>
      <c r="AD19" s="10">
        <f t="shared" ref="AD19" si="18">AC19*AB19*(1-O19)</f>
        <v>0.79166666666666663</v>
      </c>
      <c r="AE19" s="36">
        <f t="shared" si="8"/>
        <v>0.46386939571150099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133</v>
      </c>
      <c r="F20" s="12" t="s">
        <v>116</v>
      </c>
      <c r="G20" s="12">
        <v>4</v>
      </c>
      <c r="H20" s="35">
        <v>20</v>
      </c>
      <c r="I20" s="7">
        <v>200000</v>
      </c>
      <c r="J20" s="14">
        <v>35468</v>
      </c>
      <c r="K20" s="15">
        <f>L20+30112+31888+35468</f>
        <v>97468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0.46386939571150099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9">SUM(I6:I20)</f>
        <v>463200</v>
      </c>
      <c r="J21" s="19">
        <f t="shared" si="19"/>
        <v>78419</v>
      </c>
      <c r="K21" s="20">
        <f t="shared" si="19"/>
        <v>329626</v>
      </c>
      <c r="L21" s="21">
        <f t="shared" si="19"/>
        <v>39264</v>
      </c>
      <c r="M21" s="20">
        <f t="shared" si="19"/>
        <v>39264</v>
      </c>
      <c r="N21" s="21">
        <f t="shared" si="19"/>
        <v>0</v>
      </c>
      <c r="O21" s="41">
        <f t="shared" si="2"/>
        <v>0</v>
      </c>
      <c r="P21" s="42">
        <f t="shared" ref="P21:AA21" si="20">SUM(P6:P20)</f>
        <v>167</v>
      </c>
      <c r="Q21" s="43">
        <f t="shared" si="20"/>
        <v>193</v>
      </c>
      <c r="R21" s="23">
        <f t="shared" si="20"/>
        <v>24</v>
      </c>
      <c r="S21" s="24">
        <f t="shared" si="20"/>
        <v>14</v>
      </c>
      <c r="T21" s="24">
        <f t="shared" si="20"/>
        <v>19</v>
      </c>
      <c r="U21" s="24">
        <f t="shared" si="20"/>
        <v>0</v>
      </c>
      <c r="V21" s="25">
        <f t="shared" si="20"/>
        <v>0</v>
      </c>
      <c r="W21" s="26">
        <f t="shared" si="20"/>
        <v>136</v>
      </c>
      <c r="X21" s="27">
        <f t="shared" si="20"/>
        <v>0</v>
      </c>
      <c r="Y21" s="27">
        <f t="shared" si="20"/>
        <v>0</v>
      </c>
      <c r="Z21" s="27">
        <f t="shared" si="20"/>
        <v>0</v>
      </c>
      <c r="AA21" s="27">
        <f t="shared" si="20"/>
        <v>0</v>
      </c>
      <c r="AB21" s="28">
        <f>SUM(AB6:AB20)/15</f>
        <v>0.59994152046783633</v>
      </c>
      <c r="AC21" s="4">
        <f>SUM(AC6:AC20)/15</f>
        <v>0.46388888888888885</v>
      </c>
      <c r="AD21" s="4">
        <f>SUM(AD6:AD20)/15</f>
        <v>0.46386939571150099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134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139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134" t="s">
        <v>46</v>
      </c>
      <c r="D50" s="134" t="s">
        <v>47</v>
      </c>
      <c r="E50" s="134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134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137" t="s">
        <v>135</v>
      </c>
      <c r="D51" s="137" t="s">
        <v>157</v>
      </c>
      <c r="E51" s="137" t="s">
        <v>161</v>
      </c>
      <c r="F51" s="453" t="s">
        <v>137</v>
      </c>
      <c r="G51" s="454"/>
      <c r="H51" s="454"/>
      <c r="I51" s="454"/>
      <c r="J51" s="454"/>
      <c r="K51" s="454"/>
      <c r="L51" s="454"/>
      <c r="M51" s="455"/>
      <c r="N51" s="136" t="s">
        <v>154</v>
      </c>
      <c r="O51" s="138" t="s">
        <v>147</v>
      </c>
      <c r="P51" s="463" t="s">
        <v>168</v>
      </c>
      <c r="Q51" s="464"/>
      <c r="R51" s="452" t="s">
        <v>159</v>
      </c>
      <c r="S51" s="452"/>
      <c r="T51" s="452"/>
      <c r="U51" s="452"/>
      <c r="V51" s="442" t="s">
        <v>137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154</v>
      </c>
      <c r="B52" s="452"/>
      <c r="C52" s="137" t="s">
        <v>138</v>
      </c>
      <c r="D52" s="137" t="s">
        <v>166</v>
      </c>
      <c r="E52" s="137" t="s">
        <v>160</v>
      </c>
      <c r="F52" s="453" t="s">
        <v>137</v>
      </c>
      <c r="G52" s="454"/>
      <c r="H52" s="454"/>
      <c r="I52" s="454"/>
      <c r="J52" s="454"/>
      <c r="K52" s="454"/>
      <c r="L52" s="454"/>
      <c r="M52" s="455"/>
      <c r="N52" s="130" t="s">
        <v>126</v>
      </c>
      <c r="O52" s="128" t="s">
        <v>135</v>
      </c>
      <c r="P52" s="463" t="s">
        <v>157</v>
      </c>
      <c r="Q52" s="464"/>
      <c r="R52" s="452" t="s">
        <v>161</v>
      </c>
      <c r="S52" s="452"/>
      <c r="T52" s="452"/>
      <c r="U52" s="452"/>
      <c r="V52" s="442" t="s">
        <v>151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149</v>
      </c>
      <c r="B53" s="452"/>
      <c r="C53" s="137" t="s">
        <v>150</v>
      </c>
      <c r="D53" s="137"/>
      <c r="E53" s="137" t="s">
        <v>167</v>
      </c>
      <c r="F53" s="453" t="s">
        <v>121</v>
      </c>
      <c r="G53" s="454"/>
      <c r="H53" s="454"/>
      <c r="I53" s="454"/>
      <c r="J53" s="454"/>
      <c r="K53" s="454"/>
      <c r="L53" s="454"/>
      <c r="M53" s="455"/>
      <c r="N53" s="136" t="s">
        <v>114</v>
      </c>
      <c r="O53" s="138" t="s">
        <v>136</v>
      </c>
      <c r="P53" s="463" t="s">
        <v>117</v>
      </c>
      <c r="Q53" s="464"/>
      <c r="R53" s="452" t="s">
        <v>148</v>
      </c>
      <c r="S53" s="452"/>
      <c r="T53" s="452"/>
      <c r="U53" s="452"/>
      <c r="V53" s="442" t="s">
        <v>137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154</v>
      </c>
      <c r="B54" s="452"/>
      <c r="C54" s="137" t="s">
        <v>147</v>
      </c>
      <c r="D54" s="137" t="s">
        <v>168</v>
      </c>
      <c r="E54" s="137" t="s">
        <v>159</v>
      </c>
      <c r="F54" s="453" t="s">
        <v>173</v>
      </c>
      <c r="G54" s="454"/>
      <c r="H54" s="454"/>
      <c r="I54" s="454"/>
      <c r="J54" s="454"/>
      <c r="K54" s="454"/>
      <c r="L54" s="454"/>
      <c r="M54" s="455"/>
      <c r="N54" s="130" t="s">
        <v>185</v>
      </c>
      <c r="O54" s="128" t="s">
        <v>186</v>
      </c>
      <c r="P54" s="463"/>
      <c r="Q54" s="464"/>
      <c r="R54" s="452" t="s">
        <v>183</v>
      </c>
      <c r="S54" s="452"/>
      <c r="T54" s="452"/>
      <c r="U54" s="452"/>
      <c r="V54" s="442" t="s">
        <v>184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176</v>
      </c>
      <c r="B55" s="452"/>
      <c r="C55" s="131" t="s">
        <v>177</v>
      </c>
      <c r="D55" s="131" t="s">
        <v>178</v>
      </c>
      <c r="E55" s="131" t="s">
        <v>174</v>
      </c>
      <c r="F55" s="453" t="s">
        <v>175</v>
      </c>
      <c r="G55" s="454"/>
      <c r="H55" s="454"/>
      <c r="I55" s="454"/>
      <c r="J55" s="454"/>
      <c r="K55" s="454"/>
      <c r="L55" s="454"/>
      <c r="M55" s="455"/>
      <c r="N55" s="130" t="s">
        <v>126</v>
      </c>
      <c r="O55" s="128" t="s">
        <v>188</v>
      </c>
      <c r="P55" s="463" t="s">
        <v>189</v>
      </c>
      <c r="Q55" s="464"/>
      <c r="R55" s="452" t="s">
        <v>187</v>
      </c>
      <c r="S55" s="452"/>
      <c r="T55" s="452"/>
      <c r="U55" s="452"/>
      <c r="V55" s="442" t="s">
        <v>184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126</v>
      </c>
      <c r="B56" s="452"/>
      <c r="C56" s="131" t="s">
        <v>177</v>
      </c>
      <c r="D56" s="131" t="s">
        <v>179</v>
      </c>
      <c r="E56" s="131" t="s">
        <v>180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130"/>
      <c r="O56" s="128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154</v>
      </c>
      <c r="B57" s="452"/>
      <c r="C57" s="131" t="s">
        <v>182</v>
      </c>
      <c r="D57" s="131" t="s">
        <v>157</v>
      </c>
      <c r="E57" s="131" t="s">
        <v>181</v>
      </c>
      <c r="F57" s="453" t="s">
        <v>121</v>
      </c>
      <c r="G57" s="454"/>
      <c r="H57" s="454"/>
      <c r="I57" s="454"/>
      <c r="J57" s="454"/>
      <c r="K57" s="454"/>
      <c r="L57" s="454"/>
      <c r="M57" s="455"/>
      <c r="N57" s="130"/>
      <c r="O57" s="128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131"/>
      <c r="D58" s="131"/>
      <c r="E58" s="131"/>
      <c r="F58" s="453"/>
      <c r="G58" s="454"/>
      <c r="H58" s="454"/>
      <c r="I58" s="454"/>
      <c r="J58" s="454"/>
      <c r="K58" s="454"/>
      <c r="L58" s="454"/>
      <c r="M58" s="455"/>
      <c r="N58" s="130"/>
      <c r="O58" s="128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131"/>
      <c r="D59" s="131"/>
      <c r="E59" s="131"/>
      <c r="F59" s="453"/>
      <c r="G59" s="454"/>
      <c r="H59" s="454"/>
      <c r="I59" s="454"/>
      <c r="J59" s="454"/>
      <c r="K59" s="454"/>
      <c r="L59" s="454"/>
      <c r="M59" s="455"/>
      <c r="N59" s="130"/>
      <c r="O59" s="128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133"/>
      <c r="D60" s="133"/>
      <c r="E60" s="133"/>
      <c r="F60" s="459"/>
      <c r="G60" s="459"/>
      <c r="H60" s="459"/>
      <c r="I60" s="459"/>
      <c r="J60" s="459"/>
      <c r="K60" s="459"/>
      <c r="L60" s="459"/>
      <c r="M60" s="460"/>
      <c r="N60" s="132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140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129" t="s">
        <v>2</v>
      </c>
      <c r="D62" s="129" t="s">
        <v>37</v>
      </c>
      <c r="E62" s="129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129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/>
      <c r="D63" s="124"/>
      <c r="E63" s="127"/>
      <c r="F63" s="440"/>
      <c r="G63" s="432"/>
      <c r="H63" s="432"/>
      <c r="I63" s="432"/>
      <c r="J63" s="432"/>
      <c r="K63" s="432"/>
      <c r="L63" s="432"/>
      <c r="M63" s="51"/>
      <c r="N63" s="443"/>
      <c r="O63" s="443"/>
      <c r="P63" s="441"/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/>
      <c r="D64" s="124"/>
      <c r="E64" s="127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124"/>
      <c r="E65" s="127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124"/>
      <c r="E66" s="127"/>
      <c r="F66" s="440"/>
      <c r="G66" s="432"/>
      <c r="H66" s="432"/>
      <c r="I66" s="432"/>
      <c r="J66" s="432"/>
      <c r="K66" s="432"/>
      <c r="L66" s="432"/>
      <c r="M66" s="51"/>
      <c r="N66" s="432"/>
      <c r="O66" s="432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124"/>
      <c r="E67" s="127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124"/>
      <c r="E68" s="127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124"/>
      <c r="E69" s="127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124"/>
      <c r="E70" s="127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141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126" t="s">
        <v>2</v>
      </c>
      <c r="D72" s="126" t="s">
        <v>37</v>
      </c>
      <c r="E72" s="126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125" t="s">
        <v>114</v>
      </c>
      <c r="D73" s="125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124"/>
      <c r="D74" s="124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21">A74+1</f>
        <v>3</v>
      </c>
      <c r="B75" s="400"/>
      <c r="C75" s="124"/>
      <c r="D75" s="124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21"/>
        <v>4</v>
      </c>
      <c r="B76" s="400"/>
      <c r="C76" s="124"/>
      <c r="D76" s="124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21"/>
        <v>5</v>
      </c>
      <c r="B77" s="400"/>
      <c r="C77" s="124"/>
      <c r="D77" s="124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21"/>
        <v>6</v>
      </c>
      <c r="B78" s="400"/>
      <c r="C78" s="124"/>
      <c r="D78" s="124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21"/>
        <v>7</v>
      </c>
      <c r="B79" s="400"/>
      <c r="C79" s="124"/>
      <c r="D79" s="124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21"/>
        <v>8</v>
      </c>
      <c r="B80" s="400"/>
      <c r="C80" s="124"/>
      <c r="D80" s="124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21"/>
        <v>9</v>
      </c>
      <c r="B81" s="400"/>
      <c r="C81" s="124"/>
      <c r="D81" s="124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142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1171-9DB9-40DA-8527-CBD1EDC7E5A0}">
  <sheetPr>
    <pageSetUpPr fitToPage="1"/>
  </sheetPr>
  <dimension ref="A1:AF87"/>
  <sheetViews>
    <sheetView zoomScale="72" zoomScaleNormal="72" zoomScaleSheetLayoutView="70" workbookViewId="0">
      <selection activeCell="L24" sqref="L24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190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150" t="s">
        <v>17</v>
      </c>
      <c r="L5" s="150" t="s">
        <v>18</v>
      </c>
      <c r="M5" s="150" t="s">
        <v>19</v>
      </c>
      <c r="N5" s="15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8" si="8">$AD$22</f>
        <v>0.46111111111111114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0.46111111111111114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62000</v>
      </c>
      <c r="J8" s="5">
        <v>4989</v>
      </c>
      <c r="K8" s="15">
        <f>L8+3980+5675+3264+5251+5511+5242</f>
        <v>33912</v>
      </c>
      <c r="L8" s="15">
        <f>2154+2835</f>
        <v>4989</v>
      </c>
      <c r="M8" s="15">
        <f t="shared" si="1"/>
        <v>4989</v>
      </c>
      <c r="N8" s="15">
        <v>0</v>
      </c>
      <c r="O8" s="58">
        <f t="shared" si="2"/>
        <v>0</v>
      </c>
      <c r="P8" s="39">
        <f t="shared" si="3"/>
        <v>23</v>
      </c>
      <c r="Q8" s="40">
        <f t="shared" si="4"/>
        <v>1</v>
      </c>
      <c r="R8" s="7"/>
      <c r="S8" s="6">
        <v>1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0.95833333333333337</v>
      </c>
      <c r="AD8" s="10">
        <f t="shared" si="7"/>
        <v>0.95833333333333337</v>
      </c>
      <c r="AE8" s="36">
        <f t="shared" si="8"/>
        <v>0.46111111111111114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4130</v>
      </c>
      <c r="K9" s="15">
        <f>L9+2483+2720+3334+3355+5508+204+4399+3307+5387+4130</f>
        <v>34827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0.46111111111111114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154</v>
      </c>
      <c r="D10" s="52" t="s">
        <v>158</v>
      </c>
      <c r="E10" s="53" t="s">
        <v>159</v>
      </c>
      <c r="F10" s="30" t="s">
        <v>122</v>
      </c>
      <c r="G10" s="33">
        <v>1</v>
      </c>
      <c r="H10" s="35">
        <v>24</v>
      </c>
      <c r="I10" s="7">
        <v>75000</v>
      </c>
      <c r="J10" s="5">
        <v>8066</v>
      </c>
      <c r="K10" s="15">
        <f>L10+4000+2801+4378+6093+3959+7386+10861+4645+8836</f>
        <v>61025</v>
      </c>
      <c r="L10" s="15">
        <f>1297*2+2736*2</f>
        <v>8066</v>
      </c>
      <c r="M10" s="15">
        <f t="shared" si="1"/>
        <v>8066</v>
      </c>
      <c r="N10" s="15">
        <v>0</v>
      </c>
      <c r="O10" s="58">
        <f t="shared" si="2"/>
        <v>0</v>
      </c>
      <c r="P10" s="39">
        <f t="shared" si="3"/>
        <v>19</v>
      </c>
      <c r="Q10" s="40">
        <f t="shared" si="4"/>
        <v>5</v>
      </c>
      <c r="R10" s="7"/>
      <c r="S10" s="6">
        <v>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0.79166666666666663</v>
      </c>
      <c r="AD10" s="10">
        <f>AC10*AB10*(1-O10)</f>
        <v>0.79166666666666663</v>
      </c>
      <c r="AE10" s="36">
        <f t="shared" si="8"/>
        <v>0.46111111111111114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129</v>
      </c>
      <c r="E11" s="53" t="s">
        <v>131</v>
      </c>
      <c r="F11" s="12" t="s">
        <v>132</v>
      </c>
      <c r="G11" s="12">
        <v>1</v>
      </c>
      <c r="H11" s="13">
        <v>24</v>
      </c>
      <c r="I11" s="7">
        <v>4000</v>
      </c>
      <c r="J11" s="14">
        <v>542</v>
      </c>
      <c r="K11" s="15">
        <f>L11+4550+5818+542</f>
        <v>10910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0.46111111111111114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130</v>
      </c>
      <c r="F12" s="30" t="s">
        <v>122</v>
      </c>
      <c r="G12" s="33">
        <v>1</v>
      </c>
      <c r="H12" s="35">
        <v>20</v>
      </c>
      <c r="I12" s="7">
        <v>10000</v>
      </c>
      <c r="J12" s="14">
        <v>4574</v>
      </c>
      <c r="K12" s="15">
        <f>L12+2164+4238</f>
        <v>10976</v>
      </c>
      <c r="L12" s="15">
        <f>1719+2855</f>
        <v>4574</v>
      </c>
      <c r="M12" s="15">
        <f t="shared" si="1"/>
        <v>4574</v>
      </c>
      <c r="N12" s="15">
        <v>0</v>
      </c>
      <c r="O12" s="58">
        <f t="shared" si="2"/>
        <v>0</v>
      </c>
      <c r="P12" s="39">
        <f t="shared" si="3"/>
        <v>22</v>
      </c>
      <c r="Q12" s="40">
        <f t="shared" si="4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0.91666666666666663</v>
      </c>
      <c r="AD12" s="10">
        <f t="shared" si="7"/>
        <v>0.91666666666666663</v>
      </c>
      <c r="AE12" s="36">
        <f t="shared" si="8"/>
        <v>0.46111111111111114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117</v>
      </c>
      <c r="E13" s="53" t="s">
        <v>192</v>
      </c>
      <c r="F13" s="30" t="s">
        <v>193</v>
      </c>
      <c r="G13" s="33">
        <v>1</v>
      </c>
      <c r="H13" s="35">
        <v>24</v>
      </c>
      <c r="I13" s="7">
        <v>1000</v>
      </c>
      <c r="J13" s="14">
        <v>1123</v>
      </c>
      <c r="K13" s="15">
        <f>L13</f>
        <v>1123</v>
      </c>
      <c r="L13" s="15">
        <v>1123</v>
      </c>
      <c r="M13" s="15">
        <f t="shared" si="1"/>
        <v>1123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>
        <v>1</v>
      </c>
      <c r="U13" s="16"/>
      <c r="V13" s="17"/>
      <c r="W13" s="5">
        <v>13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7"/>
        <v>0.41666666666666669</v>
      </c>
      <c r="AE13" s="36">
        <f t="shared" si="8"/>
        <v>0.46111111111111114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126</v>
      </c>
      <c r="D14" s="52" t="s">
        <v>191</v>
      </c>
      <c r="E14" s="53" t="s">
        <v>194</v>
      </c>
      <c r="F14" s="30" t="s">
        <v>156</v>
      </c>
      <c r="G14" s="33">
        <v>1</v>
      </c>
      <c r="H14" s="35">
        <v>24</v>
      </c>
      <c r="I14" s="7">
        <v>1000</v>
      </c>
      <c r="J14" s="14">
        <v>1551</v>
      </c>
      <c r="K14" s="15">
        <f>L14</f>
        <v>1551</v>
      </c>
      <c r="L14" s="15">
        <v>1551</v>
      </c>
      <c r="M14" s="15">
        <f t="shared" ref="M14" si="10">L14-N14</f>
        <v>1551</v>
      </c>
      <c r="N14" s="15">
        <v>0</v>
      </c>
      <c r="O14" s="58">
        <f t="shared" ref="O14" si="11">IF(L14=0,"0",N14/L14)</f>
        <v>0</v>
      </c>
      <c r="P14" s="39">
        <f t="shared" ref="P14" si="12">IF(L14=0,"0",(24-Q14))</f>
        <v>10</v>
      </c>
      <c r="Q14" s="40">
        <f t="shared" ref="Q14" si="13">SUM(R14:AA14)</f>
        <v>14</v>
      </c>
      <c r="R14" s="7"/>
      <c r="S14" s="6"/>
      <c r="T14" s="16"/>
      <c r="U14" s="16"/>
      <c r="V14" s="17"/>
      <c r="W14" s="5">
        <v>14</v>
      </c>
      <c r="X14" s="16"/>
      <c r="Y14" s="16"/>
      <c r="Z14" s="16"/>
      <c r="AA14" s="18"/>
      <c r="AB14" s="8">
        <f t="shared" ref="AB14" si="14">IF(J14=0,"0",(L14/J14))</f>
        <v>1</v>
      </c>
      <c r="AC14" s="9">
        <f t="shared" ref="AC14" si="15">IF(P14=0,"0",(P14/24))</f>
        <v>0.41666666666666669</v>
      </c>
      <c r="AD14" s="10">
        <f t="shared" ref="AD14" si="16">AC14*AB14*(1-O14)</f>
        <v>0.41666666666666669</v>
      </c>
      <c r="AE14" s="36">
        <f t="shared" si="8"/>
        <v>0.46111111111111114</v>
      </c>
      <c r="AF14" s="87">
        <f t="shared" ref="AF14" si="17">A14</f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165</v>
      </c>
      <c r="F15" s="30" t="s">
        <v>128</v>
      </c>
      <c r="G15" s="33">
        <v>1</v>
      </c>
      <c r="H15" s="35">
        <v>40</v>
      </c>
      <c r="I15" s="7">
        <v>100</v>
      </c>
      <c r="J15" s="5">
        <v>110</v>
      </c>
      <c r="K15" s="15">
        <f>L15+110</f>
        <v>110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0.46111111111111114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149</v>
      </c>
      <c r="D16" s="52"/>
      <c r="E16" s="53" t="s">
        <v>167</v>
      </c>
      <c r="F16" s="12">
        <v>8301</v>
      </c>
      <c r="G16" s="12">
        <v>1</v>
      </c>
      <c r="H16" s="13">
        <v>24</v>
      </c>
      <c r="I16" s="31">
        <v>2000</v>
      </c>
      <c r="J16" s="14">
        <v>1140</v>
      </c>
      <c r="K16" s="15">
        <f>L16+1150+1139</f>
        <v>2289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0.46111111111111114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11" t="s">
        <v>126</v>
      </c>
      <c r="D17" s="52" t="s">
        <v>143</v>
      </c>
      <c r="E17" s="53" t="s">
        <v>164</v>
      </c>
      <c r="F17" s="12" t="s">
        <v>144</v>
      </c>
      <c r="G17" s="12">
        <v>1</v>
      </c>
      <c r="H17" s="13">
        <v>24</v>
      </c>
      <c r="I17" s="7">
        <v>60000</v>
      </c>
      <c r="J17" s="14">
        <v>5514</v>
      </c>
      <c r="K17" s="15">
        <f>L17+2357+5213+5517+5420+5503+5457+5438+2407+5322+5509+5389</f>
        <v>59046</v>
      </c>
      <c r="L17" s="15">
        <f>2950+2564</f>
        <v>5514</v>
      </c>
      <c r="M17" s="15">
        <f t="shared" si="1"/>
        <v>5514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0.46111111111111114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125</v>
      </c>
      <c r="E18" s="53" t="s">
        <v>152</v>
      </c>
      <c r="F18" s="12" t="s">
        <v>155</v>
      </c>
      <c r="G18" s="12">
        <v>1</v>
      </c>
      <c r="H18" s="13">
        <v>24</v>
      </c>
      <c r="I18" s="31">
        <v>2000</v>
      </c>
      <c r="J18" s="14">
        <v>3034</v>
      </c>
      <c r="K18" s="15">
        <f>L18+3034</f>
        <v>3034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0.46111111111111114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117</v>
      </c>
      <c r="E19" s="53" t="s">
        <v>148</v>
      </c>
      <c r="F19" s="30" t="s">
        <v>122</v>
      </c>
      <c r="G19" s="33">
        <v>1</v>
      </c>
      <c r="H19" s="35">
        <v>24</v>
      </c>
      <c r="I19" s="7">
        <f>48000+42000</f>
        <v>90000</v>
      </c>
      <c r="J19" s="5">
        <v>5620</v>
      </c>
      <c r="K19" s="15">
        <f>L19+4490+5516+5079+4632+5428+5727+5954+3807+5671+5681+3837+3725+5801+5150+5731+2573+5660+3935</f>
        <v>94017</v>
      </c>
      <c r="L19" s="15">
        <f>2431+3189</f>
        <v>5620</v>
      </c>
      <c r="M19" s="15">
        <f t="shared" si="1"/>
        <v>5620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ref="AE19" si="18">$AD$22</f>
        <v>0.46111111111111114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154</v>
      </c>
      <c r="D20" s="52" t="s">
        <v>163</v>
      </c>
      <c r="E20" s="53" t="s">
        <v>160</v>
      </c>
      <c r="F20" s="30" t="s">
        <v>122</v>
      </c>
      <c r="G20" s="33" t="s">
        <v>145</v>
      </c>
      <c r="H20" s="35">
        <v>20</v>
      </c>
      <c r="I20" s="7">
        <v>24000</v>
      </c>
      <c r="J20" s="14">
        <v>6116</v>
      </c>
      <c r="K20" s="15">
        <f>L20+2858+3260+3809+4479+5691+802+2489+3500+2676+4317</f>
        <v>39997</v>
      </c>
      <c r="L20" s="15">
        <f>2870+3246</f>
        <v>6116</v>
      </c>
      <c r="M20" s="15">
        <f t="shared" si="1"/>
        <v>6116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ref="AD20" si="19">AC20*AB20*(1-O20)</f>
        <v>1</v>
      </c>
      <c r="AE20" s="36">
        <f>$AD$22</f>
        <v>0.46111111111111114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195</v>
      </c>
      <c r="F21" s="12" t="s">
        <v>116</v>
      </c>
      <c r="G21" s="12">
        <v>4</v>
      </c>
      <c r="H21" s="35">
        <v>20</v>
      </c>
      <c r="I21" s="7">
        <v>200000</v>
      </c>
      <c r="J21" s="14">
        <v>26900</v>
      </c>
      <c r="K21" s="15">
        <f>L21</f>
        <v>26900</v>
      </c>
      <c r="L21" s="15">
        <f>6725*4</f>
        <v>26900</v>
      </c>
      <c r="M21" s="15">
        <f t="shared" si="1"/>
        <v>26900</v>
      </c>
      <c r="N21" s="15">
        <v>0</v>
      </c>
      <c r="O21" s="58">
        <f t="shared" si="2"/>
        <v>0</v>
      </c>
      <c r="P21" s="39">
        <f t="shared" si="3"/>
        <v>10</v>
      </c>
      <c r="Q21" s="40">
        <f t="shared" si="4"/>
        <v>14</v>
      </c>
      <c r="R21" s="7"/>
      <c r="S21" s="6"/>
      <c r="T21" s="16"/>
      <c r="U21" s="16"/>
      <c r="V21" s="17">
        <v>14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0.41666666666666669</v>
      </c>
      <c r="AD21" s="10">
        <f t="shared" si="7"/>
        <v>0.41666666666666669</v>
      </c>
      <c r="AE21" s="36">
        <f>$AD$22</f>
        <v>0.46111111111111114</v>
      </c>
      <c r="AF21" s="87">
        <f t="shared" si="9"/>
        <v>15</v>
      </c>
    </row>
    <row r="22" spans="1:32" ht="31.5" customHeight="1" thickBot="1">
      <c r="A22" s="467" t="s">
        <v>34</v>
      </c>
      <c r="B22" s="468"/>
      <c r="C22" s="468"/>
      <c r="D22" s="468"/>
      <c r="E22" s="468"/>
      <c r="F22" s="468"/>
      <c r="G22" s="468"/>
      <c r="H22" s="469"/>
      <c r="I22" s="22">
        <f t="shared" ref="I22:N22" si="20">SUM(I6:I21)</f>
        <v>591100</v>
      </c>
      <c r="J22" s="19">
        <f t="shared" si="20"/>
        <v>73409</v>
      </c>
      <c r="K22" s="20">
        <f t="shared" si="20"/>
        <v>379717</v>
      </c>
      <c r="L22" s="21">
        <f t="shared" si="20"/>
        <v>64453</v>
      </c>
      <c r="M22" s="20">
        <f t="shared" si="20"/>
        <v>64453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166</v>
      </c>
      <c r="Q22" s="43">
        <f t="shared" si="21"/>
        <v>218</v>
      </c>
      <c r="R22" s="23">
        <f t="shared" si="21"/>
        <v>24</v>
      </c>
      <c r="S22" s="24">
        <f t="shared" si="21"/>
        <v>32</v>
      </c>
      <c r="T22" s="24">
        <f t="shared" si="21"/>
        <v>1</v>
      </c>
      <c r="U22" s="24">
        <f t="shared" si="21"/>
        <v>0</v>
      </c>
      <c r="V22" s="25">
        <f t="shared" si="21"/>
        <v>14</v>
      </c>
      <c r="W22" s="26">
        <f t="shared" si="21"/>
        <v>147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0</v>
      </c>
      <c r="AB22" s="28">
        <f>SUM(AB6:AB21)/15</f>
        <v>0.6</v>
      </c>
      <c r="AC22" s="4">
        <f>SUM(AC6:AC21)/15</f>
        <v>0.46111111111111114</v>
      </c>
      <c r="AD22" s="4">
        <f>SUM(AD6:AD21)/15</f>
        <v>0.46111111111111114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70" t="s">
        <v>45</v>
      </c>
      <c r="B49" s="470"/>
      <c r="C49" s="470"/>
      <c r="D49" s="470"/>
      <c r="E49" s="47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71" t="s">
        <v>196</v>
      </c>
      <c r="B50" s="472"/>
      <c r="C50" s="472"/>
      <c r="D50" s="472"/>
      <c r="E50" s="472"/>
      <c r="F50" s="472"/>
      <c r="G50" s="472"/>
      <c r="H50" s="472"/>
      <c r="I50" s="472"/>
      <c r="J50" s="472"/>
      <c r="K50" s="472"/>
      <c r="L50" s="472"/>
      <c r="M50" s="473"/>
      <c r="N50" s="474" t="s">
        <v>218</v>
      </c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6"/>
    </row>
    <row r="51" spans="1:32" ht="27" customHeight="1">
      <c r="A51" s="477" t="s">
        <v>2</v>
      </c>
      <c r="B51" s="478"/>
      <c r="C51" s="149" t="s">
        <v>46</v>
      </c>
      <c r="D51" s="149" t="s">
        <v>47</v>
      </c>
      <c r="E51" s="149" t="s">
        <v>108</v>
      </c>
      <c r="F51" s="478" t="s">
        <v>107</v>
      </c>
      <c r="G51" s="478"/>
      <c r="H51" s="478"/>
      <c r="I51" s="478"/>
      <c r="J51" s="478"/>
      <c r="K51" s="478"/>
      <c r="L51" s="478"/>
      <c r="M51" s="479"/>
      <c r="N51" s="67" t="s">
        <v>112</v>
      </c>
      <c r="O51" s="149" t="s">
        <v>46</v>
      </c>
      <c r="P51" s="480" t="s">
        <v>47</v>
      </c>
      <c r="Q51" s="481"/>
      <c r="R51" s="480" t="s">
        <v>38</v>
      </c>
      <c r="S51" s="482"/>
      <c r="T51" s="482"/>
      <c r="U51" s="481"/>
      <c r="V51" s="480" t="s">
        <v>48</v>
      </c>
      <c r="W51" s="482"/>
      <c r="X51" s="482"/>
      <c r="Y51" s="482"/>
      <c r="Z51" s="482"/>
      <c r="AA51" s="482"/>
      <c r="AB51" s="482"/>
      <c r="AC51" s="482"/>
      <c r="AD51" s="483"/>
    </row>
    <row r="52" spans="1:32" ht="27" customHeight="1">
      <c r="A52" s="451" t="s">
        <v>126</v>
      </c>
      <c r="B52" s="452"/>
      <c r="C52" s="146" t="s">
        <v>188</v>
      </c>
      <c r="D52" s="146" t="s">
        <v>123</v>
      </c>
      <c r="E52" s="146" t="s">
        <v>187</v>
      </c>
      <c r="F52" s="453" t="s">
        <v>202</v>
      </c>
      <c r="G52" s="454"/>
      <c r="H52" s="454"/>
      <c r="I52" s="454"/>
      <c r="J52" s="454"/>
      <c r="K52" s="454"/>
      <c r="L52" s="454"/>
      <c r="M52" s="455"/>
      <c r="N52" s="145" t="s">
        <v>126</v>
      </c>
      <c r="O52" s="143" t="s">
        <v>188</v>
      </c>
      <c r="P52" s="463" t="s">
        <v>123</v>
      </c>
      <c r="Q52" s="464"/>
      <c r="R52" s="452" t="s">
        <v>187</v>
      </c>
      <c r="S52" s="452"/>
      <c r="T52" s="452"/>
      <c r="U52" s="452"/>
      <c r="V52" s="442" t="s">
        <v>137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199</v>
      </c>
      <c r="B53" s="452"/>
      <c r="C53" s="146" t="s">
        <v>200</v>
      </c>
      <c r="D53" s="146" t="s">
        <v>201</v>
      </c>
      <c r="E53" s="146" t="s">
        <v>197</v>
      </c>
      <c r="F53" s="453" t="s">
        <v>198</v>
      </c>
      <c r="G53" s="454"/>
      <c r="H53" s="454"/>
      <c r="I53" s="454"/>
      <c r="J53" s="454"/>
      <c r="K53" s="454"/>
      <c r="L53" s="454"/>
      <c r="M53" s="455"/>
      <c r="N53" s="145" t="s">
        <v>126</v>
      </c>
      <c r="O53" s="143" t="s">
        <v>135</v>
      </c>
      <c r="P53" s="463" t="s">
        <v>157</v>
      </c>
      <c r="Q53" s="464"/>
      <c r="R53" s="452" t="s">
        <v>161</v>
      </c>
      <c r="S53" s="452"/>
      <c r="T53" s="452"/>
      <c r="U53" s="452"/>
      <c r="V53" s="442" t="s">
        <v>151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126</v>
      </c>
      <c r="B54" s="452"/>
      <c r="C54" s="146" t="s">
        <v>204</v>
      </c>
      <c r="D54" s="146" t="s">
        <v>205</v>
      </c>
      <c r="E54" s="146" t="s">
        <v>203</v>
      </c>
      <c r="F54" s="453" t="s">
        <v>206</v>
      </c>
      <c r="G54" s="454"/>
      <c r="H54" s="454"/>
      <c r="I54" s="454"/>
      <c r="J54" s="454"/>
      <c r="K54" s="454"/>
      <c r="L54" s="454"/>
      <c r="M54" s="455"/>
      <c r="N54" s="145" t="s">
        <v>126</v>
      </c>
      <c r="O54" s="143" t="s">
        <v>221</v>
      </c>
      <c r="P54" s="463" t="s">
        <v>222</v>
      </c>
      <c r="Q54" s="464"/>
      <c r="R54" s="452" t="s">
        <v>219</v>
      </c>
      <c r="S54" s="452"/>
      <c r="T54" s="452"/>
      <c r="U54" s="452"/>
      <c r="V54" s="442" t="s">
        <v>220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126</v>
      </c>
      <c r="B55" s="452"/>
      <c r="C55" s="146" t="s">
        <v>208</v>
      </c>
      <c r="D55" s="146" t="s">
        <v>205</v>
      </c>
      <c r="E55" s="146" t="s">
        <v>207</v>
      </c>
      <c r="F55" s="453" t="s">
        <v>121</v>
      </c>
      <c r="G55" s="454"/>
      <c r="H55" s="454"/>
      <c r="I55" s="454"/>
      <c r="J55" s="454"/>
      <c r="K55" s="454"/>
      <c r="L55" s="454"/>
      <c r="M55" s="455"/>
      <c r="N55" s="145" t="s">
        <v>126</v>
      </c>
      <c r="O55" s="143" t="s">
        <v>208</v>
      </c>
      <c r="P55" s="463" t="s">
        <v>224</v>
      </c>
      <c r="Q55" s="464"/>
      <c r="R55" s="452" t="s">
        <v>223</v>
      </c>
      <c r="S55" s="452"/>
      <c r="T55" s="452"/>
      <c r="U55" s="452"/>
      <c r="V55" s="442" t="s">
        <v>220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126</v>
      </c>
      <c r="B56" s="452"/>
      <c r="C56" s="146" t="s">
        <v>208</v>
      </c>
      <c r="D56" s="146" t="s">
        <v>210</v>
      </c>
      <c r="E56" s="146" t="s">
        <v>209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145" t="s">
        <v>213</v>
      </c>
      <c r="O56" s="143" t="s">
        <v>226</v>
      </c>
      <c r="P56" s="463" t="s">
        <v>205</v>
      </c>
      <c r="Q56" s="464"/>
      <c r="R56" s="452" t="s">
        <v>225</v>
      </c>
      <c r="S56" s="452"/>
      <c r="T56" s="452"/>
      <c r="U56" s="452"/>
      <c r="V56" s="442" t="s">
        <v>137</v>
      </c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213</v>
      </c>
      <c r="B57" s="452"/>
      <c r="C57" s="146" t="s">
        <v>214</v>
      </c>
      <c r="D57" s="146" t="s">
        <v>205</v>
      </c>
      <c r="E57" s="146" t="s">
        <v>211</v>
      </c>
      <c r="F57" s="453" t="s">
        <v>212</v>
      </c>
      <c r="G57" s="454"/>
      <c r="H57" s="454"/>
      <c r="I57" s="454"/>
      <c r="J57" s="454"/>
      <c r="K57" s="454"/>
      <c r="L57" s="454"/>
      <c r="M57" s="455"/>
      <c r="N57" s="145"/>
      <c r="O57" s="143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 t="s">
        <v>216</v>
      </c>
      <c r="B58" s="452"/>
      <c r="C58" s="146" t="s">
        <v>217</v>
      </c>
      <c r="D58" s="146"/>
      <c r="E58" s="146" t="s">
        <v>215</v>
      </c>
      <c r="F58" s="453" t="s">
        <v>121</v>
      </c>
      <c r="G58" s="454"/>
      <c r="H58" s="454"/>
      <c r="I58" s="454"/>
      <c r="J58" s="454"/>
      <c r="K58" s="454"/>
      <c r="L58" s="454"/>
      <c r="M58" s="455"/>
      <c r="N58" s="145"/>
      <c r="O58" s="143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146"/>
      <c r="D59" s="146"/>
      <c r="E59" s="146"/>
      <c r="F59" s="453"/>
      <c r="G59" s="454"/>
      <c r="H59" s="454"/>
      <c r="I59" s="454"/>
      <c r="J59" s="454"/>
      <c r="K59" s="454"/>
      <c r="L59" s="454"/>
      <c r="M59" s="455"/>
      <c r="N59" s="145"/>
      <c r="O59" s="143"/>
      <c r="P59" s="463"/>
      <c r="Q59" s="464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/>
      <c r="B60" s="452"/>
      <c r="C60" s="146"/>
      <c r="D60" s="146"/>
      <c r="E60" s="146"/>
      <c r="F60" s="453"/>
      <c r="G60" s="454"/>
      <c r="H60" s="454"/>
      <c r="I60" s="454"/>
      <c r="J60" s="454"/>
      <c r="K60" s="454"/>
      <c r="L60" s="454"/>
      <c r="M60" s="455"/>
      <c r="N60" s="145"/>
      <c r="O60" s="143"/>
      <c r="P60" s="452"/>
      <c r="Q60" s="452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  <c r="AF60" s="87">
        <f>8*3000</f>
        <v>24000</v>
      </c>
    </row>
    <row r="61" spans="1:32" ht="27" customHeight="1" thickBot="1">
      <c r="A61" s="457"/>
      <c r="B61" s="458"/>
      <c r="C61" s="148"/>
      <c r="D61" s="148"/>
      <c r="E61" s="148"/>
      <c r="F61" s="459"/>
      <c r="G61" s="459"/>
      <c r="H61" s="459"/>
      <c r="I61" s="459"/>
      <c r="J61" s="459"/>
      <c r="K61" s="459"/>
      <c r="L61" s="459"/>
      <c r="M61" s="460"/>
      <c r="N61" s="147"/>
      <c r="O61" s="114"/>
      <c r="P61" s="458"/>
      <c r="Q61" s="458"/>
      <c r="R61" s="458"/>
      <c r="S61" s="458"/>
      <c r="T61" s="458"/>
      <c r="U61" s="458"/>
      <c r="V61" s="461"/>
      <c r="W61" s="461"/>
      <c r="X61" s="461"/>
      <c r="Y61" s="461"/>
      <c r="Z61" s="461"/>
      <c r="AA61" s="461"/>
      <c r="AB61" s="461"/>
      <c r="AC61" s="461"/>
      <c r="AD61" s="462"/>
      <c r="AF61" s="87">
        <f>16*3000</f>
        <v>48000</v>
      </c>
    </row>
    <row r="62" spans="1:32" ht="27.75" thickBot="1">
      <c r="A62" s="449" t="s">
        <v>227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50" t="s">
        <v>113</v>
      </c>
      <c r="B63" s="447"/>
      <c r="C63" s="144" t="s">
        <v>2</v>
      </c>
      <c r="D63" s="144" t="s">
        <v>37</v>
      </c>
      <c r="E63" s="144" t="s">
        <v>3</v>
      </c>
      <c r="F63" s="447" t="s">
        <v>110</v>
      </c>
      <c r="G63" s="447"/>
      <c r="H63" s="447"/>
      <c r="I63" s="447"/>
      <c r="J63" s="447"/>
      <c r="K63" s="447" t="s">
        <v>39</v>
      </c>
      <c r="L63" s="447"/>
      <c r="M63" s="144" t="s">
        <v>40</v>
      </c>
      <c r="N63" s="447" t="s">
        <v>41</v>
      </c>
      <c r="O63" s="447"/>
      <c r="P63" s="444" t="s">
        <v>42</v>
      </c>
      <c r="Q63" s="446"/>
      <c r="R63" s="444" t="s">
        <v>43</v>
      </c>
      <c r="S63" s="445"/>
      <c r="T63" s="445"/>
      <c r="U63" s="445"/>
      <c r="V63" s="445"/>
      <c r="W63" s="445"/>
      <c r="X63" s="445"/>
      <c r="Y63" s="445"/>
      <c r="Z63" s="445"/>
      <c r="AA63" s="446"/>
      <c r="AB63" s="447" t="s">
        <v>44</v>
      </c>
      <c r="AC63" s="447"/>
      <c r="AD63" s="448"/>
      <c r="AF63" s="87">
        <f>SUM(AF60:AF62)</f>
        <v>96000</v>
      </c>
    </row>
    <row r="64" spans="1:32" ht="25.5" customHeight="1">
      <c r="A64" s="438">
        <v>1</v>
      </c>
      <c r="B64" s="439"/>
      <c r="C64" s="117" t="s">
        <v>199</v>
      </c>
      <c r="D64" s="139"/>
      <c r="E64" s="142" t="s">
        <v>228</v>
      </c>
      <c r="F64" s="440" t="s">
        <v>229</v>
      </c>
      <c r="G64" s="432"/>
      <c r="H64" s="432"/>
      <c r="I64" s="432"/>
      <c r="J64" s="432"/>
      <c r="K64" s="432" t="s">
        <v>230</v>
      </c>
      <c r="L64" s="432"/>
      <c r="M64" s="51" t="s">
        <v>231</v>
      </c>
      <c r="N64" s="443" t="s">
        <v>221</v>
      </c>
      <c r="O64" s="443"/>
      <c r="P64" s="441">
        <v>50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2</v>
      </c>
      <c r="B65" s="439"/>
      <c r="C65" s="117" t="s">
        <v>199</v>
      </c>
      <c r="D65" s="139"/>
      <c r="E65" s="142" t="s">
        <v>232</v>
      </c>
      <c r="F65" s="440" t="s">
        <v>234</v>
      </c>
      <c r="G65" s="432"/>
      <c r="H65" s="432"/>
      <c r="I65" s="432"/>
      <c r="J65" s="432"/>
      <c r="K65" s="432" t="s">
        <v>230</v>
      </c>
      <c r="L65" s="432"/>
      <c r="M65" s="51" t="s">
        <v>231</v>
      </c>
      <c r="N65" s="443" t="s">
        <v>221</v>
      </c>
      <c r="O65" s="443"/>
      <c r="P65" s="441">
        <v>50</v>
      </c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3</v>
      </c>
      <c r="B66" s="439"/>
      <c r="C66" s="117" t="s">
        <v>199</v>
      </c>
      <c r="D66" s="139"/>
      <c r="E66" s="142" t="s">
        <v>233</v>
      </c>
      <c r="F66" s="440" t="s">
        <v>235</v>
      </c>
      <c r="G66" s="432"/>
      <c r="H66" s="432"/>
      <c r="I66" s="432"/>
      <c r="J66" s="432"/>
      <c r="K66" s="432" t="s">
        <v>230</v>
      </c>
      <c r="L66" s="432"/>
      <c r="M66" s="51" t="s">
        <v>231</v>
      </c>
      <c r="N66" s="443" t="s">
        <v>221</v>
      </c>
      <c r="O66" s="443"/>
      <c r="P66" s="441">
        <v>50</v>
      </c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4</v>
      </c>
      <c r="B67" s="439"/>
      <c r="C67" s="117"/>
      <c r="D67" s="139"/>
      <c r="E67" s="142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5</v>
      </c>
      <c r="B68" s="439"/>
      <c r="C68" s="117"/>
      <c r="D68" s="139"/>
      <c r="E68" s="142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6</v>
      </c>
      <c r="B69" s="439"/>
      <c r="C69" s="117"/>
      <c r="D69" s="139"/>
      <c r="E69" s="142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7</v>
      </c>
      <c r="B70" s="439"/>
      <c r="C70" s="117"/>
      <c r="D70" s="139"/>
      <c r="E70" s="142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8</v>
      </c>
      <c r="B71" s="439"/>
      <c r="C71" s="117"/>
      <c r="D71" s="139"/>
      <c r="E71" s="142"/>
      <c r="F71" s="440"/>
      <c r="G71" s="432"/>
      <c r="H71" s="432"/>
      <c r="I71" s="432"/>
      <c r="J71" s="432"/>
      <c r="K71" s="432"/>
      <c r="L71" s="432"/>
      <c r="M71" s="51"/>
      <c r="N71" s="432"/>
      <c r="O71" s="432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6.25" customHeight="1" thickBot="1">
      <c r="A72" s="412" t="s">
        <v>236</v>
      </c>
      <c r="B72" s="412"/>
      <c r="C72" s="412"/>
      <c r="D72" s="412"/>
      <c r="E72" s="41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3" t="s">
        <v>113</v>
      </c>
      <c r="B73" s="414"/>
      <c r="C73" s="141" t="s">
        <v>2</v>
      </c>
      <c r="D73" s="141" t="s">
        <v>37</v>
      </c>
      <c r="E73" s="141" t="s">
        <v>3</v>
      </c>
      <c r="F73" s="414" t="s">
        <v>38</v>
      </c>
      <c r="G73" s="414"/>
      <c r="H73" s="414"/>
      <c r="I73" s="414"/>
      <c r="J73" s="414"/>
      <c r="K73" s="434" t="s">
        <v>58</v>
      </c>
      <c r="L73" s="435"/>
      <c r="M73" s="435"/>
      <c r="N73" s="435"/>
      <c r="O73" s="435"/>
      <c r="P73" s="435"/>
      <c r="Q73" s="435"/>
      <c r="R73" s="435"/>
      <c r="S73" s="436"/>
      <c r="T73" s="414" t="s">
        <v>49</v>
      </c>
      <c r="U73" s="414"/>
      <c r="V73" s="434" t="s">
        <v>50</v>
      </c>
      <c r="W73" s="436"/>
      <c r="X73" s="435" t="s">
        <v>51</v>
      </c>
      <c r="Y73" s="435"/>
      <c r="Z73" s="435"/>
      <c r="AA73" s="435"/>
      <c r="AB73" s="435"/>
      <c r="AC73" s="435"/>
      <c r="AD73" s="437"/>
      <c r="AF73" s="50"/>
    </row>
    <row r="74" spans="1:32" ht="33.75" customHeight="1">
      <c r="A74" s="406">
        <v>1</v>
      </c>
      <c r="B74" s="407"/>
      <c r="C74" s="140" t="s">
        <v>114</v>
      </c>
      <c r="D74" s="140"/>
      <c r="E74" s="65" t="s">
        <v>119</v>
      </c>
      <c r="F74" s="421" t="s">
        <v>118</v>
      </c>
      <c r="G74" s="422"/>
      <c r="H74" s="422"/>
      <c r="I74" s="422"/>
      <c r="J74" s="423"/>
      <c r="K74" s="424" t="s">
        <v>120</v>
      </c>
      <c r="L74" s="425"/>
      <c r="M74" s="425"/>
      <c r="N74" s="425"/>
      <c r="O74" s="425"/>
      <c r="P74" s="425"/>
      <c r="Q74" s="425"/>
      <c r="R74" s="425"/>
      <c r="S74" s="426"/>
      <c r="T74" s="427">
        <v>43384</v>
      </c>
      <c r="U74" s="428"/>
      <c r="V74" s="429"/>
      <c r="W74" s="429"/>
      <c r="X74" s="430"/>
      <c r="Y74" s="430"/>
      <c r="Z74" s="430"/>
      <c r="AA74" s="430"/>
      <c r="AB74" s="430"/>
      <c r="AC74" s="430"/>
      <c r="AD74" s="431"/>
      <c r="AF74" s="50"/>
    </row>
    <row r="75" spans="1:32" ht="30" customHeight="1">
      <c r="A75" s="399">
        <f>A74+1</f>
        <v>2</v>
      </c>
      <c r="B75" s="400"/>
      <c r="C75" s="139"/>
      <c r="D75" s="139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ref="A76:A82" si="22">A75+1</f>
        <v>3</v>
      </c>
      <c r="B76" s="400"/>
      <c r="C76" s="139"/>
      <c r="D76" s="139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22"/>
        <v>4</v>
      </c>
      <c r="B77" s="400"/>
      <c r="C77" s="139"/>
      <c r="D77" s="139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22"/>
        <v>5</v>
      </c>
      <c r="B78" s="400"/>
      <c r="C78" s="139"/>
      <c r="D78" s="139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22"/>
        <v>6</v>
      </c>
      <c r="B79" s="400"/>
      <c r="C79" s="139"/>
      <c r="D79" s="139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22"/>
        <v>7</v>
      </c>
      <c r="B80" s="400"/>
      <c r="C80" s="139"/>
      <c r="D80" s="139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22"/>
        <v>8</v>
      </c>
      <c r="B81" s="400"/>
      <c r="C81" s="139"/>
      <c r="D81" s="139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22"/>
        <v>9</v>
      </c>
      <c r="B82" s="400"/>
      <c r="C82" s="139"/>
      <c r="D82" s="139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6" thickBot="1">
      <c r="A83" s="412" t="s">
        <v>237</v>
      </c>
      <c r="B83" s="412"/>
      <c r="C83" s="412"/>
      <c r="D83" s="412"/>
      <c r="E83" s="41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3" t="s">
        <v>113</v>
      </c>
      <c r="B84" s="414"/>
      <c r="C84" s="404" t="s">
        <v>52</v>
      </c>
      <c r="D84" s="404"/>
      <c r="E84" s="404" t="s">
        <v>53</v>
      </c>
      <c r="F84" s="404"/>
      <c r="G84" s="404"/>
      <c r="H84" s="404"/>
      <c r="I84" s="404"/>
      <c r="J84" s="404"/>
      <c r="K84" s="404" t="s">
        <v>54</v>
      </c>
      <c r="L84" s="404"/>
      <c r="M84" s="404"/>
      <c r="N84" s="404"/>
      <c r="O84" s="404"/>
      <c r="P84" s="404"/>
      <c r="Q84" s="404"/>
      <c r="R84" s="404"/>
      <c r="S84" s="404"/>
      <c r="T84" s="404" t="s">
        <v>55</v>
      </c>
      <c r="U84" s="404"/>
      <c r="V84" s="404" t="s">
        <v>56</v>
      </c>
      <c r="W84" s="404"/>
      <c r="X84" s="404"/>
      <c r="Y84" s="404" t="s">
        <v>51</v>
      </c>
      <c r="Z84" s="404"/>
      <c r="AA84" s="404"/>
      <c r="AB84" s="404"/>
      <c r="AC84" s="404"/>
      <c r="AD84" s="405"/>
      <c r="AF84" s="50"/>
    </row>
    <row r="85" spans="1:32" ht="30.75" customHeight="1">
      <c r="A85" s="406">
        <v>1</v>
      </c>
      <c r="B85" s="407"/>
      <c r="C85" s="408"/>
      <c r="D85" s="408"/>
      <c r="E85" s="408"/>
      <c r="F85" s="408"/>
      <c r="G85" s="408"/>
      <c r="H85" s="408"/>
      <c r="I85" s="408"/>
      <c r="J85" s="408"/>
      <c r="K85" s="408"/>
      <c r="L85" s="408"/>
      <c r="M85" s="408"/>
      <c r="N85" s="408"/>
      <c r="O85" s="408"/>
      <c r="P85" s="408"/>
      <c r="Q85" s="408"/>
      <c r="R85" s="408"/>
      <c r="S85" s="408"/>
      <c r="T85" s="408"/>
      <c r="U85" s="408"/>
      <c r="V85" s="409"/>
      <c r="W85" s="409"/>
      <c r="X85" s="409"/>
      <c r="Y85" s="410"/>
      <c r="Z85" s="410"/>
      <c r="AA85" s="410"/>
      <c r="AB85" s="410"/>
      <c r="AC85" s="410"/>
      <c r="AD85" s="411"/>
      <c r="AF85" s="50"/>
    </row>
    <row r="86" spans="1:32" ht="30.75" customHeight="1">
      <c r="A86" s="399">
        <v>2</v>
      </c>
      <c r="B86" s="400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  <c r="Q86" s="401"/>
      <c r="R86" s="401"/>
      <c r="S86" s="401"/>
      <c r="T86" s="402"/>
      <c r="U86" s="402"/>
      <c r="V86" s="403"/>
      <c r="W86" s="403"/>
      <c r="X86" s="403"/>
      <c r="Y86" s="392"/>
      <c r="Z86" s="392"/>
      <c r="AA86" s="392"/>
      <c r="AB86" s="392"/>
      <c r="AC86" s="392"/>
      <c r="AD86" s="393"/>
      <c r="AF86" s="50"/>
    </row>
    <row r="87" spans="1:32" ht="30.75" customHeight="1" thickBot="1">
      <c r="A87" s="394">
        <v>3</v>
      </c>
      <c r="B87" s="395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M87" s="396"/>
      <c r="N87" s="396"/>
      <c r="O87" s="396"/>
      <c r="P87" s="396"/>
      <c r="Q87" s="396"/>
      <c r="R87" s="396"/>
      <c r="S87" s="396"/>
      <c r="T87" s="396"/>
      <c r="U87" s="396"/>
      <c r="V87" s="396"/>
      <c r="W87" s="396"/>
      <c r="X87" s="396"/>
      <c r="Y87" s="397"/>
      <c r="Z87" s="397"/>
      <c r="AA87" s="397"/>
      <c r="AB87" s="397"/>
      <c r="AC87" s="397"/>
      <c r="AD87" s="398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87D-C2E4-4D92-BD49-DD9C6F90B62C}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238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162" t="s">
        <v>17</v>
      </c>
      <c r="L5" s="162" t="s">
        <v>18</v>
      </c>
      <c r="M5" s="162" t="s">
        <v>19</v>
      </c>
      <c r="N5" s="16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0.57222222222222219</v>
      </c>
      <c r="AF6" s="87">
        <f t="shared" ref="AF6:AF22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0.57222222222222219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62000</v>
      </c>
      <c r="J8" s="5">
        <v>3963</v>
      </c>
      <c r="K8" s="15">
        <f>L8+3980+5675+3264+5251+5511+5242+4989</f>
        <v>37875</v>
      </c>
      <c r="L8" s="15">
        <f>3170+793</f>
        <v>3963</v>
      </c>
      <c r="M8" s="15">
        <f t="shared" si="1"/>
        <v>3963</v>
      </c>
      <c r="N8" s="15">
        <v>0</v>
      </c>
      <c r="O8" s="58">
        <f t="shared" si="2"/>
        <v>0</v>
      </c>
      <c r="P8" s="39">
        <f t="shared" si="3"/>
        <v>21</v>
      </c>
      <c r="Q8" s="40">
        <f t="shared" si="4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0.875</v>
      </c>
      <c r="AD8" s="10">
        <f t="shared" si="7"/>
        <v>0.875</v>
      </c>
      <c r="AE8" s="36">
        <f t="shared" si="8"/>
        <v>0.57222222222222219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4230</v>
      </c>
      <c r="K9" s="15">
        <f>L9+2483+2720+3334+3355+5508+204+4399+3307+5387+4130</f>
        <v>39057</v>
      </c>
      <c r="L9" s="15">
        <f>3479+751</f>
        <v>4230</v>
      </c>
      <c r="M9" s="15">
        <f t="shared" si="1"/>
        <v>4230</v>
      </c>
      <c r="N9" s="15">
        <v>0</v>
      </c>
      <c r="O9" s="58">
        <f t="shared" si="2"/>
        <v>0</v>
      </c>
      <c r="P9" s="39">
        <f t="shared" si="3"/>
        <v>19</v>
      </c>
      <c r="Q9" s="40">
        <f t="shared" si="4"/>
        <v>5</v>
      </c>
      <c r="R9" s="7"/>
      <c r="S9" s="6">
        <v>5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0.79166666666666663</v>
      </c>
      <c r="AD9" s="10">
        <f t="shared" si="7"/>
        <v>0.79166666666666663</v>
      </c>
      <c r="AE9" s="36">
        <f t="shared" si="8"/>
        <v>0.57222222222222219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154</v>
      </c>
      <c r="D10" s="52" t="s">
        <v>158</v>
      </c>
      <c r="E10" s="53" t="s">
        <v>159</v>
      </c>
      <c r="F10" s="30" t="s">
        <v>122</v>
      </c>
      <c r="G10" s="33">
        <v>1</v>
      </c>
      <c r="H10" s="35">
        <v>24</v>
      </c>
      <c r="I10" s="7">
        <v>75000</v>
      </c>
      <c r="J10" s="5">
        <v>11688</v>
      </c>
      <c r="K10" s="15">
        <f>L10+4000+2801+4378+6093+3959+7386+10861+4645+8836+8066</f>
        <v>72713</v>
      </c>
      <c r="L10" s="15">
        <f>4167*2+3354</f>
        <v>11688</v>
      </c>
      <c r="M10" s="15">
        <f t="shared" si="1"/>
        <v>11688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0.57222222222222219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126</v>
      </c>
      <c r="D11" s="52" t="s">
        <v>222</v>
      </c>
      <c r="E11" s="53" t="s">
        <v>219</v>
      </c>
      <c r="F11" s="12" t="s">
        <v>239</v>
      </c>
      <c r="G11" s="12">
        <v>32</v>
      </c>
      <c r="H11" s="13">
        <v>24</v>
      </c>
      <c r="I11" s="7">
        <v>200000</v>
      </c>
      <c r="J11" s="14">
        <v>190624</v>
      </c>
      <c r="K11" s="15">
        <f>L11</f>
        <v>190624</v>
      </c>
      <c r="L11" s="15">
        <f>2278*32+3679*32</f>
        <v>190624</v>
      </c>
      <c r="M11" s="15">
        <f t="shared" si="1"/>
        <v>190624</v>
      </c>
      <c r="N11" s="15">
        <v>0</v>
      </c>
      <c r="O11" s="58">
        <f t="shared" si="2"/>
        <v>0</v>
      </c>
      <c r="P11" s="39">
        <f t="shared" si="3"/>
        <v>23</v>
      </c>
      <c r="Q11" s="40">
        <f t="shared" si="4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0.95833333333333337</v>
      </c>
      <c r="AD11" s="10">
        <f t="shared" si="7"/>
        <v>0.95833333333333337</v>
      </c>
      <c r="AE11" s="36">
        <f t="shared" si="8"/>
        <v>0.57222222222222219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130</v>
      </c>
      <c r="F12" s="30" t="s">
        <v>122</v>
      </c>
      <c r="G12" s="33">
        <v>1</v>
      </c>
      <c r="H12" s="35">
        <v>20</v>
      </c>
      <c r="I12" s="7">
        <v>10000</v>
      </c>
      <c r="J12" s="14">
        <v>2392</v>
      </c>
      <c r="K12" s="15">
        <f>L12+2164+4238+4574</f>
        <v>13368</v>
      </c>
      <c r="L12" s="15">
        <v>2392</v>
      </c>
      <c r="M12" s="15">
        <f t="shared" si="1"/>
        <v>2392</v>
      </c>
      <c r="N12" s="15">
        <v>0</v>
      </c>
      <c r="O12" s="58">
        <f t="shared" si="2"/>
        <v>0</v>
      </c>
      <c r="P12" s="39">
        <f t="shared" si="3"/>
        <v>10</v>
      </c>
      <c r="Q12" s="40">
        <f t="shared" si="4"/>
        <v>14</v>
      </c>
      <c r="R12" s="7"/>
      <c r="S12" s="6"/>
      <c r="T12" s="16"/>
      <c r="U12" s="16"/>
      <c r="V12" s="17"/>
      <c r="W12" s="5">
        <v>14</v>
      </c>
      <c r="X12" s="16"/>
      <c r="Y12" s="16"/>
      <c r="Z12" s="16"/>
      <c r="AA12" s="18"/>
      <c r="AB12" s="8">
        <f t="shared" si="5"/>
        <v>1</v>
      </c>
      <c r="AC12" s="9">
        <f t="shared" si="6"/>
        <v>0.41666666666666669</v>
      </c>
      <c r="AD12" s="10">
        <f t="shared" si="7"/>
        <v>0.41666666666666669</v>
      </c>
      <c r="AE12" s="36">
        <f t="shared" si="8"/>
        <v>0.57222222222222219</v>
      </c>
      <c r="AF12" s="87">
        <f t="shared" si="9"/>
        <v>7</v>
      </c>
    </row>
    <row r="13" spans="1:32" ht="27" customHeight="1">
      <c r="A13" s="103">
        <v>7</v>
      </c>
      <c r="B13" s="11" t="s">
        <v>57</v>
      </c>
      <c r="C13" s="11" t="s">
        <v>126</v>
      </c>
      <c r="D13" s="52" t="s">
        <v>117</v>
      </c>
      <c r="E13" s="53" t="s">
        <v>240</v>
      </c>
      <c r="F13" s="30" t="s">
        <v>122</v>
      </c>
      <c r="G13" s="33">
        <v>1</v>
      </c>
      <c r="H13" s="35">
        <v>20</v>
      </c>
      <c r="I13" s="7">
        <v>23000</v>
      </c>
      <c r="J13" s="14">
        <v>2522</v>
      </c>
      <c r="K13" s="15">
        <f>L13</f>
        <v>2522</v>
      </c>
      <c r="L13" s="15">
        <f>2522</f>
        <v>2522</v>
      </c>
      <c r="M13" s="15">
        <f t="shared" ref="M13" si="10">L13-N13</f>
        <v>2522</v>
      </c>
      <c r="N13" s="15">
        <v>0</v>
      </c>
      <c r="O13" s="58">
        <f t="shared" ref="O13" si="11">IF(L13=0,"0",N13/L13)</f>
        <v>0</v>
      </c>
      <c r="P13" s="39">
        <f t="shared" ref="P13" si="12">IF(L13=0,"0",(24-Q13))</f>
        <v>12</v>
      </c>
      <c r="Q13" s="40">
        <f t="shared" ref="Q13" si="13">SUM(R13:AA13)</f>
        <v>12</v>
      </c>
      <c r="R13" s="7"/>
      <c r="S13" s="6"/>
      <c r="T13" s="16">
        <v>12</v>
      </c>
      <c r="U13" s="16"/>
      <c r="V13" s="17"/>
      <c r="W13" s="5"/>
      <c r="X13" s="16"/>
      <c r="Y13" s="16"/>
      <c r="Z13" s="16"/>
      <c r="AA13" s="18"/>
      <c r="AB13" s="8">
        <f t="shared" ref="AB13" si="14">IF(J13=0,"0",(L13/J13))</f>
        <v>1</v>
      </c>
      <c r="AC13" s="9">
        <f t="shared" ref="AC13" si="15">IF(P13=0,"0",(P13/24))</f>
        <v>0.5</v>
      </c>
      <c r="AD13" s="10">
        <f t="shared" ref="AD13" si="16">AC13*AB13*(1-O13)</f>
        <v>0.5</v>
      </c>
      <c r="AE13" s="36">
        <f t="shared" si="8"/>
        <v>0.57222222222222219</v>
      </c>
      <c r="AF13" s="87">
        <f t="shared" ref="AF13" si="17">A13</f>
        <v>7</v>
      </c>
    </row>
    <row r="14" spans="1:32" ht="27" customHeight="1">
      <c r="A14" s="103">
        <v>8</v>
      </c>
      <c r="B14" s="11" t="s">
        <v>57</v>
      </c>
      <c r="C14" s="11" t="s">
        <v>126</v>
      </c>
      <c r="D14" s="52" t="s">
        <v>123</v>
      </c>
      <c r="E14" s="53" t="s">
        <v>241</v>
      </c>
      <c r="F14" s="30" t="s">
        <v>156</v>
      </c>
      <c r="G14" s="33">
        <v>1</v>
      </c>
      <c r="H14" s="35">
        <v>24</v>
      </c>
      <c r="I14" s="7">
        <v>20000</v>
      </c>
      <c r="J14" s="14">
        <v>2174</v>
      </c>
      <c r="K14" s="15">
        <f>L14</f>
        <v>2174</v>
      </c>
      <c r="L14" s="15">
        <v>2174</v>
      </c>
      <c r="M14" s="15">
        <f t="shared" si="1"/>
        <v>2174</v>
      </c>
      <c r="N14" s="15">
        <v>0</v>
      </c>
      <c r="O14" s="58">
        <f t="shared" si="2"/>
        <v>0</v>
      </c>
      <c r="P14" s="39">
        <f t="shared" si="3"/>
        <v>11</v>
      </c>
      <c r="Q14" s="40">
        <f t="shared" si="4"/>
        <v>13</v>
      </c>
      <c r="R14" s="7"/>
      <c r="S14" s="6">
        <v>4</v>
      </c>
      <c r="T14" s="16">
        <v>9</v>
      </c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0.45833333333333331</v>
      </c>
      <c r="AD14" s="10">
        <f t="shared" si="7"/>
        <v>0.45833333333333331</v>
      </c>
      <c r="AE14" s="36">
        <f t="shared" si="8"/>
        <v>0.57222222222222219</v>
      </c>
      <c r="AF14" s="87">
        <f t="shared" si="9"/>
        <v>8</v>
      </c>
    </row>
    <row r="15" spans="1:32" ht="27" customHeight="1">
      <c r="A15" s="103">
        <v>8</v>
      </c>
      <c r="B15" s="11" t="s">
        <v>57</v>
      </c>
      <c r="C15" s="11" t="s">
        <v>126</v>
      </c>
      <c r="D15" s="52" t="s">
        <v>125</v>
      </c>
      <c r="E15" s="53" t="s">
        <v>223</v>
      </c>
      <c r="F15" s="30" t="s">
        <v>156</v>
      </c>
      <c r="G15" s="33">
        <v>1</v>
      </c>
      <c r="H15" s="35">
        <v>24</v>
      </c>
      <c r="I15" s="7">
        <v>1000</v>
      </c>
      <c r="J15" s="14">
        <v>1236</v>
      </c>
      <c r="K15" s="15">
        <f>L15</f>
        <v>1236</v>
      </c>
      <c r="L15" s="15">
        <v>1236</v>
      </c>
      <c r="M15" s="15">
        <f t="shared" si="1"/>
        <v>1236</v>
      </c>
      <c r="N15" s="15">
        <v>0</v>
      </c>
      <c r="O15" s="58">
        <f t="shared" si="2"/>
        <v>0</v>
      </c>
      <c r="P15" s="39">
        <f t="shared" si="3"/>
        <v>9</v>
      </c>
      <c r="Q15" s="40">
        <f t="shared" si="4"/>
        <v>15</v>
      </c>
      <c r="R15" s="7"/>
      <c r="S15" s="6"/>
      <c r="T15" s="16"/>
      <c r="U15" s="16"/>
      <c r="V15" s="17"/>
      <c r="W15" s="5">
        <v>15</v>
      </c>
      <c r="X15" s="16"/>
      <c r="Y15" s="16"/>
      <c r="Z15" s="16"/>
      <c r="AA15" s="18"/>
      <c r="AB15" s="8">
        <f t="shared" si="5"/>
        <v>1</v>
      </c>
      <c r="AC15" s="9">
        <f t="shared" si="6"/>
        <v>0.375</v>
      </c>
      <c r="AD15" s="10">
        <f t="shared" si="7"/>
        <v>0.375</v>
      </c>
      <c r="AE15" s="36">
        <f t="shared" si="8"/>
        <v>0.57222222222222219</v>
      </c>
      <c r="AF15" s="87">
        <f t="shared" si="9"/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117</v>
      </c>
      <c r="E16" s="53" t="s">
        <v>225</v>
      </c>
      <c r="F16" s="30" t="s">
        <v>242</v>
      </c>
      <c r="G16" s="33">
        <v>1</v>
      </c>
      <c r="H16" s="35">
        <v>40</v>
      </c>
      <c r="I16" s="7">
        <v>500</v>
      </c>
      <c r="J16" s="5">
        <v>338</v>
      </c>
      <c r="K16" s="15">
        <f>L16</f>
        <v>338</v>
      </c>
      <c r="L16" s="15">
        <v>338</v>
      </c>
      <c r="M16" s="15">
        <f t="shared" si="1"/>
        <v>338</v>
      </c>
      <c r="N16" s="15">
        <v>0</v>
      </c>
      <c r="O16" s="58">
        <f t="shared" si="2"/>
        <v>0</v>
      </c>
      <c r="P16" s="39">
        <f t="shared" si="3"/>
        <v>6</v>
      </c>
      <c r="Q16" s="40">
        <f t="shared" si="4"/>
        <v>18</v>
      </c>
      <c r="R16" s="7"/>
      <c r="S16" s="6">
        <v>18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0.25</v>
      </c>
      <c r="AD16" s="10">
        <f t="shared" si="7"/>
        <v>0.25</v>
      </c>
      <c r="AE16" s="36">
        <f t="shared" si="8"/>
        <v>0.57222222222222219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149</v>
      </c>
      <c r="D17" s="52"/>
      <c r="E17" s="53" t="s">
        <v>167</v>
      </c>
      <c r="F17" s="12">
        <v>8301</v>
      </c>
      <c r="G17" s="12">
        <v>1</v>
      </c>
      <c r="H17" s="13">
        <v>24</v>
      </c>
      <c r="I17" s="31">
        <v>2000</v>
      </c>
      <c r="J17" s="14">
        <v>1140</v>
      </c>
      <c r="K17" s="15">
        <f>L17+1150+1139</f>
        <v>2289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0.57222222222222219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11" t="s">
        <v>126</v>
      </c>
      <c r="D18" s="52" t="s">
        <v>143</v>
      </c>
      <c r="E18" s="53" t="s">
        <v>164</v>
      </c>
      <c r="F18" s="12" t="s">
        <v>144</v>
      </c>
      <c r="G18" s="12">
        <v>1</v>
      </c>
      <c r="H18" s="13">
        <v>24</v>
      </c>
      <c r="I18" s="7">
        <v>60000</v>
      </c>
      <c r="J18" s="14">
        <v>5464</v>
      </c>
      <c r="K18" s="15">
        <f>L18+2357+5213+5517+5420+5503+5457+5438+2407+5322+5509+5389+5514</f>
        <v>64510</v>
      </c>
      <c r="L18" s="15">
        <f>2476+2988</f>
        <v>5464</v>
      </c>
      <c r="M18" s="15">
        <f t="shared" si="1"/>
        <v>5464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0.57222222222222219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34" t="s">
        <v>114</v>
      </c>
      <c r="D19" s="52" t="s">
        <v>125</v>
      </c>
      <c r="E19" s="53" t="s">
        <v>152</v>
      </c>
      <c r="F19" s="12" t="s">
        <v>155</v>
      </c>
      <c r="G19" s="12">
        <v>1</v>
      </c>
      <c r="H19" s="13">
        <v>24</v>
      </c>
      <c r="I19" s="31">
        <v>2000</v>
      </c>
      <c r="J19" s="14">
        <v>3034</v>
      </c>
      <c r="K19" s="15">
        <f>L19+3034</f>
        <v>3034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0.57222222222222219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114</v>
      </c>
      <c r="D20" s="52" t="s">
        <v>117</v>
      </c>
      <c r="E20" s="53" t="s">
        <v>148</v>
      </c>
      <c r="F20" s="30" t="s">
        <v>122</v>
      </c>
      <c r="G20" s="33">
        <v>1</v>
      </c>
      <c r="H20" s="35">
        <v>24</v>
      </c>
      <c r="I20" s="7">
        <f>48000+42000</f>
        <v>90000</v>
      </c>
      <c r="J20" s="5">
        <v>5860</v>
      </c>
      <c r="K20" s="15">
        <f>L20+4490+5516+5079+4632+5428+5727+5954+3807+5671+5681+3837+3725+5801+5150+5731+2573+5660+3935+5620</f>
        <v>99877</v>
      </c>
      <c r="L20" s="15">
        <f>2670+3190</f>
        <v>5860</v>
      </c>
      <c r="M20" s="15">
        <f t="shared" si="1"/>
        <v>5860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>AC20*AB20*(1-O20)</f>
        <v>1</v>
      </c>
      <c r="AE20" s="36">
        <f t="shared" si="8"/>
        <v>0.57222222222222219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154</v>
      </c>
      <c r="D21" s="52" t="s">
        <v>163</v>
      </c>
      <c r="E21" s="53" t="s">
        <v>160</v>
      </c>
      <c r="F21" s="30" t="s">
        <v>122</v>
      </c>
      <c r="G21" s="33" t="s">
        <v>145</v>
      </c>
      <c r="H21" s="35">
        <v>20</v>
      </c>
      <c r="I21" s="7">
        <v>24000</v>
      </c>
      <c r="J21" s="14">
        <v>2299</v>
      </c>
      <c r="K21" s="15">
        <f>L21+2858+3260+3809+4479+5691+802+2489+3500+2676+4317+6116</f>
        <v>42296</v>
      </c>
      <c r="L21" s="15">
        <v>2299</v>
      </c>
      <c r="M21" s="15">
        <f t="shared" si="1"/>
        <v>2299</v>
      </c>
      <c r="N21" s="15">
        <v>0</v>
      </c>
      <c r="O21" s="58">
        <f t="shared" si="2"/>
        <v>0</v>
      </c>
      <c r="P21" s="39">
        <f t="shared" si="3"/>
        <v>10</v>
      </c>
      <c r="Q21" s="40">
        <f t="shared" si="4"/>
        <v>14</v>
      </c>
      <c r="R21" s="7"/>
      <c r="S21" s="6"/>
      <c r="T21" s="16"/>
      <c r="U21" s="16"/>
      <c r="V21" s="17"/>
      <c r="W21" s="5">
        <v>14</v>
      </c>
      <c r="X21" s="16"/>
      <c r="Y21" s="16"/>
      <c r="Z21" s="16"/>
      <c r="AA21" s="18"/>
      <c r="AB21" s="8">
        <f t="shared" si="5"/>
        <v>1</v>
      </c>
      <c r="AC21" s="9">
        <f t="shared" si="6"/>
        <v>0.41666666666666669</v>
      </c>
      <c r="AD21" s="10">
        <f t="shared" ref="AD21" si="18">AC21*AB21*(1-O21)</f>
        <v>0.41666666666666669</v>
      </c>
      <c r="AE21" s="36">
        <f t="shared" si="8"/>
        <v>0.57222222222222219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195</v>
      </c>
      <c r="F22" s="12" t="s">
        <v>116</v>
      </c>
      <c r="G22" s="12">
        <v>4</v>
      </c>
      <c r="H22" s="35">
        <v>20</v>
      </c>
      <c r="I22" s="7">
        <v>200000</v>
      </c>
      <c r="J22" s="14">
        <v>40080</v>
      </c>
      <c r="K22" s="15">
        <f>L22+26900</f>
        <v>66980</v>
      </c>
      <c r="L22" s="15">
        <f>10020*4</f>
        <v>40080</v>
      </c>
      <c r="M22" s="15">
        <f t="shared" si="1"/>
        <v>40080</v>
      </c>
      <c r="N22" s="15">
        <v>0</v>
      </c>
      <c r="O22" s="58">
        <f t="shared" si="2"/>
        <v>0</v>
      </c>
      <c r="P22" s="39">
        <f t="shared" si="3"/>
        <v>13</v>
      </c>
      <c r="Q22" s="40">
        <f t="shared" si="4"/>
        <v>11</v>
      </c>
      <c r="R22" s="7"/>
      <c r="S22" s="6"/>
      <c r="T22" s="16"/>
      <c r="U22" s="16"/>
      <c r="V22" s="17">
        <v>11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0.54166666666666663</v>
      </c>
      <c r="AD22" s="10">
        <f t="shared" si="7"/>
        <v>0.54166666666666663</v>
      </c>
      <c r="AE22" s="36">
        <f t="shared" si="8"/>
        <v>0.57222222222222219</v>
      </c>
      <c r="AF22" s="87">
        <f t="shared" si="9"/>
        <v>15</v>
      </c>
    </row>
    <row r="23" spans="1:32" ht="31.5" customHeight="1" thickBot="1">
      <c r="A23" s="467" t="s">
        <v>34</v>
      </c>
      <c r="B23" s="468"/>
      <c r="C23" s="468"/>
      <c r="D23" s="468"/>
      <c r="E23" s="468"/>
      <c r="F23" s="468"/>
      <c r="G23" s="468"/>
      <c r="H23" s="469"/>
      <c r="I23" s="22">
        <f t="shared" ref="I23:N23" si="19">SUM(I6:I22)</f>
        <v>829500</v>
      </c>
      <c r="J23" s="19">
        <f t="shared" si="19"/>
        <v>277044</v>
      </c>
      <c r="K23" s="20">
        <f t="shared" si="19"/>
        <v>638893</v>
      </c>
      <c r="L23" s="21">
        <f t="shared" si="19"/>
        <v>272870</v>
      </c>
      <c r="M23" s="20">
        <f t="shared" si="19"/>
        <v>272870</v>
      </c>
      <c r="N23" s="21">
        <f t="shared" si="19"/>
        <v>0</v>
      </c>
      <c r="O23" s="41">
        <f t="shared" si="2"/>
        <v>0</v>
      </c>
      <c r="P23" s="42">
        <f t="shared" ref="P23:AA23" si="20">SUM(P6:P22)</f>
        <v>206</v>
      </c>
      <c r="Q23" s="43">
        <f t="shared" si="20"/>
        <v>202</v>
      </c>
      <c r="R23" s="23">
        <f t="shared" si="20"/>
        <v>24</v>
      </c>
      <c r="S23" s="24">
        <f t="shared" si="20"/>
        <v>30</v>
      </c>
      <c r="T23" s="24">
        <f t="shared" si="20"/>
        <v>22</v>
      </c>
      <c r="U23" s="24">
        <f t="shared" si="20"/>
        <v>0</v>
      </c>
      <c r="V23" s="25">
        <f t="shared" si="20"/>
        <v>11</v>
      </c>
      <c r="W23" s="26">
        <f t="shared" si="20"/>
        <v>115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0</v>
      </c>
      <c r="AB23" s="28">
        <f>SUM(AB6:AB22)/15</f>
        <v>0.8666666666666667</v>
      </c>
      <c r="AC23" s="4">
        <f>SUM(AC6:AC22)/15</f>
        <v>0.57222222222222219</v>
      </c>
      <c r="AD23" s="4">
        <f>SUM(AD6:AD22)/15</f>
        <v>0.57222222222222219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70" t="s">
        <v>45</v>
      </c>
      <c r="B50" s="470"/>
      <c r="C50" s="470"/>
      <c r="D50" s="470"/>
      <c r="E50" s="470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71" t="s">
        <v>243</v>
      </c>
      <c r="B51" s="472"/>
      <c r="C51" s="472"/>
      <c r="D51" s="472"/>
      <c r="E51" s="472"/>
      <c r="F51" s="472"/>
      <c r="G51" s="472"/>
      <c r="H51" s="472"/>
      <c r="I51" s="472"/>
      <c r="J51" s="472"/>
      <c r="K51" s="472"/>
      <c r="L51" s="472"/>
      <c r="M51" s="473"/>
      <c r="N51" s="474" t="s">
        <v>246</v>
      </c>
      <c r="O51" s="475"/>
      <c r="P51" s="475"/>
      <c r="Q51" s="475"/>
      <c r="R51" s="475"/>
      <c r="S51" s="475"/>
      <c r="T51" s="475"/>
      <c r="U51" s="475"/>
      <c r="V51" s="475"/>
      <c r="W51" s="475"/>
      <c r="X51" s="475"/>
      <c r="Y51" s="475"/>
      <c r="Z51" s="475"/>
      <c r="AA51" s="475"/>
      <c r="AB51" s="475"/>
      <c r="AC51" s="475"/>
      <c r="AD51" s="476"/>
    </row>
    <row r="52" spans="1:32" ht="27" customHeight="1">
      <c r="A52" s="477" t="s">
        <v>2</v>
      </c>
      <c r="B52" s="478"/>
      <c r="C52" s="161" t="s">
        <v>46</v>
      </c>
      <c r="D52" s="161" t="s">
        <v>47</v>
      </c>
      <c r="E52" s="161" t="s">
        <v>108</v>
      </c>
      <c r="F52" s="478" t="s">
        <v>107</v>
      </c>
      <c r="G52" s="478"/>
      <c r="H52" s="478"/>
      <c r="I52" s="478"/>
      <c r="J52" s="478"/>
      <c r="K52" s="478"/>
      <c r="L52" s="478"/>
      <c r="M52" s="479"/>
      <c r="N52" s="67" t="s">
        <v>112</v>
      </c>
      <c r="O52" s="161" t="s">
        <v>46</v>
      </c>
      <c r="P52" s="480" t="s">
        <v>47</v>
      </c>
      <c r="Q52" s="481"/>
      <c r="R52" s="480" t="s">
        <v>38</v>
      </c>
      <c r="S52" s="482"/>
      <c r="T52" s="482"/>
      <c r="U52" s="481"/>
      <c r="V52" s="480" t="s">
        <v>48</v>
      </c>
      <c r="W52" s="482"/>
      <c r="X52" s="482"/>
      <c r="Y52" s="482"/>
      <c r="Z52" s="482"/>
      <c r="AA52" s="482"/>
      <c r="AB52" s="482"/>
      <c r="AC52" s="482"/>
      <c r="AD52" s="483"/>
    </row>
    <row r="53" spans="1:32" ht="27" customHeight="1">
      <c r="A53" s="451" t="s">
        <v>126</v>
      </c>
      <c r="B53" s="452"/>
      <c r="C53" s="158" t="s">
        <v>188</v>
      </c>
      <c r="D53" s="158" t="s">
        <v>123</v>
      </c>
      <c r="E53" s="158" t="s">
        <v>187</v>
      </c>
      <c r="F53" s="453" t="s">
        <v>244</v>
      </c>
      <c r="G53" s="454"/>
      <c r="H53" s="454"/>
      <c r="I53" s="454"/>
      <c r="J53" s="454"/>
      <c r="K53" s="454"/>
      <c r="L53" s="454"/>
      <c r="M53" s="455"/>
      <c r="N53" s="157" t="s">
        <v>114</v>
      </c>
      <c r="O53" s="155" t="s">
        <v>226</v>
      </c>
      <c r="P53" s="463" t="s">
        <v>117</v>
      </c>
      <c r="Q53" s="464"/>
      <c r="R53" s="452" t="s">
        <v>225</v>
      </c>
      <c r="S53" s="452"/>
      <c r="T53" s="452"/>
      <c r="U53" s="452"/>
      <c r="V53" s="442" t="s">
        <v>137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126</v>
      </c>
      <c r="B54" s="452"/>
      <c r="C54" s="158" t="s">
        <v>204</v>
      </c>
      <c r="D54" s="158" t="s">
        <v>117</v>
      </c>
      <c r="E54" s="158" t="s">
        <v>240</v>
      </c>
      <c r="F54" s="453" t="s">
        <v>121</v>
      </c>
      <c r="G54" s="454"/>
      <c r="H54" s="454"/>
      <c r="I54" s="454"/>
      <c r="J54" s="454"/>
      <c r="K54" s="454"/>
      <c r="L54" s="454"/>
      <c r="M54" s="455"/>
      <c r="N54" s="157" t="s">
        <v>126</v>
      </c>
      <c r="O54" s="155" t="s">
        <v>182</v>
      </c>
      <c r="P54" s="463" t="s">
        <v>123</v>
      </c>
      <c r="Q54" s="464"/>
      <c r="R54" s="452" t="s">
        <v>241</v>
      </c>
      <c r="S54" s="452"/>
      <c r="T54" s="452"/>
      <c r="U54" s="452"/>
      <c r="V54" s="442" t="s">
        <v>137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126</v>
      </c>
      <c r="B55" s="452"/>
      <c r="C55" s="158" t="s">
        <v>135</v>
      </c>
      <c r="D55" s="158" t="s">
        <v>157</v>
      </c>
      <c r="E55" s="158" t="s">
        <v>161</v>
      </c>
      <c r="F55" s="453" t="s">
        <v>137</v>
      </c>
      <c r="G55" s="454"/>
      <c r="H55" s="454"/>
      <c r="I55" s="454"/>
      <c r="J55" s="454"/>
      <c r="K55" s="454"/>
      <c r="L55" s="454"/>
      <c r="M55" s="455"/>
      <c r="N55" s="157" t="s">
        <v>126</v>
      </c>
      <c r="O55" s="155" t="s">
        <v>138</v>
      </c>
      <c r="P55" s="463" t="s">
        <v>117</v>
      </c>
      <c r="Q55" s="464"/>
      <c r="R55" s="452" t="s">
        <v>247</v>
      </c>
      <c r="S55" s="452"/>
      <c r="T55" s="452"/>
      <c r="U55" s="452"/>
      <c r="V55" s="442" t="s">
        <v>121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126</v>
      </c>
      <c r="B56" s="452"/>
      <c r="C56" s="158" t="s">
        <v>147</v>
      </c>
      <c r="D56" s="158" t="s">
        <v>222</v>
      </c>
      <c r="E56" s="158" t="s">
        <v>219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157"/>
      <c r="O56" s="155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126</v>
      </c>
      <c r="B57" s="452"/>
      <c r="C57" s="158" t="s">
        <v>182</v>
      </c>
      <c r="D57" s="158" t="s">
        <v>125</v>
      </c>
      <c r="E57" s="158" t="s">
        <v>223</v>
      </c>
      <c r="F57" s="453" t="s">
        <v>121</v>
      </c>
      <c r="G57" s="454"/>
      <c r="H57" s="454"/>
      <c r="I57" s="454"/>
      <c r="J57" s="454"/>
      <c r="K57" s="454"/>
      <c r="L57" s="454"/>
      <c r="M57" s="455"/>
      <c r="N57" s="157"/>
      <c r="O57" s="155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 t="s">
        <v>126</v>
      </c>
      <c r="B58" s="452"/>
      <c r="C58" s="158" t="s">
        <v>182</v>
      </c>
      <c r="D58" s="158" t="s">
        <v>123</v>
      </c>
      <c r="E58" s="158" t="s">
        <v>241</v>
      </c>
      <c r="F58" s="453" t="s">
        <v>245</v>
      </c>
      <c r="G58" s="454"/>
      <c r="H58" s="454"/>
      <c r="I58" s="454"/>
      <c r="J58" s="454"/>
      <c r="K58" s="454"/>
      <c r="L58" s="454"/>
      <c r="M58" s="455"/>
      <c r="N58" s="157"/>
      <c r="O58" s="155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 t="s">
        <v>114</v>
      </c>
      <c r="B59" s="452"/>
      <c r="C59" s="158" t="s">
        <v>226</v>
      </c>
      <c r="D59" s="158" t="s">
        <v>117</v>
      </c>
      <c r="E59" s="158" t="s">
        <v>225</v>
      </c>
      <c r="F59" s="453" t="s">
        <v>245</v>
      </c>
      <c r="G59" s="454"/>
      <c r="H59" s="454"/>
      <c r="I59" s="454"/>
      <c r="J59" s="454"/>
      <c r="K59" s="454"/>
      <c r="L59" s="454"/>
      <c r="M59" s="455"/>
      <c r="N59" s="157"/>
      <c r="O59" s="155"/>
      <c r="P59" s="463"/>
      <c r="Q59" s="464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/>
      <c r="B60" s="452"/>
      <c r="C60" s="158"/>
      <c r="D60" s="158"/>
      <c r="E60" s="158"/>
      <c r="F60" s="453"/>
      <c r="G60" s="454"/>
      <c r="H60" s="454"/>
      <c r="I60" s="454"/>
      <c r="J60" s="454"/>
      <c r="K60" s="454"/>
      <c r="L60" s="454"/>
      <c r="M60" s="455"/>
      <c r="N60" s="157"/>
      <c r="O60" s="155"/>
      <c r="P60" s="463"/>
      <c r="Q60" s="464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</row>
    <row r="61" spans="1:32" ht="27" customHeight="1">
      <c r="A61" s="451"/>
      <c r="B61" s="452"/>
      <c r="C61" s="158"/>
      <c r="D61" s="158"/>
      <c r="E61" s="158"/>
      <c r="F61" s="453"/>
      <c r="G61" s="454"/>
      <c r="H61" s="454"/>
      <c r="I61" s="454"/>
      <c r="J61" s="454"/>
      <c r="K61" s="454"/>
      <c r="L61" s="454"/>
      <c r="M61" s="455"/>
      <c r="N61" s="157"/>
      <c r="O61" s="155"/>
      <c r="P61" s="452"/>
      <c r="Q61" s="452"/>
      <c r="R61" s="452"/>
      <c r="S61" s="452"/>
      <c r="T61" s="452"/>
      <c r="U61" s="452"/>
      <c r="V61" s="442"/>
      <c r="W61" s="442"/>
      <c r="X61" s="442"/>
      <c r="Y61" s="442"/>
      <c r="Z61" s="442"/>
      <c r="AA61" s="442"/>
      <c r="AB61" s="442"/>
      <c r="AC61" s="442"/>
      <c r="AD61" s="456"/>
      <c r="AF61" s="87">
        <f>8*3000</f>
        <v>24000</v>
      </c>
    </row>
    <row r="62" spans="1:32" ht="27" customHeight="1" thickBot="1">
      <c r="A62" s="457"/>
      <c r="B62" s="458"/>
      <c r="C62" s="160"/>
      <c r="D62" s="160"/>
      <c r="E62" s="160"/>
      <c r="F62" s="459"/>
      <c r="G62" s="459"/>
      <c r="H62" s="459"/>
      <c r="I62" s="459"/>
      <c r="J62" s="459"/>
      <c r="K62" s="459"/>
      <c r="L62" s="459"/>
      <c r="M62" s="460"/>
      <c r="N62" s="159"/>
      <c r="O62" s="114"/>
      <c r="P62" s="458"/>
      <c r="Q62" s="458"/>
      <c r="R62" s="458"/>
      <c r="S62" s="458"/>
      <c r="T62" s="458"/>
      <c r="U62" s="458"/>
      <c r="V62" s="461"/>
      <c r="W62" s="461"/>
      <c r="X62" s="461"/>
      <c r="Y62" s="461"/>
      <c r="Z62" s="461"/>
      <c r="AA62" s="461"/>
      <c r="AB62" s="461"/>
      <c r="AC62" s="461"/>
      <c r="AD62" s="462"/>
      <c r="AF62" s="87">
        <f>16*3000</f>
        <v>48000</v>
      </c>
    </row>
    <row r="63" spans="1:32" ht="27.75" thickBot="1">
      <c r="A63" s="449" t="s">
        <v>248</v>
      </c>
      <c r="B63" s="449"/>
      <c r="C63" s="449"/>
      <c r="D63" s="449"/>
      <c r="E63" s="449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50" t="s">
        <v>113</v>
      </c>
      <c r="B64" s="447"/>
      <c r="C64" s="156" t="s">
        <v>2</v>
      </c>
      <c r="D64" s="156" t="s">
        <v>37</v>
      </c>
      <c r="E64" s="156" t="s">
        <v>3</v>
      </c>
      <c r="F64" s="447" t="s">
        <v>110</v>
      </c>
      <c r="G64" s="447"/>
      <c r="H64" s="447"/>
      <c r="I64" s="447"/>
      <c r="J64" s="447"/>
      <c r="K64" s="447" t="s">
        <v>39</v>
      </c>
      <c r="L64" s="447"/>
      <c r="M64" s="156" t="s">
        <v>40</v>
      </c>
      <c r="N64" s="447" t="s">
        <v>41</v>
      </c>
      <c r="O64" s="447"/>
      <c r="P64" s="444" t="s">
        <v>42</v>
      </c>
      <c r="Q64" s="446"/>
      <c r="R64" s="444" t="s">
        <v>43</v>
      </c>
      <c r="S64" s="445"/>
      <c r="T64" s="445"/>
      <c r="U64" s="445"/>
      <c r="V64" s="445"/>
      <c r="W64" s="445"/>
      <c r="X64" s="445"/>
      <c r="Y64" s="445"/>
      <c r="Z64" s="445"/>
      <c r="AA64" s="446"/>
      <c r="AB64" s="447" t="s">
        <v>44</v>
      </c>
      <c r="AC64" s="447"/>
      <c r="AD64" s="448"/>
      <c r="AF64" s="87">
        <f>SUM(AF61:AF63)</f>
        <v>96000</v>
      </c>
    </row>
    <row r="65" spans="1:32" ht="25.5" customHeight="1">
      <c r="A65" s="438">
        <v>1</v>
      </c>
      <c r="B65" s="439"/>
      <c r="C65" s="117"/>
      <c r="D65" s="151"/>
      <c r="E65" s="154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2</v>
      </c>
      <c r="B66" s="439"/>
      <c r="C66" s="117"/>
      <c r="D66" s="151"/>
      <c r="E66" s="154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3</v>
      </c>
      <c r="B67" s="439"/>
      <c r="C67" s="117"/>
      <c r="D67" s="151"/>
      <c r="E67" s="154"/>
      <c r="F67" s="440"/>
      <c r="G67" s="432"/>
      <c r="H67" s="432"/>
      <c r="I67" s="432"/>
      <c r="J67" s="432"/>
      <c r="K67" s="432"/>
      <c r="L67" s="432"/>
      <c r="M67" s="51"/>
      <c r="N67" s="443"/>
      <c r="O67" s="443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4</v>
      </c>
      <c r="B68" s="439"/>
      <c r="C68" s="117"/>
      <c r="D68" s="151"/>
      <c r="E68" s="154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5</v>
      </c>
      <c r="B69" s="439"/>
      <c r="C69" s="117"/>
      <c r="D69" s="151"/>
      <c r="E69" s="154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6</v>
      </c>
      <c r="B70" s="439"/>
      <c r="C70" s="117"/>
      <c r="D70" s="151"/>
      <c r="E70" s="154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7</v>
      </c>
      <c r="B71" s="439"/>
      <c r="C71" s="117"/>
      <c r="D71" s="151"/>
      <c r="E71" s="154"/>
      <c r="F71" s="440"/>
      <c r="G71" s="432"/>
      <c r="H71" s="432"/>
      <c r="I71" s="432"/>
      <c r="J71" s="432"/>
      <c r="K71" s="432"/>
      <c r="L71" s="432"/>
      <c r="M71" s="51"/>
      <c r="N71" s="432"/>
      <c r="O71" s="432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5.5" customHeight="1">
      <c r="A72" s="438">
        <v>8</v>
      </c>
      <c r="B72" s="439"/>
      <c r="C72" s="117"/>
      <c r="D72" s="151"/>
      <c r="E72" s="154"/>
      <c r="F72" s="440"/>
      <c r="G72" s="432"/>
      <c r="H72" s="432"/>
      <c r="I72" s="432"/>
      <c r="J72" s="432"/>
      <c r="K72" s="432"/>
      <c r="L72" s="432"/>
      <c r="M72" s="51"/>
      <c r="N72" s="432"/>
      <c r="O72" s="432"/>
      <c r="P72" s="441"/>
      <c r="Q72" s="441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32"/>
      <c r="AC72" s="432"/>
      <c r="AD72" s="433"/>
      <c r="AF72" s="50"/>
    </row>
    <row r="73" spans="1:32" ht="26.25" customHeight="1" thickBot="1">
      <c r="A73" s="412" t="s">
        <v>249</v>
      </c>
      <c r="B73" s="412"/>
      <c r="C73" s="412"/>
      <c r="D73" s="412"/>
      <c r="E73" s="412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13" t="s">
        <v>113</v>
      </c>
      <c r="B74" s="414"/>
      <c r="C74" s="153" t="s">
        <v>2</v>
      </c>
      <c r="D74" s="153" t="s">
        <v>37</v>
      </c>
      <c r="E74" s="153" t="s">
        <v>3</v>
      </c>
      <c r="F74" s="414" t="s">
        <v>38</v>
      </c>
      <c r="G74" s="414"/>
      <c r="H74" s="414"/>
      <c r="I74" s="414"/>
      <c r="J74" s="414"/>
      <c r="K74" s="434" t="s">
        <v>58</v>
      </c>
      <c r="L74" s="435"/>
      <c r="M74" s="435"/>
      <c r="N74" s="435"/>
      <c r="O74" s="435"/>
      <c r="P74" s="435"/>
      <c r="Q74" s="435"/>
      <c r="R74" s="435"/>
      <c r="S74" s="436"/>
      <c r="T74" s="414" t="s">
        <v>49</v>
      </c>
      <c r="U74" s="414"/>
      <c r="V74" s="434" t="s">
        <v>50</v>
      </c>
      <c r="W74" s="436"/>
      <c r="X74" s="435" t="s">
        <v>51</v>
      </c>
      <c r="Y74" s="435"/>
      <c r="Z74" s="435"/>
      <c r="AA74" s="435"/>
      <c r="AB74" s="435"/>
      <c r="AC74" s="435"/>
      <c r="AD74" s="437"/>
      <c r="AF74" s="50"/>
    </row>
    <row r="75" spans="1:32" ht="33.75" customHeight="1">
      <c r="A75" s="406">
        <v>1</v>
      </c>
      <c r="B75" s="407"/>
      <c r="C75" s="152" t="s">
        <v>114</v>
      </c>
      <c r="D75" s="152"/>
      <c r="E75" s="65" t="s">
        <v>119</v>
      </c>
      <c r="F75" s="421" t="s">
        <v>118</v>
      </c>
      <c r="G75" s="422"/>
      <c r="H75" s="422"/>
      <c r="I75" s="422"/>
      <c r="J75" s="423"/>
      <c r="K75" s="424" t="s">
        <v>120</v>
      </c>
      <c r="L75" s="425"/>
      <c r="M75" s="425"/>
      <c r="N75" s="425"/>
      <c r="O75" s="425"/>
      <c r="P75" s="425"/>
      <c r="Q75" s="425"/>
      <c r="R75" s="425"/>
      <c r="S75" s="426"/>
      <c r="T75" s="427">
        <v>43384</v>
      </c>
      <c r="U75" s="428"/>
      <c r="V75" s="429"/>
      <c r="W75" s="429"/>
      <c r="X75" s="430"/>
      <c r="Y75" s="430"/>
      <c r="Z75" s="430"/>
      <c r="AA75" s="430"/>
      <c r="AB75" s="430"/>
      <c r="AC75" s="430"/>
      <c r="AD75" s="431"/>
      <c r="AF75" s="50"/>
    </row>
    <row r="76" spans="1:32" ht="30" customHeight="1">
      <c r="A76" s="399">
        <f>A75+1</f>
        <v>2</v>
      </c>
      <c r="B76" s="400"/>
      <c r="C76" s="151"/>
      <c r="D76" s="151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ref="A77:A83" si="21">A76+1</f>
        <v>3</v>
      </c>
      <c r="B77" s="400"/>
      <c r="C77" s="151"/>
      <c r="D77" s="151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21"/>
        <v>4</v>
      </c>
      <c r="B78" s="400"/>
      <c r="C78" s="151"/>
      <c r="D78" s="151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21"/>
        <v>5</v>
      </c>
      <c r="B79" s="400"/>
      <c r="C79" s="151"/>
      <c r="D79" s="151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21"/>
        <v>6</v>
      </c>
      <c r="B80" s="400"/>
      <c r="C80" s="151"/>
      <c r="D80" s="151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21"/>
        <v>7</v>
      </c>
      <c r="B81" s="400"/>
      <c r="C81" s="151"/>
      <c r="D81" s="151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21"/>
        <v>8</v>
      </c>
      <c r="B82" s="400"/>
      <c r="C82" s="151"/>
      <c r="D82" s="151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0" customHeight="1">
      <c r="A83" s="399">
        <f t="shared" si="21"/>
        <v>9</v>
      </c>
      <c r="B83" s="400"/>
      <c r="C83" s="151"/>
      <c r="D83" s="151"/>
      <c r="E83" s="32"/>
      <c r="F83" s="400"/>
      <c r="G83" s="400"/>
      <c r="H83" s="400"/>
      <c r="I83" s="400"/>
      <c r="J83" s="400"/>
      <c r="K83" s="415"/>
      <c r="L83" s="416"/>
      <c r="M83" s="416"/>
      <c r="N83" s="416"/>
      <c r="O83" s="416"/>
      <c r="P83" s="416"/>
      <c r="Q83" s="416"/>
      <c r="R83" s="416"/>
      <c r="S83" s="417"/>
      <c r="T83" s="418"/>
      <c r="U83" s="418"/>
      <c r="V83" s="418"/>
      <c r="W83" s="418"/>
      <c r="X83" s="419"/>
      <c r="Y83" s="419"/>
      <c r="Z83" s="419"/>
      <c r="AA83" s="419"/>
      <c r="AB83" s="419"/>
      <c r="AC83" s="419"/>
      <c r="AD83" s="420"/>
      <c r="AF83" s="50"/>
    </row>
    <row r="84" spans="1:32" ht="36" thickBot="1">
      <c r="A84" s="412" t="s">
        <v>250</v>
      </c>
      <c r="B84" s="412"/>
      <c r="C84" s="412"/>
      <c r="D84" s="412"/>
      <c r="E84" s="412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13" t="s">
        <v>113</v>
      </c>
      <c r="B85" s="414"/>
      <c r="C85" s="404" t="s">
        <v>52</v>
      </c>
      <c r="D85" s="404"/>
      <c r="E85" s="404" t="s">
        <v>53</v>
      </c>
      <c r="F85" s="404"/>
      <c r="G85" s="404"/>
      <c r="H85" s="404"/>
      <c r="I85" s="404"/>
      <c r="J85" s="404"/>
      <c r="K85" s="404" t="s">
        <v>54</v>
      </c>
      <c r="L85" s="404"/>
      <c r="M85" s="404"/>
      <c r="N85" s="404"/>
      <c r="O85" s="404"/>
      <c r="P85" s="404"/>
      <c r="Q85" s="404"/>
      <c r="R85" s="404"/>
      <c r="S85" s="404"/>
      <c r="T85" s="404" t="s">
        <v>55</v>
      </c>
      <c r="U85" s="404"/>
      <c r="V85" s="404" t="s">
        <v>56</v>
      </c>
      <c r="W85" s="404"/>
      <c r="X85" s="404"/>
      <c r="Y85" s="404" t="s">
        <v>51</v>
      </c>
      <c r="Z85" s="404"/>
      <c r="AA85" s="404"/>
      <c r="AB85" s="404"/>
      <c r="AC85" s="404"/>
      <c r="AD85" s="405"/>
      <c r="AF85" s="50"/>
    </row>
    <row r="86" spans="1:32" ht="30.75" customHeight="1">
      <c r="A86" s="406">
        <v>1</v>
      </c>
      <c r="B86" s="407"/>
      <c r="C86" s="408"/>
      <c r="D86" s="408"/>
      <c r="E86" s="408"/>
      <c r="F86" s="408"/>
      <c r="G86" s="408"/>
      <c r="H86" s="408"/>
      <c r="I86" s="408"/>
      <c r="J86" s="408"/>
      <c r="K86" s="408"/>
      <c r="L86" s="408"/>
      <c r="M86" s="408"/>
      <c r="N86" s="408"/>
      <c r="O86" s="408"/>
      <c r="P86" s="408"/>
      <c r="Q86" s="408"/>
      <c r="R86" s="408"/>
      <c r="S86" s="408"/>
      <c r="T86" s="408"/>
      <c r="U86" s="408"/>
      <c r="V86" s="409"/>
      <c r="W86" s="409"/>
      <c r="X86" s="409"/>
      <c r="Y86" s="410"/>
      <c r="Z86" s="410"/>
      <c r="AA86" s="410"/>
      <c r="AB86" s="410"/>
      <c r="AC86" s="410"/>
      <c r="AD86" s="411"/>
      <c r="AF86" s="50"/>
    </row>
    <row r="87" spans="1:32" ht="30.75" customHeight="1">
      <c r="A87" s="399">
        <v>2</v>
      </c>
      <c r="B87" s="400"/>
      <c r="C87" s="401"/>
      <c r="D87" s="401"/>
      <c r="E87" s="401"/>
      <c r="F87" s="401"/>
      <c r="G87" s="401"/>
      <c r="H87" s="401"/>
      <c r="I87" s="401"/>
      <c r="J87" s="401"/>
      <c r="K87" s="401"/>
      <c r="L87" s="401"/>
      <c r="M87" s="401"/>
      <c r="N87" s="401"/>
      <c r="O87" s="401"/>
      <c r="P87" s="401"/>
      <c r="Q87" s="401"/>
      <c r="R87" s="401"/>
      <c r="S87" s="401"/>
      <c r="T87" s="402"/>
      <c r="U87" s="402"/>
      <c r="V87" s="403"/>
      <c r="W87" s="403"/>
      <c r="X87" s="403"/>
      <c r="Y87" s="392"/>
      <c r="Z87" s="392"/>
      <c r="AA87" s="392"/>
      <c r="AB87" s="392"/>
      <c r="AC87" s="392"/>
      <c r="AD87" s="393"/>
      <c r="AF87" s="50"/>
    </row>
    <row r="88" spans="1:32" ht="30.75" customHeight="1" thickBot="1">
      <c r="A88" s="394">
        <v>3</v>
      </c>
      <c r="B88" s="395"/>
      <c r="C88" s="396"/>
      <c r="D88" s="396"/>
      <c r="E88" s="396"/>
      <c r="F88" s="396"/>
      <c r="G88" s="396"/>
      <c r="H88" s="396"/>
      <c r="I88" s="396"/>
      <c r="J88" s="396"/>
      <c r="K88" s="396"/>
      <c r="L88" s="396"/>
      <c r="M88" s="396"/>
      <c r="N88" s="396"/>
      <c r="O88" s="396"/>
      <c r="P88" s="396"/>
      <c r="Q88" s="396"/>
      <c r="R88" s="396"/>
      <c r="S88" s="396"/>
      <c r="T88" s="396"/>
      <c r="U88" s="396"/>
      <c r="V88" s="396"/>
      <c r="W88" s="396"/>
      <c r="X88" s="396"/>
      <c r="Y88" s="397"/>
      <c r="Z88" s="397"/>
      <c r="AA88" s="397"/>
      <c r="AB88" s="397"/>
      <c r="AC88" s="397"/>
      <c r="AD88" s="398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9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210C-3564-4AA5-B334-49BB13A4D03A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251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163" t="s">
        <v>17</v>
      </c>
      <c r="L5" s="163" t="s">
        <v>18</v>
      </c>
      <c r="M5" s="163" t="s">
        <v>19</v>
      </c>
      <c r="N5" s="16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0.49508547008547016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0.49508547008547016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62000</v>
      </c>
      <c r="J8" s="5">
        <v>4268</v>
      </c>
      <c r="K8" s="15">
        <f>L8+3980+5675+3264+5251+5511+5242+4989+3963</f>
        <v>42143</v>
      </c>
      <c r="L8" s="15">
        <f>1662+2606</f>
        <v>4268</v>
      </c>
      <c r="M8" s="15">
        <f t="shared" si="1"/>
        <v>4268</v>
      </c>
      <c r="N8" s="15">
        <v>0</v>
      </c>
      <c r="O8" s="58">
        <f t="shared" si="2"/>
        <v>0</v>
      </c>
      <c r="P8" s="39">
        <f t="shared" si="3"/>
        <v>21</v>
      </c>
      <c r="Q8" s="40">
        <f t="shared" si="4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0.875</v>
      </c>
      <c r="AD8" s="10">
        <f t="shared" si="7"/>
        <v>0.875</v>
      </c>
      <c r="AE8" s="36">
        <f t="shared" si="8"/>
        <v>0.49508547008547016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4409</v>
      </c>
      <c r="K9" s="15">
        <f>L9+2483+2720+3334+3355+5508+204+4399+3307+5387+4130+4230</f>
        <v>43466</v>
      </c>
      <c r="L9" s="15">
        <f>1514+2895</f>
        <v>4409</v>
      </c>
      <c r="M9" s="15">
        <f t="shared" si="1"/>
        <v>4409</v>
      </c>
      <c r="N9" s="15">
        <v>0</v>
      </c>
      <c r="O9" s="58">
        <f t="shared" si="2"/>
        <v>0</v>
      </c>
      <c r="P9" s="39">
        <f t="shared" si="3"/>
        <v>20</v>
      </c>
      <c r="Q9" s="40">
        <f t="shared" si="4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0.83333333333333337</v>
      </c>
      <c r="AD9" s="10">
        <f t="shared" si="7"/>
        <v>0.83333333333333337</v>
      </c>
      <c r="AE9" s="36">
        <f t="shared" si="8"/>
        <v>0.49508547008547016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154</v>
      </c>
      <c r="D10" s="52" t="s">
        <v>158</v>
      </c>
      <c r="E10" s="53" t="s">
        <v>159</v>
      </c>
      <c r="F10" s="30" t="s">
        <v>122</v>
      </c>
      <c r="G10" s="33">
        <v>1</v>
      </c>
      <c r="H10" s="35">
        <v>24</v>
      </c>
      <c r="I10" s="7">
        <v>75000</v>
      </c>
      <c r="J10" s="5">
        <v>6640</v>
      </c>
      <c r="K10" s="15">
        <f>L10+4000+2801+4378+6093+3959+7386+10861+4645+8836+8066+11688</f>
        <v>79353</v>
      </c>
      <c r="L10" s="15">
        <f>3384+3256</f>
        <v>6640</v>
      </c>
      <c r="M10" s="15">
        <f t="shared" si="1"/>
        <v>6640</v>
      </c>
      <c r="N10" s="15">
        <v>0</v>
      </c>
      <c r="O10" s="58">
        <f t="shared" si="2"/>
        <v>0</v>
      </c>
      <c r="P10" s="39">
        <f t="shared" si="3"/>
        <v>22</v>
      </c>
      <c r="Q10" s="40">
        <f t="shared" si="4"/>
        <v>2</v>
      </c>
      <c r="R10" s="7">
        <v>2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0.91666666666666663</v>
      </c>
      <c r="AD10" s="10">
        <f>AC10*AB10*(1-O10)</f>
        <v>0.91666666666666663</v>
      </c>
      <c r="AE10" s="36">
        <f t="shared" si="8"/>
        <v>0.49508547008547016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126</v>
      </c>
      <c r="D11" s="52" t="s">
        <v>222</v>
      </c>
      <c r="E11" s="53" t="s">
        <v>219</v>
      </c>
      <c r="F11" s="12" t="s">
        <v>239</v>
      </c>
      <c r="G11" s="12">
        <v>32</v>
      </c>
      <c r="H11" s="13">
        <v>24</v>
      </c>
      <c r="I11" s="7">
        <v>200000</v>
      </c>
      <c r="J11" s="14">
        <v>191136</v>
      </c>
      <c r="K11" s="15">
        <f>L11+190624</f>
        <v>381760</v>
      </c>
      <c r="L11" s="15">
        <f>2913*32+3060*32</f>
        <v>191136</v>
      </c>
      <c r="M11" s="15">
        <f t="shared" si="1"/>
        <v>191136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si="7"/>
        <v>1</v>
      </c>
      <c r="AE11" s="36">
        <f t="shared" si="8"/>
        <v>0.49508547008547016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240</v>
      </c>
      <c r="F12" s="30" t="s">
        <v>122</v>
      </c>
      <c r="G12" s="33">
        <v>1</v>
      </c>
      <c r="H12" s="35">
        <v>20</v>
      </c>
      <c r="I12" s="7">
        <v>23000</v>
      </c>
      <c r="J12" s="14">
        <v>5294</v>
      </c>
      <c r="K12" s="15">
        <f>L12+2522</f>
        <v>7816</v>
      </c>
      <c r="L12" s="15">
        <f>2907+2387</f>
        <v>5294</v>
      </c>
      <c r="M12" s="15">
        <f t="shared" si="1"/>
        <v>5294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0.49508547008547016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123</v>
      </c>
      <c r="E13" s="53" t="s">
        <v>241</v>
      </c>
      <c r="F13" s="30" t="s">
        <v>156</v>
      </c>
      <c r="G13" s="33">
        <v>1</v>
      </c>
      <c r="H13" s="35">
        <v>24</v>
      </c>
      <c r="I13" s="7">
        <v>20000</v>
      </c>
      <c r="J13" s="14">
        <v>2174</v>
      </c>
      <c r="K13" s="15">
        <f>L13+2174</f>
        <v>2174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0.49508547008547016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225</v>
      </c>
      <c r="F14" s="30" t="s">
        <v>242</v>
      </c>
      <c r="G14" s="33">
        <v>1</v>
      </c>
      <c r="H14" s="35">
        <v>40</v>
      </c>
      <c r="I14" s="7">
        <v>500</v>
      </c>
      <c r="J14" s="5">
        <v>338</v>
      </c>
      <c r="K14" s="15">
        <f>L14+338</f>
        <v>442</v>
      </c>
      <c r="L14" s="15">
        <v>104</v>
      </c>
      <c r="M14" s="15">
        <f t="shared" si="1"/>
        <v>104</v>
      </c>
      <c r="N14" s="15">
        <v>0</v>
      </c>
      <c r="O14" s="58">
        <f t="shared" si="2"/>
        <v>0</v>
      </c>
      <c r="P14" s="39">
        <f t="shared" si="3"/>
        <v>4</v>
      </c>
      <c r="Q14" s="40">
        <f t="shared" si="4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0.30769230769230771</v>
      </c>
      <c r="AC14" s="9">
        <f t="shared" si="6"/>
        <v>0.16666666666666666</v>
      </c>
      <c r="AD14" s="10">
        <f t="shared" si="7"/>
        <v>5.128205128205128E-2</v>
      </c>
      <c r="AE14" s="36">
        <f t="shared" si="8"/>
        <v>0.49508547008547016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167</v>
      </c>
      <c r="F15" s="12">
        <v>8301</v>
      </c>
      <c r="G15" s="12">
        <v>1</v>
      </c>
      <c r="H15" s="13">
        <v>24</v>
      </c>
      <c r="I15" s="31">
        <v>2000</v>
      </c>
      <c r="J15" s="14">
        <v>1140</v>
      </c>
      <c r="K15" s="15">
        <f>L15+1150+1139</f>
        <v>2289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0.49508547008547016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126</v>
      </c>
      <c r="D16" s="52" t="s">
        <v>143</v>
      </c>
      <c r="E16" s="53" t="s">
        <v>164</v>
      </c>
      <c r="F16" s="12" t="s">
        <v>144</v>
      </c>
      <c r="G16" s="12">
        <v>1</v>
      </c>
      <c r="H16" s="13">
        <v>24</v>
      </c>
      <c r="I16" s="7">
        <v>60000</v>
      </c>
      <c r="J16" s="14">
        <v>5479</v>
      </c>
      <c r="K16" s="15">
        <f>L16+2357+5213+5517+5420+5503+5457+5438+2407+5322+5509+5389+5514+5464</f>
        <v>69989</v>
      </c>
      <c r="L16" s="15">
        <f>3009+2470</f>
        <v>5479</v>
      </c>
      <c r="M16" s="15">
        <f t="shared" si="1"/>
        <v>5479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0.49508547008547016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252</v>
      </c>
      <c r="E17" s="53" t="s">
        <v>253</v>
      </c>
      <c r="F17" s="12" t="s">
        <v>254</v>
      </c>
      <c r="G17" s="12">
        <v>1</v>
      </c>
      <c r="H17" s="13">
        <v>24</v>
      </c>
      <c r="I17" s="31">
        <v>1100</v>
      </c>
      <c r="J17" s="14">
        <v>1678</v>
      </c>
      <c r="K17" s="15">
        <f>L17</f>
        <v>1678</v>
      </c>
      <c r="L17" s="15">
        <f>1678</f>
        <v>1678</v>
      </c>
      <c r="M17" s="15">
        <f t="shared" si="1"/>
        <v>1678</v>
      </c>
      <c r="N17" s="15">
        <v>0</v>
      </c>
      <c r="O17" s="58">
        <f t="shared" si="2"/>
        <v>0</v>
      </c>
      <c r="P17" s="39">
        <f t="shared" si="3"/>
        <v>10</v>
      </c>
      <c r="Q17" s="40">
        <f t="shared" si="4"/>
        <v>14</v>
      </c>
      <c r="R17" s="7"/>
      <c r="S17" s="6"/>
      <c r="T17" s="16"/>
      <c r="U17" s="16"/>
      <c r="V17" s="17"/>
      <c r="W17" s="5">
        <v>14</v>
      </c>
      <c r="X17" s="16"/>
      <c r="Y17" s="16"/>
      <c r="Z17" s="16"/>
      <c r="AA17" s="18"/>
      <c r="AB17" s="8">
        <f t="shared" si="5"/>
        <v>1</v>
      </c>
      <c r="AC17" s="9">
        <f t="shared" si="6"/>
        <v>0.41666666666666669</v>
      </c>
      <c r="AD17" s="10">
        <f t="shared" si="7"/>
        <v>0.41666666666666669</v>
      </c>
      <c r="AE17" s="36">
        <f t="shared" si="8"/>
        <v>0.49508547008547016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117</v>
      </c>
      <c r="E18" s="53" t="s">
        <v>148</v>
      </c>
      <c r="F18" s="30" t="s">
        <v>122</v>
      </c>
      <c r="G18" s="33">
        <v>1</v>
      </c>
      <c r="H18" s="35">
        <v>24</v>
      </c>
      <c r="I18" s="7">
        <f>48000+42000</f>
        <v>90000</v>
      </c>
      <c r="J18" s="5">
        <v>1867</v>
      </c>
      <c r="K18" s="15">
        <f>L18+4490+5516+5079+4632+5428+5727+5954+3807+5671+5681+3837+3725+5801+5150+5731+2573+5660+3935+5620+5860</f>
        <v>101744</v>
      </c>
      <c r="L18" s="15">
        <v>1867</v>
      </c>
      <c r="M18" s="15">
        <f t="shared" si="1"/>
        <v>1867</v>
      </c>
      <c r="N18" s="15">
        <v>0</v>
      </c>
      <c r="O18" s="58">
        <f t="shared" si="2"/>
        <v>0</v>
      </c>
      <c r="P18" s="39">
        <f t="shared" si="3"/>
        <v>7</v>
      </c>
      <c r="Q18" s="40">
        <f t="shared" si="4"/>
        <v>17</v>
      </c>
      <c r="R18" s="7"/>
      <c r="S18" s="6">
        <v>17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0.29166666666666669</v>
      </c>
      <c r="AD18" s="10">
        <f>AC18*AB18*(1-O18)</f>
        <v>0.29166666666666669</v>
      </c>
      <c r="AE18" s="36">
        <f t="shared" si="8"/>
        <v>0.49508547008547016</v>
      </c>
      <c r="AF18" s="87">
        <f t="shared" si="9"/>
        <v>13</v>
      </c>
    </row>
    <row r="19" spans="1:32" ht="27" customHeight="1">
      <c r="A19" s="103">
        <v>13</v>
      </c>
      <c r="B19" s="11" t="s">
        <v>57</v>
      </c>
      <c r="C19" s="34" t="s">
        <v>126</v>
      </c>
      <c r="D19" s="52" t="s">
        <v>123</v>
      </c>
      <c r="E19" s="53" t="s">
        <v>255</v>
      </c>
      <c r="F19" s="30" t="s">
        <v>122</v>
      </c>
      <c r="G19" s="33">
        <v>1</v>
      </c>
      <c r="H19" s="35">
        <v>24</v>
      </c>
      <c r="I19" s="7">
        <v>1100</v>
      </c>
      <c r="J19" s="5">
        <v>2304</v>
      </c>
      <c r="K19" s="15">
        <f>L19</f>
        <v>2304</v>
      </c>
      <c r="L19" s="15">
        <v>2304</v>
      </c>
      <c r="M19" s="15">
        <f t="shared" ref="M19" si="10">L19-N19</f>
        <v>2304</v>
      </c>
      <c r="N19" s="15">
        <v>0</v>
      </c>
      <c r="O19" s="58">
        <f t="shared" ref="O19" si="11">IF(L19=0,"0",N19/L19)</f>
        <v>0</v>
      </c>
      <c r="P19" s="39">
        <f t="shared" ref="P19" si="12">IF(L19=0,"0",(24-Q19))</f>
        <v>15</v>
      </c>
      <c r="Q19" s="40">
        <f t="shared" ref="Q19" si="13">SUM(R19:AA19)</f>
        <v>9</v>
      </c>
      <c r="R19" s="7"/>
      <c r="S19" s="6"/>
      <c r="T19" s="16">
        <v>9</v>
      </c>
      <c r="U19" s="16"/>
      <c r="V19" s="17"/>
      <c r="W19" s="5"/>
      <c r="X19" s="16"/>
      <c r="Y19" s="16"/>
      <c r="Z19" s="16"/>
      <c r="AA19" s="18"/>
      <c r="AB19" s="8">
        <f t="shared" ref="AB19" si="14">IF(J19=0,"0",(L19/J19))</f>
        <v>1</v>
      </c>
      <c r="AC19" s="9">
        <f t="shared" ref="AC19" si="15">IF(P19=0,"0",(P19/24))</f>
        <v>0.625</v>
      </c>
      <c r="AD19" s="10">
        <f>AC19*AB19*(1-O19)</f>
        <v>0.625</v>
      </c>
      <c r="AE19" s="36">
        <f t="shared" si="8"/>
        <v>0.49508547008547016</v>
      </c>
      <c r="AF19" s="87">
        <f t="shared" ref="AF19" si="16">A19</f>
        <v>13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117</v>
      </c>
      <c r="E20" s="53" t="s">
        <v>247</v>
      </c>
      <c r="F20" s="30" t="s">
        <v>193</v>
      </c>
      <c r="G20" s="33">
        <v>1</v>
      </c>
      <c r="H20" s="35">
        <v>24</v>
      </c>
      <c r="I20" s="7">
        <v>1100</v>
      </c>
      <c r="J20" s="14">
        <v>1574</v>
      </c>
      <c r="K20" s="15">
        <f>L20</f>
        <v>1574</v>
      </c>
      <c r="L20" s="15">
        <f>1574</f>
        <v>1574</v>
      </c>
      <c r="M20" s="15">
        <f t="shared" si="1"/>
        <v>1574</v>
      </c>
      <c r="N20" s="15">
        <v>0</v>
      </c>
      <c r="O20" s="58">
        <f t="shared" si="2"/>
        <v>0</v>
      </c>
      <c r="P20" s="39">
        <f t="shared" si="3"/>
        <v>10</v>
      </c>
      <c r="Q20" s="40">
        <f t="shared" si="4"/>
        <v>14</v>
      </c>
      <c r="R20" s="7"/>
      <c r="S20" s="6"/>
      <c r="T20" s="16"/>
      <c r="U20" s="16"/>
      <c r="V20" s="17"/>
      <c r="W20" s="5">
        <v>14</v>
      </c>
      <c r="X20" s="16"/>
      <c r="Y20" s="16"/>
      <c r="Z20" s="16"/>
      <c r="AA20" s="18"/>
      <c r="AB20" s="8">
        <f t="shared" si="5"/>
        <v>1</v>
      </c>
      <c r="AC20" s="9">
        <f t="shared" si="6"/>
        <v>0.41666666666666669</v>
      </c>
      <c r="AD20" s="10">
        <f t="shared" ref="AD20" si="17">AC20*AB20*(1-O20)</f>
        <v>0.41666666666666669</v>
      </c>
      <c r="AE20" s="36">
        <f t="shared" si="8"/>
        <v>0.49508547008547016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195</v>
      </c>
      <c r="F21" s="12" t="s">
        <v>116</v>
      </c>
      <c r="G21" s="12">
        <v>4</v>
      </c>
      <c r="H21" s="35">
        <v>20</v>
      </c>
      <c r="I21" s="7">
        <v>200000</v>
      </c>
      <c r="J21" s="14">
        <v>40080</v>
      </c>
      <c r="K21" s="15">
        <f>L21+26900+40080</f>
        <v>66980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/>
      <c r="T21" s="16"/>
      <c r="U21" s="16"/>
      <c r="V21" s="17"/>
      <c r="W21" s="5">
        <v>24</v>
      </c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0.49508547008547016</v>
      </c>
      <c r="AF21" s="87">
        <f t="shared" si="9"/>
        <v>15</v>
      </c>
    </row>
    <row r="22" spans="1:32" ht="31.5" customHeight="1" thickBot="1">
      <c r="A22" s="467" t="s">
        <v>34</v>
      </c>
      <c r="B22" s="468"/>
      <c r="C22" s="468"/>
      <c r="D22" s="468"/>
      <c r="E22" s="468"/>
      <c r="F22" s="468"/>
      <c r="G22" s="468"/>
      <c r="H22" s="469"/>
      <c r="I22" s="22">
        <f t="shared" ref="I22:N22" si="18">SUM(I6:I21)</f>
        <v>795800</v>
      </c>
      <c r="J22" s="19">
        <f t="shared" si="18"/>
        <v>268381</v>
      </c>
      <c r="K22" s="20">
        <f t="shared" si="18"/>
        <v>803712</v>
      </c>
      <c r="L22" s="21">
        <f t="shared" si="18"/>
        <v>224753</v>
      </c>
      <c r="M22" s="20">
        <f t="shared" si="18"/>
        <v>224753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181</v>
      </c>
      <c r="Q22" s="43">
        <f t="shared" si="19"/>
        <v>203</v>
      </c>
      <c r="R22" s="23">
        <f t="shared" si="19"/>
        <v>26</v>
      </c>
      <c r="S22" s="24">
        <f t="shared" si="19"/>
        <v>68</v>
      </c>
      <c r="T22" s="24">
        <f t="shared" si="19"/>
        <v>9</v>
      </c>
      <c r="U22" s="24">
        <f t="shared" si="19"/>
        <v>0</v>
      </c>
      <c r="V22" s="25">
        <f t="shared" si="19"/>
        <v>0</v>
      </c>
      <c r="W22" s="26">
        <f t="shared" si="19"/>
        <v>100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0</v>
      </c>
      <c r="AB22" s="28">
        <f>SUM(AB6:AB21)/15</f>
        <v>0.68717948717948707</v>
      </c>
      <c r="AC22" s="4">
        <f>SUM(AC6:AC21)/15</f>
        <v>0.50277777777777788</v>
      </c>
      <c r="AD22" s="4">
        <f>SUM(AD6:AD21)/15</f>
        <v>0.49508547008547016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70" t="s">
        <v>45</v>
      </c>
      <c r="B49" s="470"/>
      <c r="C49" s="470"/>
      <c r="D49" s="470"/>
      <c r="E49" s="47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71" t="s">
        <v>257</v>
      </c>
      <c r="B50" s="472"/>
      <c r="C50" s="472"/>
      <c r="D50" s="472"/>
      <c r="E50" s="472"/>
      <c r="F50" s="472"/>
      <c r="G50" s="472"/>
      <c r="H50" s="472"/>
      <c r="I50" s="472"/>
      <c r="J50" s="472"/>
      <c r="K50" s="472"/>
      <c r="L50" s="472"/>
      <c r="M50" s="473"/>
      <c r="N50" s="474" t="s">
        <v>264</v>
      </c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6"/>
    </row>
    <row r="51" spans="1:32" ht="27" customHeight="1">
      <c r="A51" s="477" t="s">
        <v>2</v>
      </c>
      <c r="B51" s="478"/>
      <c r="C51" s="164" t="s">
        <v>46</v>
      </c>
      <c r="D51" s="164" t="s">
        <v>47</v>
      </c>
      <c r="E51" s="164" t="s">
        <v>108</v>
      </c>
      <c r="F51" s="478" t="s">
        <v>107</v>
      </c>
      <c r="G51" s="478"/>
      <c r="H51" s="478"/>
      <c r="I51" s="478"/>
      <c r="J51" s="478"/>
      <c r="K51" s="478"/>
      <c r="L51" s="478"/>
      <c r="M51" s="479"/>
      <c r="N51" s="67" t="s">
        <v>112</v>
      </c>
      <c r="O51" s="164" t="s">
        <v>46</v>
      </c>
      <c r="P51" s="480" t="s">
        <v>47</v>
      </c>
      <c r="Q51" s="481"/>
      <c r="R51" s="480" t="s">
        <v>38</v>
      </c>
      <c r="S51" s="482"/>
      <c r="T51" s="482"/>
      <c r="U51" s="481"/>
      <c r="V51" s="480" t="s">
        <v>48</v>
      </c>
      <c r="W51" s="482"/>
      <c r="X51" s="482"/>
      <c r="Y51" s="482"/>
      <c r="Z51" s="482"/>
      <c r="AA51" s="482"/>
      <c r="AB51" s="482"/>
      <c r="AC51" s="482"/>
      <c r="AD51" s="483"/>
    </row>
    <row r="52" spans="1:32" ht="27" customHeight="1">
      <c r="A52" s="451" t="s">
        <v>126</v>
      </c>
      <c r="B52" s="452"/>
      <c r="C52" s="166" t="s">
        <v>188</v>
      </c>
      <c r="D52" s="166" t="s">
        <v>123</v>
      </c>
      <c r="E52" s="166" t="s">
        <v>187</v>
      </c>
      <c r="F52" s="453" t="s">
        <v>256</v>
      </c>
      <c r="G52" s="454"/>
      <c r="H52" s="454"/>
      <c r="I52" s="454"/>
      <c r="J52" s="454"/>
      <c r="K52" s="454"/>
      <c r="L52" s="454"/>
      <c r="M52" s="455"/>
      <c r="N52" s="165" t="s">
        <v>114</v>
      </c>
      <c r="O52" s="171" t="s">
        <v>226</v>
      </c>
      <c r="P52" s="463" t="s">
        <v>117</v>
      </c>
      <c r="Q52" s="464"/>
      <c r="R52" s="452" t="s">
        <v>225</v>
      </c>
      <c r="S52" s="452"/>
      <c r="T52" s="452"/>
      <c r="U52" s="452"/>
      <c r="V52" s="442" t="s">
        <v>137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126</v>
      </c>
      <c r="B53" s="452"/>
      <c r="C53" s="166" t="s">
        <v>135</v>
      </c>
      <c r="D53" s="166" t="s">
        <v>157</v>
      </c>
      <c r="E53" s="166" t="s">
        <v>161</v>
      </c>
      <c r="F53" s="453" t="s">
        <v>258</v>
      </c>
      <c r="G53" s="454"/>
      <c r="H53" s="454"/>
      <c r="I53" s="454"/>
      <c r="J53" s="454"/>
      <c r="K53" s="454"/>
      <c r="L53" s="454"/>
      <c r="M53" s="455"/>
      <c r="N53" s="165" t="s">
        <v>126</v>
      </c>
      <c r="O53" s="171" t="s">
        <v>182</v>
      </c>
      <c r="P53" s="463" t="s">
        <v>123</v>
      </c>
      <c r="Q53" s="464"/>
      <c r="R53" s="452" t="s">
        <v>241</v>
      </c>
      <c r="S53" s="452"/>
      <c r="T53" s="452"/>
      <c r="U53" s="452"/>
      <c r="V53" s="442" t="s">
        <v>137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154</v>
      </c>
      <c r="B54" s="452"/>
      <c r="C54" s="166" t="s">
        <v>147</v>
      </c>
      <c r="D54" s="166" t="s">
        <v>168</v>
      </c>
      <c r="E54" s="166" t="s">
        <v>159</v>
      </c>
      <c r="F54" s="453" t="s">
        <v>259</v>
      </c>
      <c r="G54" s="454"/>
      <c r="H54" s="454"/>
      <c r="I54" s="454"/>
      <c r="J54" s="454"/>
      <c r="K54" s="454"/>
      <c r="L54" s="454"/>
      <c r="M54" s="455"/>
      <c r="N54" s="165" t="s">
        <v>126</v>
      </c>
      <c r="O54" s="171" t="s">
        <v>138</v>
      </c>
      <c r="P54" s="463" t="s">
        <v>191</v>
      </c>
      <c r="Q54" s="464"/>
      <c r="R54" s="452" t="s">
        <v>265</v>
      </c>
      <c r="S54" s="452"/>
      <c r="T54" s="452"/>
      <c r="U54" s="452"/>
      <c r="V54" s="442" t="s">
        <v>121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114</v>
      </c>
      <c r="B55" s="452"/>
      <c r="C55" s="166" t="s">
        <v>226</v>
      </c>
      <c r="D55" s="166" t="s">
        <v>117</v>
      </c>
      <c r="E55" s="166" t="s">
        <v>225</v>
      </c>
      <c r="F55" s="453" t="s">
        <v>260</v>
      </c>
      <c r="G55" s="454"/>
      <c r="H55" s="454"/>
      <c r="I55" s="454"/>
      <c r="J55" s="454"/>
      <c r="K55" s="454"/>
      <c r="L55" s="454"/>
      <c r="M55" s="455"/>
      <c r="N55" s="165" t="s">
        <v>114</v>
      </c>
      <c r="O55" s="171" t="s">
        <v>136</v>
      </c>
      <c r="P55" s="463" t="s">
        <v>129</v>
      </c>
      <c r="Q55" s="464"/>
      <c r="R55" s="452" t="s">
        <v>266</v>
      </c>
      <c r="S55" s="452"/>
      <c r="T55" s="452"/>
      <c r="U55" s="452"/>
      <c r="V55" s="442" t="s">
        <v>121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126</v>
      </c>
      <c r="B56" s="452"/>
      <c r="C56" s="166" t="s">
        <v>182</v>
      </c>
      <c r="D56" s="166" t="s">
        <v>123</v>
      </c>
      <c r="E56" s="166" t="s">
        <v>241</v>
      </c>
      <c r="F56" s="453" t="s">
        <v>261</v>
      </c>
      <c r="G56" s="454"/>
      <c r="H56" s="454"/>
      <c r="I56" s="454"/>
      <c r="J56" s="454"/>
      <c r="K56" s="454"/>
      <c r="L56" s="454"/>
      <c r="M56" s="455"/>
      <c r="N56" s="165" t="s">
        <v>126</v>
      </c>
      <c r="O56" s="171" t="s">
        <v>188</v>
      </c>
      <c r="P56" s="463" t="s">
        <v>123</v>
      </c>
      <c r="Q56" s="464"/>
      <c r="R56" s="452" t="s">
        <v>187</v>
      </c>
      <c r="S56" s="452"/>
      <c r="T56" s="452"/>
      <c r="U56" s="452"/>
      <c r="V56" s="442" t="s">
        <v>137</v>
      </c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126</v>
      </c>
      <c r="B57" s="452"/>
      <c r="C57" s="166" t="s">
        <v>138</v>
      </c>
      <c r="D57" s="166" t="s">
        <v>117</v>
      </c>
      <c r="E57" s="166" t="s">
        <v>247</v>
      </c>
      <c r="F57" s="453" t="s">
        <v>262</v>
      </c>
      <c r="G57" s="454"/>
      <c r="H57" s="454"/>
      <c r="I57" s="454"/>
      <c r="J57" s="454"/>
      <c r="K57" s="454"/>
      <c r="L57" s="454"/>
      <c r="M57" s="455"/>
      <c r="N57" s="165" t="s">
        <v>126</v>
      </c>
      <c r="O57" s="171" t="s">
        <v>135</v>
      </c>
      <c r="P57" s="463" t="s">
        <v>157</v>
      </c>
      <c r="Q57" s="464"/>
      <c r="R57" s="452" t="s">
        <v>161</v>
      </c>
      <c r="S57" s="452"/>
      <c r="T57" s="452"/>
      <c r="U57" s="452"/>
      <c r="V57" s="442" t="s">
        <v>137</v>
      </c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 t="s">
        <v>126</v>
      </c>
      <c r="B58" s="452"/>
      <c r="C58" s="166" t="s">
        <v>136</v>
      </c>
      <c r="D58" s="166" t="s">
        <v>123</v>
      </c>
      <c r="E58" s="166" t="s">
        <v>255</v>
      </c>
      <c r="F58" s="453" t="s">
        <v>121</v>
      </c>
      <c r="G58" s="454"/>
      <c r="H58" s="454"/>
      <c r="I58" s="454"/>
      <c r="J58" s="454"/>
      <c r="K58" s="454"/>
      <c r="L58" s="454"/>
      <c r="M58" s="455"/>
      <c r="N58" s="165" t="s">
        <v>154</v>
      </c>
      <c r="O58" s="171" t="s">
        <v>147</v>
      </c>
      <c r="P58" s="463" t="s">
        <v>168</v>
      </c>
      <c r="Q58" s="464"/>
      <c r="R58" s="452"/>
      <c r="S58" s="452"/>
      <c r="T58" s="452"/>
      <c r="U58" s="452"/>
      <c r="V58" s="442" t="s">
        <v>137</v>
      </c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 t="s">
        <v>126</v>
      </c>
      <c r="B59" s="452"/>
      <c r="C59" s="166" t="s">
        <v>263</v>
      </c>
      <c r="D59" s="166" t="s">
        <v>252</v>
      </c>
      <c r="E59" s="166" t="s">
        <v>253</v>
      </c>
      <c r="F59" s="453" t="s">
        <v>121</v>
      </c>
      <c r="G59" s="454"/>
      <c r="H59" s="454"/>
      <c r="I59" s="454"/>
      <c r="J59" s="454"/>
      <c r="K59" s="454"/>
      <c r="L59" s="454"/>
      <c r="M59" s="455"/>
      <c r="N59" s="165" t="s">
        <v>126</v>
      </c>
      <c r="O59" s="171" t="s">
        <v>221</v>
      </c>
      <c r="P59" s="463" t="s">
        <v>117</v>
      </c>
      <c r="Q59" s="464"/>
      <c r="R59" s="452" t="s">
        <v>267</v>
      </c>
      <c r="S59" s="452"/>
      <c r="T59" s="452"/>
      <c r="U59" s="452"/>
      <c r="V59" s="442" t="s">
        <v>137</v>
      </c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/>
      <c r="B60" s="452"/>
      <c r="C60" s="166"/>
      <c r="D60" s="166"/>
      <c r="E60" s="166"/>
      <c r="F60" s="453"/>
      <c r="G60" s="454"/>
      <c r="H60" s="454"/>
      <c r="I60" s="454"/>
      <c r="J60" s="454"/>
      <c r="K60" s="454"/>
      <c r="L60" s="454"/>
      <c r="M60" s="455"/>
      <c r="N60" s="165"/>
      <c r="O60" s="171"/>
      <c r="P60" s="452"/>
      <c r="Q60" s="452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  <c r="AF60" s="87">
        <f>8*3000</f>
        <v>24000</v>
      </c>
    </row>
    <row r="61" spans="1:32" ht="27" customHeight="1" thickBot="1">
      <c r="A61" s="457"/>
      <c r="B61" s="458"/>
      <c r="C61" s="168"/>
      <c r="D61" s="168"/>
      <c r="E61" s="168"/>
      <c r="F61" s="459"/>
      <c r="G61" s="459"/>
      <c r="H61" s="459"/>
      <c r="I61" s="459"/>
      <c r="J61" s="459"/>
      <c r="K61" s="459"/>
      <c r="L61" s="459"/>
      <c r="M61" s="460"/>
      <c r="N61" s="167"/>
      <c r="O61" s="114"/>
      <c r="P61" s="458"/>
      <c r="Q61" s="458"/>
      <c r="R61" s="458"/>
      <c r="S61" s="458"/>
      <c r="T61" s="458"/>
      <c r="U61" s="458"/>
      <c r="V61" s="461"/>
      <c r="W61" s="461"/>
      <c r="X61" s="461"/>
      <c r="Y61" s="461"/>
      <c r="Z61" s="461"/>
      <c r="AA61" s="461"/>
      <c r="AB61" s="461"/>
      <c r="AC61" s="461"/>
      <c r="AD61" s="462"/>
      <c r="AF61" s="87">
        <f>16*3000</f>
        <v>48000</v>
      </c>
    </row>
    <row r="62" spans="1:32" ht="27.75" thickBot="1">
      <c r="A62" s="449" t="s">
        <v>268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50" t="s">
        <v>113</v>
      </c>
      <c r="B63" s="447"/>
      <c r="C63" s="169" t="s">
        <v>2</v>
      </c>
      <c r="D63" s="169" t="s">
        <v>37</v>
      </c>
      <c r="E63" s="169" t="s">
        <v>3</v>
      </c>
      <c r="F63" s="447" t="s">
        <v>110</v>
      </c>
      <c r="G63" s="447"/>
      <c r="H63" s="447"/>
      <c r="I63" s="447"/>
      <c r="J63" s="447"/>
      <c r="K63" s="447" t="s">
        <v>39</v>
      </c>
      <c r="L63" s="447"/>
      <c r="M63" s="169" t="s">
        <v>40</v>
      </c>
      <c r="N63" s="447" t="s">
        <v>41</v>
      </c>
      <c r="O63" s="447"/>
      <c r="P63" s="444" t="s">
        <v>42</v>
      </c>
      <c r="Q63" s="446"/>
      <c r="R63" s="444" t="s">
        <v>43</v>
      </c>
      <c r="S63" s="445"/>
      <c r="T63" s="445"/>
      <c r="U63" s="445"/>
      <c r="V63" s="445"/>
      <c r="W63" s="445"/>
      <c r="X63" s="445"/>
      <c r="Y63" s="445"/>
      <c r="Z63" s="445"/>
      <c r="AA63" s="446"/>
      <c r="AB63" s="447" t="s">
        <v>44</v>
      </c>
      <c r="AC63" s="447"/>
      <c r="AD63" s="448"/>
      <c r="AF63" s="87">
        <f>SUM(AF60:AF62)</f>
        <v>96000</v>
      </c>
    </row>
    <row r="64" spans="1:32" ht="25.5" customHeight="1">
      <c r="A64" s="438">
        <v>1</v>
      </c>
      <c r="B64" s="439"/>
      <c r="C64" s="117"/>
      <c r="D64" s="173"/>
      <c r="E64" s="170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2</v>
      </c>
      <c r="B65" s="439"/>
      <c r="C65" s="117"/>
      <c r="D65" s="173"/>
      <c r="E65" s="170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3</v>
      </c>
      <c r="B66" s="439"/>
      <c r="C66" s="117"/>
      <c r="D66" s="173"/>
      <c r="E66" s="170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4</v>
      </c>
      <c r="B67" s="439"/>
      <c r="C67" s="117"/>
      <c r="D67" s="173"/>
      <c r="E67" s="170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5</v>
      </c>
      <c r="B68" s="439"/>
      <c r="C68" s="117"/>
      <c r="D68" s="173"/>
      <c r="E68" s="170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6</v>
      </c>
      <c r="B69" s="439"/>
      <c r="C69" s="117"/>
      <c r="D69" s="173"/>
      <c r="E69" s="170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7</v>
      </c>
      <c r="B70" s="439"/>
      <c r="C70" s="117"/>
      <c r="D70" s="173"/>
      <c r="E70" s="170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8</v>
      </c>
      <c r="B71" s="439"/>
      <c r="C71" s="117"/>
      <c r="D71" s="173"/>
      <c r="E71" s="170"/>
      <c r="F71" s="440"/>
      <c r="G71" s="432"/>
      <c r="H71" s="432"/>
      <c r="I71" s="432"/>
      <c r="J71" s="432"/>
      <c r="K71" s="432"/>
      <c r="L71" s="432"/>
      <c r="M71" s="51"/>
      <c r="N71" s="432"/>
      <c r="O71" s="432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6.25" customHeight="1" thickBot="1">
      <c r="A72" s="412" t="s">
        <v>269</v>
      </c>
      <c r="B72" s="412"/>
      <c r="C72" s="412"/>
      <c r="D72" s="412"/>
      <c r="E72" s="41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3" t="s">
        <v>113</v>
      </c>
      <c r="B73" s="414"/>
      <c r="C73" s="172" t="s">
        <v>2</v>
      </c>
      <c r="D73" s="172" t="s">
        <v>37</v>
      </c>
      <c r="E73" s="172" t="s">
        <v>3</v>
      </c>
      <c r="F73" s="414" t="s">
        <v>38</v>
      </c>
      <c r="G73" s="414"/>
      <c r="H73" s="414"/>
      <c r="I73" s="414"/>
      <c r="J73" s="414"/>
      <c r="K73" s="434" t="s">
        <v>58</v>
      </c>
      <c r="L73" s="435"/>
      <c r="M73" s="435"/>
      <c r="N73" s="435"/>
      <c r="O73" s="435"/>
      <c r="P73" s="435"/>
      <c r="Q73" s="435"/>
      <c r="R73" s="435"/>
      <c r="S73" s="436"/>
      <c r="T73" s="414" t="s">
        <v>49</v>
      </c>
      <c r="U73" s="414"/>
      <c r="V73" s="434" t="s">
        <v>50</v>
      </c>
      <c r="W73" s="436"/>
      <c r="X73" s="435" t="s">
        <v>51</v>
      </c>
      <c r="Y73" s="435"/>
      <c r="Z73" s="435"/>
      <c r="AA73" s="435"/>
      <c r="AB73" s="435"/>
      <c r="AC73" s="435"/>
      <c r="AD73" s="437"/>
      <c r="AF73" s="50"/>
    </row>
    <row r="74" spans="1:32" ht="33.75" customHeight="1">
      <c r="A74" s="406">
        <v>1</v>
      </c>
      <c r="B74" s="407"/>
      <c r="C74" s="174" t="s">
        <v>114</v>
      </c>
      <c r="D74" s="174"/>
      <c r="E74" s="65" t="s">
        <v>119</v>
      </c>
      <c r="F74" s="421" t="s">
        <v>118</v>
      </c>
      <c r="G74" s="422"/>
      <c r="H74" s="422"/>
      <c r="I74" s="422"/>
      <c r="J74" s="423"/>
      <c r="K74" s="424" t="s">
        <v>120</v>
      </c>
      <c r="L74" s="425"/>
      <c r="M74" s="425"/>
      <c r="N74" s="425"/>
      <c r="O74" s="425"/>
      <c r="P74" s="425"/>
      <c r="Q74" s="425"/>
      <c r="R74" s="425"/>
      <c r="S74" s="426"/>
      <c r="T74" s="427">
        <v>43384</v>
      </c>
      <c r="U74" s="428"/>
      <c r="V74" s="429"/>
      <c r="W74" s="429"/>
      <c r="X74" s="430"/>
      <c r="Y74" s="430"/>
      <c r="Z74" s="430"/>
      <c r="AA74" s="430"/>
      <c r="AB74" s="430"/>
      <c r="AC74" s="430"/>
      <c r="AD74" s="431"/>
      <c r="AF74" s="50"/>
    </row>
    <row r="75" spans="1:32" ht="30" customHeight="1">
      <c r="A75" s="399">
        <f>A74+1</f>
        <v>2</v>
      </c>
      <c r="B75" s="400"/>
      <c r="C75" s="173"/>
      <c r="D75" s="173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ref="A76:A82" si="20">A75+1</f>
        <v>3</v>
      </c>
      <c r="B76" s="400"/>
      <c r="C76" s="173"/>
      <c r="D76" s="173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20"/>
        <v>4</v>
      </c>
      <c r="B77" s="400"/>
      <c r="C77" s="173"/>
      <c r="D77" s="173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20"/>
        <v>5</v>
      </c>
      <c r="B78" s="400"/>
      <c r="C78" s="173"/>
      <c r="D78" s="173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20"/>
        <v>6</v>
      </c>
      <c r="B79" s="400"/>
      <c r="C79" s="173"/>
      <c r="D79" s="173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20"/>
        <v>7</v>
      </c>
      <c r="B80" s="400"/>
      <c r="C80" s="173"/>
      <c r="D80" s="173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20"/>
        <v>8</v>
      </c>
      <c r="B81" s="400"/>
      <c r="C81" s="173"/>
      <c r="D81" s="173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20"/>
        <v>9</v>
      </c>
      <c r="B82" s="400"/>
      <c r="C82" s="173"/>
      <c r="D82" s="173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6" thickBot="1">
      <c r="A83" s="412" t="s">
        <v>270</v>
      </c>
      <c r="B83" s="412"/>
      <c r="C83" s="412"/>
      <c r="D83" s="412"/>
      <c r="E83" s="41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3" t="s">
        <v>113</v>
      </c>
      <c r="B84" s="414"/>
      <c r="C84" s="404" t="s">
        <v>52</v>
      </c>
      <c r="D84" s="404"/>
      <c r="E84" s="404" t="s">
        <v>53</v>
      </c>
      <c r="F84" s="404"/>
      <c r="G84" s="404"/>
      <c r="H84" s="404"/>
      <c r="I84" s="404"/>
      <c r="J84" s="404"/>
      <c r="K84" s="404" t="s">
        <v>54</v>
      </c>
      <c r="L84" s="404"/>
      <c r="M84" s="404"/>
      <c r="N84" s="404"/>
      <c r="O84" s="404"/>
      <c r="P84" s="404"/>
      <c r="Q84" s="404"/>
      <c r="R84" s="404"/>
      <c r="S84" s="404"/>
      <c r="T84" s="404" t="s">
        <v>55</v>
      </c>
      <c r="U84" s="404"/>
      <c r="V84" s="404" t="s">
        <v>56</v>
      </c>
      <c r="W84" s="404"/>
      <c r="X84" s="404"/>
      <c r="Y84" s="404" t="s">
        <v>51</v>
      </c>
      <c r="Z84" s="404"/>
      <c r="AA84" s="404"/>
      <c r="AB84" s="404"/>
      <c r="AC84" s="404"/>
      <c r="AD84" s="405"/>
      <c r="AF84" s="50"/>
    </row>
    <row r="85" spans="1:32" ht="30.75" customHeight="1">
      <c r="A85" s="406">
        <v>1</v>
      </c>
      <c r="B85" s="407"/>
      <c r="C85" s="408"/>
      <c r="D85" s="408"/>
      <c r="E85" s="408"/>
      <c r="F85" s="408"/>
      <c r="G85" s="408"/>
      <c r="H85" s="408"/>
      <c r="I85" s="408"/>
      <c r="J85" s="408"/>
      <c r="K85" s="408"/>
      <c r="L85" s="408"/>
      <c r="M85" s="408"/>
      <c r="N85" s="408"/>
      <c r="O85" s="408"/>
      <c r="P85" s="408"/>
      <c r="Q85" s="408"/>
      <c r="R85" s="408"/>
      <c r="S85" s="408"/>
      <c r="T85" s="408"/>
      <c r="U85" s="408"/>
      <c r="V85" s="409"/>
      <c r="W85" s="409"/>
      <c r="X85" s="409"/>
      <c r="Y85" s="410"/>
      <c r="Z85" s="410"/>
      <c r="AA85" s="410"/>
      <c r="AB85" s="410"/>
      <c r="AC85" s="410"/>
      <c r="AD85" s="411"/>
      <c r="AF85" s="50"/>
    </row>
    <row r="86" spans="1:32" ht="30.75" customHeight="1">
      <c r="A86" s="399">
        <v>2</v>
      </c>
      <c r="B86" s="400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  <c r="Q86" s="401"/>
      <c r="R86" s="401"/>
      <c r="S86" s="401"/>
      <c r="T86" s="402"/>
      <c r="U86" s="402"/>
      <c r="V86" s="403"/>
      <c r="W86" s="403"/>
      <c r="X86" s="403"/>
      <c r="Y86" s="392"/>
      <c r="Z86" s="392"/>
      <c r="AA86" s="392"/>
      <c r="AB86" s="392"/>
      <c r="AC86" s="392"/>
      <c r="AD86" s="393"/>
      <c r="AF86" s="50"/>
    </row>
    <row r="87" spans="1:32" ht="30.75" customHeight="1" thickBot="1">
      <c r="A87" s="394">
        <v>3</v>
      </c>
      <c r="B87" s="395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M87" s="396"/>
      <c r="N87" s="396"/>
      <c r="O87" s="396"/>
      <c r="P87" s="396"/>
      <c r="Q87" s="396"/>
      <c r="R87" s="396"/>
      <c r="S87" s="396"/>
      <c r="T87" s="396"/>
      <c r="U87" s="396"/>
      <c r="V87" s="396"/>
      <c r="W87" s="396"/>
      <c r="X87" s="396"/>
      <c r="Y87" s="397"/>
      <c r="Z87" s="397"/>
      <c r="AA87" s="397"/>
      <c r="AB87" s="397"/>
      <c r="AC87" s="397"/>
      <c r="AD87" s="398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7FAB-747C-46AE-BAEA-3D46C877DF9D}">
  <sheetPr>
    <pageSetUpPr fitToPage="1"/>
  </sheetPr>
  <dimension ref="A1:AF87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271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186" t="s">
        <v>17</v>
      </c>
      <c r="L5" s="186" t="s">
        <v>18</v>
      </c>
      <c r="M5" s="186" t="s">
        <v>19</v>
      </c>
      <c r="N5" s="18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0.5083333333333333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0.5083333333333333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62000</v>
      </c>
      <c r="J8" s="5">
        <v>3677</v>
      </c>
      <c r="K8" s="15">
        <f>L8+3980+5675+3264+5251+5511+5242+4989+3963+4268</f>
        <v>45820</v>
      </c>
      <c r="L8" s="15">
        <f>3038+639</f>
        <v>3677</v>
      </c>
      <c r="M8" s="15">
        <f t="shared" si="1"/>
        <v>3677</v>
      </c>
      <c r="N8" s="15">
        <v>0</v>
      </c>
      <c r="O8" s="58">
        <f t="shared" si="2"/>
        <v>0</v>
      </c>
      <c r="P8" s="39">
        <f t="shared" si="3"/>
        <v>19</v>
      </c>
      <c r="Q8" s="40">
        <f t="shared" si="4"/>
        <v>5</v>
      </c>
      <c r="R8" s="7"/>
      <c r="S8" s="6">
        <v>5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0.79166666666666663</v>
      </c>
      <c r="AD8" s="10">
        <f t="shared" si="7"/>
        <v>0.79166666666666663</v>
      </c>
      <c r="AE8" s="36">
        <f t="shared" si="8"/>
        <v>0.5083333333333333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3649</v>
      </c>
      <c r="K9" s="15">
        <f>L9+2483+2720+3334+3355+5508+204+4399+3307+5387+4130+4230+4409</f>
        <v>47115</v>
      </c>
      <c r="L9" s="15">
        <f>3649</f>
        <v>3649</v>
      </c>
      <c r="M9" s="15">
        <f t="shared" si="1"/>
        <v>3649</v>
      </c>
      <c r="N9" s="15">
        <v>0</v>
      </c>
      <c r="O9" s="58">
        <f t="shared" si="2"/>
        <v>0</v>
      </c>
      <c r="P9" s="39">
        <f t="shared" si="3"/>
        <v>17</v>
      </c>
      <c r="Q9" s="40">
        <f t="shared" si="4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0.70833333333333337</v>
      </c>
      <c r="AD9" s="10">
        <f t="shared" si="7"/>
        <v>0.70833333333333337</v>
      </c>
      <c r="AE9" s="36">
        <f t="shared" si="8"/>
        <v>0.5083333333333333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154</v>
      </c>
      <c r="D10" s="52" t="s">
        <v>158</v>
      </c>
      <c r="E10" s="53" t="s">
        <v>159</v>
      </c>
      <c r="F10" s="30" t="s">
        <v>122</v>
      </c>
      <c r="G10" s="33">
        <v>2</v>
      </c>
      <c r="H10" s="35">
        <v>24</v>
      </c>
      <c r="I10" s="7">
        <v>75000</v>
      </c>
      <c r="J10" s="5">
        <v>6494</v>
      </c>
      <c r="K10" s="15">
        <f>L10+4000+2801+4378+6093+3959+7386+10861+4645+8836+8066+11688+6640</f>
        <v>85847</v>
      </c>
      <c r="L10" s="15">
        <f>1328*2+1919*2</f>
        <v>6494</v>
      </c>
      <c r="M10" s="15">
        <f t="shared" si="1"/>
        <v>6494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/>
      <c r="S10" s="6">
        <v>6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0.5083333333333333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126</v>
      </c>
      <c r="D11" s="52" t="s">
        <v>272</v>
      </c>
      <c r="E11" s="53" t="s">
        <v>273</v>
      </c>
      <c r="F11" s="12" t="s">
        <v>156</v>
      </c>
      <c r="G11" s="12">
        <v>1</v>
      </c>
      <c r="H11" s="13">
        <v>24</v>
      </c>
      <c r="I11" s="7">
        <v>1100</v>
      </c>
      <c r="J11" s="14">
        <v>1559</v>
      </c>
      <c r="K11" s="15">
        <f>L11</f>
        <v>1559</v>
      </c>
      <c r="L11" s="15">
        <v>1559</v>
      </c>
      <c r="M11" s="15">
        <f t="shared" si="1"/>
        <v>1559</v>
      </c>
      <c r="N11" s="15">
        <v>0</v>
      </c>
      <c r="O11" s="58">
        <f t="shared" si="2"/>
        <v>0</v>
      </c>
      <c r="P11" s="39">
        <f t="shared" si="3"/>
        <v>8</v>
      </c>
      <c r="Q11" s="40">
        <f t="shared" si="4"/>
        <v>16</v>
      </c>
      <c r="R11" s="7"/>
      <c r="S11" s="6"/>
      <c r="T11" s="16"/>
      <c r="U11" s="16"/>
      <c r="V11" s="17"/>
      <c r="W11" s="5">
        <v>16</v>
      </c>
      <c r="X11" s="16"/>
      <c r="Y11" s="16"/>
      <c r="Z11" s="16"/>
      <c r="AA11" s="18"/>
      <c r="AB11" s="8">
        <f t="shared" si="5"/>
        <v>1</v>
      </c>
      <c r="AC11" s="9">
        <f t="shared" si="6"/>
        <v>0.33333333333333331</v>
      </c>
      <c r="AD11" s="10">
        <f t="shared" si="7"/>
        <v>0.33333333333333331</v>
      </c>
      <c r="AE11" s="36">
        <f t="shared" si="8"/>
        <v>0.5083333333333333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240</v>
      </c>
      <c r="F12" s="30" t="s">
        <v>122</v>
      </c>
      <c r="G12" s="33">
        <v>1</v>
      </c>
      <c r="H12" s="35">
        <v>20</v>
      </c>
      <c r="I12" s="7">
        <v>23000</v>
      </c>
      <c r="J12" s="14">
        <v>5249</v>
      </c>
      <c r="K12" s="15">
        <f>L12+2522+5294</f>
        <v>13065</v>
      </c>
      <c r="L12" s="15">
        <f>2428+2821</f>
        <v>5249</v>
      </c>
      <c r="M12" s="15">
        <f t="shared" si="1"/>
        <v>5249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0.5083333333333333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123</v>
      </c>
      <c r="E13" s="53" t="s">
        <v>241</v>
      </c>
      <c r="F13" s="30" t="s">
        <v>156</v>
      </c>
      <c r="G13" s="33">
        <v>1</v>
      </c>
      <c r="H13" s="35">
        <v>24</v>
      </c>
      <c r="I13" s="7">
        <v>20000</v>
      </c>
      <c r="J13" s="14">
        <v>3606</v>
      </c>
      <c r="K13" s="15">
        <f>L13+2174</f>
        <v>5780</v>
      </c>
      <c r="L13" s="15">
        <f>576+3030</f>
        <v>3606</v>
      </c>
      <c r="M13" s="15">
        <f t="shared" si="1"/>
        <v>3606</v>
      </c>
      <c r="N13" s="15">
        <v>0</v>
      </c>
      <c r="O13" s="58">
        <f t="shared" si="2"/>
        <v>0</v>
      </c>
      <c r="P13" s="39">
        <f t="shared" si="3"/>
        <v>18</v>
      </c>
      <c r="Q13" s="40">
        <f t="shared" si="4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0.75</v>
      </c>
      <c r="AD13" s="10">
        <f t="shared" si="7"/>
        <v>0.75</v>
      </c>
      <c r="AE13" s="36">
        <f t="shared" si="8"/>
        <v>0.5083333333333333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225</v>
      </c>
      <c r="F14" s="30" t="s">
        <v>242</v>
      </c>
      <c r="G14" s="33">
        <v>1</v>
      </c>
      <c r="H14" s="35">
        <v>40</v>
      </c>
      <c r="I14" s="7">
        <v>500</v>
      </c>
      <c r="J14" s="5">
        <v>338</v>
      </c>
      <c r="K14" s="15">
        <f>L14+338+104</f>
        <v>442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0.5083333333333333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167</v>
      </c>
      <c r="F15" s="12">
        <v>8301</v>
      </c>
      <c r="G15" s="12">
        <v>1</v>
      </c>
      <c r="H15" s="13">
        <v>24</v>
      </c>
      <c r="I15" s="31">
        <v>2000</v>
      </c>
      <c r="J15" s="14">
        <v>1140</v>
      </c>
      <c r="K15" s="15">
        <f>L15+1150+1139</f>
        <v>2289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0.5083333333333333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126</v>
      </c>
      <c r="D16" s="52" t="s">
        <v>143</v>
      </c>
      <c r="E16" s="53" t="s">
        <v>164</v>
      </c>
      <c r="F16" s="12" t="s">
        <v>144</v>
      </c>
      <c r="G16" s="12">
        <v>1</v>
      </c>
      <c r="H16" s="13">
        <v>24</v>
      </c>
      <c r="I16" s="7">
        <v>60000</v>
      </c>
      <c r="J16" s="14">
        <v>3178</v>
      </c>
      <c r="K16" s="15">
        <f>L16+2357+5213+5517+5420+5503+5457+5438+2407+5322+5509+5389+5514+5464+5479</f>
        <v>73167</v>
      </c>
      <c r="L16" s="15">
        <f>2408+770</f>
        <v>3178</v>
      </c>
      <c r="M16" s="15">
        <f t="shared" si="1"/>
        <v>3178</v>
      </c>
      <c r="N16" s="15">
        <v>0</v>
      </c>
      <c r="O16" s="58">
        <f t="shared" si="2"/>
        <v>0</v>
      </c>
      <c r="P16" s="39">
        <f t="shared" si="3"/>
        <v>20</v>
      </c>
      <c r="Q16" s="40">
        <f t="shared" si="4"/>
        <v>4</v>
      </c>
      <c r="R16" s="7"/>
      <c r="S16" s="6"/>
      <c r="T16" s="16"/>
      <c r="U16" s="16"/>
      <c r="V16" s="17"/>
      <c r="W16" s="5">
        <v>4</v>
      </c>
      <c r="X16" s="16"/>
      <c r="Y16" s="16"/>
      <c r="Z16" s="16"/>
      <c r="AA16" s="18"/>
      <c r="AB16" s="8">
        <f t="shared" si="5"/>
        <v>1</v>
      </c>
      <c r="AC16" s="9">
        <f t="shared" si="6"/>
        <v>0.83333333333333337</v>
      </c>
      <c r="AD16" s="10">
        <f t="shared" si="7"/>
        <v>0.83333333333333337</v>
      </c>
      <c r="AE16" s="36">
        <f t="shared" si="8"/>
        <v>0.5083333333333333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252</v>
      </c>
      <c r="E17" s="53" t="s">
        <v>253</v>
      </c>
      <c r="F17" s="12" t="s">
        <v>254</v>
      </c>
      <c r="G17" s="12">
        <v>1</v>
      </c>
      <c r="H17" s="13">
        <v>24</v>
      </c>
      <c r="I17" s="31">
        <v>1100</v>
      </c>
      <c r="J17" s="14">
        <v>1678</v>
      </c>
      <c r="K17" s="15">
        <f>L17+1678</f>
        <v>1678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0.5083333333333333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129</v>
      </c>
      <c r="E18" s="53" t="s">
        <v>266</v>
      </c>
      <c r="F18" s="30" t="s">
        <v>122</v>
      </c>
      <c r="G18" s="33">
        <v>1</v>
      </c>
      <c r="H18" s="35">
        <v>24</v>
      </c>
      <c r="I18" s="7">
        <v>17000</v>
      </c>
      <c r="J18" s="5">
        <v>5065</v>
      </c>
      <c r="K18" s="15">
        <f>L18</f>
        <v>5065</v>
      </c>
      <c r="L18" s="15">
        <f>2260+2805</f>
        <v>5065</v>
      </c>
      <c r="M18" s="15">
        <f t="shared" si="1"/>
        <v>5065</v>
      </c>
      <c r="N18" s="15">
        <v>0</v>
      </c>
      <c r="O18" s="58">
        <f t="shared" si="2"/>
        <v>0</v>
      </c>
      <c r="P18" s="39">
        <f t="shared" si="3"/>
        <v>23</v>
      </c>
      <c r="Q18" s="40">
        <f t="shared" si="4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0.95833333333333337</v>
      </c>
      <c r="AD18" s="10">
        <f>AC18*AB18*(1-O18)</f>
        <v>0.95833333333333337</v>
      </c>
      <c r="AE18" s="36">
        <f t="shared" si="8"/>
        <v>0.5083333333333333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34" t="s">
        <v>126</v>
      </c>
      <c r="D19" s="52" t="s">
        <v>191</v>
      </c>
      <c r="E19" s="53" t="s">
        <v>265</v>
      </c>
      <c r="F19" s="30" t="s">
        <v>156</v>
      </c>
      <c r="G19" s="33">
        <v>1</v>
      </c>
      <c r="H19" s="35">
        <v>24</v>
      </c>
      <c r="I19" s="7">
        <v>1100</v>
      </c>
      <c r="J19" s="5">
        <v>1375</v>
      </c>
      <c r="K19" s="15">
        <f>L19</f>
        <v>1375</v>
      </c>
      <c r="L19" s="15">
        <f>1375</f>
        <v>1375</v>
      </c>
      <c r="M19" s="15">
        <f t="shared" si="1"/>
        <v>1375</v>
      </c>
      <c r="N19" s="15">
        <v>0</v>
      </c>
      <c r="O19" s="58">
        <f t="shared" si="2"/>
        <v>0</v>
      </c>
      <c r="P19" s="39">
        <f t="shared" si="3"/>
        <v>8</v>
      </c>
      <c r="Q19" s="40">
        <f t="shared" si="4"/>
        <v>16</v>
      </c>
      <c r="R19" s="7"/>
      <c r="S19" s="6"/>
      <c r="T19" s="16"/>
      <c r="U19" s="16"/>
      <c r="V19" s="17"/>
      <c r="W19" s="5">
        <v>16</v>
      </c>
      <c r="X19" s="16"/>
      <c r="Y19" s="16"/>
      <c r="Z19" s="16"/>
      <c r="AA19" s="18"/>
      <c r="AB19" s="8">
        <f t="shared" si="5"/>
        <v>1</v>
      </c>
      <c r="AC19" s="9">
        <f t="shared" si="6"/>
        <v>0.33333333333333331</v>
      </c>
      <c r="AD19" s="10">
        <f>AC19*AB19*(1-O19)</f>
        <v>0.33333333333333331</v>
      </c>
      <c r="AE19" s="36">
        <f t="shared" si="8"/>
        <v>0.5083333333333333</v>
      </c>
      <c r="AF19" s="87">
        <f t="shared" si="9"/>
        <v>14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117</v>
      </c>
      <c r="E20" s="53" t="s">
        <v>267</v>
      </c>
      <c r="F20" s="30" t="s">
        <v>122</v>
      </c>
      <c r="G20" s="33">
        <v>1</v>
      </c>
      <c r="H20" s="35">
        <v>24</v>
      </c>
      <c r="I20" s="7">
        <v>30000</v>
      </c>
      <c r="J20" s="14">
        <v>2307</v>
      </c>
      <c r="K20" s="15">
        <f>L20</f>
        <v>2307</v>
      </c>
      <c r="L20" s="15">
        <f>2307</f>
        <v>2307</v>
      </c>
      <c r="M20" s="15">
        <f t="shared" si="1"/>
        <v>2307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>
        <v>10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ref="AD20" si="10">AC20*AB20*(1-O20)</f>
        <v>0.58333333333333337</v>
      </c>
      <c r="AE20" s="36">
        <f t="shared" si="8"/>
        <v>0.5083333333333333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195</v>
      </c>
      <c r="F21" s="12" t="s">
        <v>116</v>
      </c>
      <c r="G21" s="12">
        <v>4</v>
      </c>
      <c r="H21" s="35">
        <v>20</v>
      </c>
      <c r="I21" s="7">
        <v>200000</v>
      </c>
      <c r="J21" s="14">
        <v>42368</v>
      </c>
      <c r="K21" s="15">
        <f>L21+26900+40080</f>
        <v>109348</v>
      </c>
      <c r="L21" s="15">
        <f>10592*4</f>
        <v>42368</v>
      </c>
      <c r="M21" s="15">
        <f t="shared" si="1"/>
        <v>42368</v>
      </c>
      <c r="N21" s="15">
        <v>0</v>
      </c>
      <c r="O21" s="58">
        <f t="shared" si="2"/>
        <v>0</v>
      </c>
      <c r="P21" s="39">
        <f t="shared" si="3"/>
        <v>14</v>
      </c>
      <c r="Q21" s="40">
        <f t="shared" si="4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0.58333333333333337</v>
      </c>
      <c r="AD21" s="10">
        <f t="shared" si="7"/>
        <v>0.58333333333333337</v>
      </c>
      <c r="AE21" s="36">
        <f t="shared" si="8"/>
        <v>0.5083333333333333</v>
      </c>
      <c r="AF21" s="87">
        <f t="shared" si="9"/>
        <v>15</v>
      </c>
    </row>
    <row r="22" spans="1:32" ht="31.5" customHeight="1" thickBot="1">
      <c r="A22" s="467" t="s">
        <v>34</v>
      </c>
      <c r="B22" s="468"/>
      <c r="C22" s="468"/>
      <c r="D22" s="468"/>
      <c r="E22" s="468"/>
      <c r="F22" s="468"/>
      <c r="G22" s="468"/>
      <c r="H22" s="469"/>
      <c r="I22" s="22">
        <f t="shared" ref="I22:N22" si="11">SUM(I6:I21)</f>
        <v>552800</v>
      </c>
      <c r="J22" s="19">
        <f t="shared" si="11"/>
        <v>81683</v>
      </c>
      <c r="K22" s="20">
        <f t="shared" si="11"/>
        <v>394857</v>
      </c>
      <c r="L22" s="21">
        <f t="shared" si="11"/>
        <v>78527</v>
      </c>
      <c r="M22" s="20">
        <f t="shared" si="11"/>
        <v>78527</v>
      </c>
      <c r="N22" s="21">
        <f t="shared" si="11"/>
        <v>0</v>
      </c>
      <c r="O22" s="41">
        <f t="shared" si="2"/>
        <v>0</v>
      </c>
      <c r="P22" s="42">
        <f t="shared" ref="P22:AA22" si="12">SUM(P6:P21)</f>
        <v>183</v>
      </c>
      <c r="Q22" s="43">
        <f t="shared" si="12"/>
        <v>201</v>
      </c>
      <c r="R22" s="23">
        <f t="shared" si="12"/>
        <v>24</v>
      </c>
      <c r="S22" s="24">
        <f t="shared" si="12"/>
        <v>48</v>
      </c>
      <c r="T22" s="24">
        <f t="shared" si="12"/>
        <v>11</v>
      </c>
      <c r="U22" s="24">
        <f t="shared" si="12"/>
        <v>0</v>
      </c>
      <c r="V22" s="25">
        <f t="shared" si="12"/>
        <v>10</v>
      </c>
      <c r="W22" s="26">
        <f t="shared" si="12"/>
        <v>108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0</v>
      </c>
      <c r="AB22" s="28">
        <f>SUM(AB6:AB21)/15</f>
        <v>0.73333333333333328</v>
      </c>
      <c r="AC22" s="4">
        <f>SUM(AC6:AC21)/15</f>
        <v>0.5083333333333333</v>
      </c>
      <c r="AD22" s="4">
        <f>SUM(AD6:AD21)/15</f>
        <v>0.5083333333333333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70" t="s">
        <v>45</v>
      </c>
      <c r="B49" s="470"/>
      <c r="C49" s="470"/>
      <c r="D49" s="470"/>
      <c r="E49" s="47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71" t="s">
        <v>274</v>
      </c>
      <c r="B50" s="472"/>
      <c r="C50" s="472"/>
      <c r="D50" s="472"/>
      <c r="E50" s="472"/>
      <c r="F50" s="472"/>
      <c r="G50" s="472"/>
      <c r="H50" s="472"/>
      <c r="I50" s="472"/>
      <c r="J50" s="472"/>
      <c r="K50" s="472"/>
      <c r="L50" s="472"/>
      <c r="M50" s="473"/>
      <c r="N50" s="474" t="s">
        <v>279</v>
      </c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6"/>
    </row>
    <row r="51" spans="1:32" ht="27" customHeight="1">
      <c r="A51" s="477" t="s">
        <v>2</v>
      </c>
      <c r="B51" s="478"/>
      <c r="C51" s="185" t="s">
        <v>46</v>
      </c>
      <c r="D51" s="185" t="s">
        <v>47</v>
      </c>
      <c r="E51" s="185" t="s">
        <v>108</v>
      </c>
      <c r="F51" s="478" t="s">
        <v>107</v>
      </c>
      <c r="G51" s="478"/>
      <c r="H51" s="478"/>
      <c r="I51" s="478"/>
      <c r="J51" s="478"/>
      <c r="K51" s="478"/>
      <c r="L51" s="478"/>
      <c r="M51" s="479"/>
      <c r="N51" s="67" t="s">
        <v>112</v>
      </c>
      <c r="O51" s="185" t="s">
        <v>46</v>
      </c>
      <c r="P51" s="480" t="s">
        <v>47</v>
      </c>
      <c r="Q51" s="481"/>
      <c r="R51" s="480" t="s">
        <v>38</v>
      </c>
      <c r="S51" s="482"/>
      <c r="T51" s="482"/>
      <c r="U51" s="481"/>
      <c r="V51" s="480" t="s">
        <v>48</v>
      </c>
      <c r="W51" s="482"/>
      <c r="X51" s="482"/>
      <c r="Y51" s="482"/>
      <c r="Z51" s="482"/>
      <c r="AA51" s="482"/>
      <c r="AB51" s="482"/>
      <c r="AC51" s="482"/>
      <c r="AD51" s="483"/>
    </row>
    <row r="52" spans="1:32" ht="27" customHeight="1">
      <c r="A52" s="451" t="s">
        <v>126</v>
      </c>
      <c r="B52" s="452"/>
      <c r="C52" s="182" t="s">
        <v>188</v>
      </c>
      <c r="D52" s="182" t="s">
        <v>123</v>
      </c>
      <c r="E52" s="182" t="s">
        <v>187</v>
      </c>
      <c r="F52" s="453" t="s">
        <v>137</v>
      </c>
      <c r="G52" s="454"/>
      <c r="H52" s="454"/>
      <c r="I52" s="454"/>
      <c r="J52" s="454"/>
      <c r="K52" s="454"/>
      <c r="L52" s="454"/>
      <c r="M52" s="455"/>
      <c r="N52" s="181" t="s">
        <v>114</v>
      </c>
      <c r="O52" s="179" t="s">
        <v>226</v>
      </c>
      <c r="P52" s="463" t="s">
        <v>117</v>
      </c>
      <c r="Q52" s="464"/>
      <c r="R52" s="452" t="s">
        <v>225</v>
      </c>
      <c r="S52" s="452"/>
      <c r="T52" s="452"/>
      <c r="U52" s="452"/>
      <c r="V52" s="442" t="s">
        <v>137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126</v>
      </c>
      <c r="B53" s="452"/>
      <c r="C53" s="182" t="s">
        <v>135</v>
      </c>
      <c r="D53" s="182" t="s">
        <v>157</v>
      </c>
      <c r="E53" s="182" t="s">
        <v>161</v>
      </c>
      <c r="F53" s="453" t="s">
        <v>137</v>
      </c>
      <c r="G53" s="454"/>
      <c r="H53" s="454"/>
      <c r="I53" s="454"/>
      <c r="J53" s="454"/>
      <c r="K53" s="454"/>
      <c r="L53" s="454"/>
      <c r="M53" s="455"/>
      <c r="N53" s="181" t="s">
        <v>282</v>
      </c>
      <c r="O53" s="179" t="s">
        <v>283</v>
      </c>
      <c r="P53" s="463" t="s">
        <v>284</v>
      </c>
      <c r="Q53" s="464"/>
      <c r="R53" s="452" t="s">
        <v>280</v>
      </c>
      <c r="S53" s="452"/>
      <c r="T53" s="452"/>
      <c r="U53" s="452"/>
      <c r="V53" s="442" t="s">
        <v>281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154</v>
      </c>
      <c r="B54" s="452"/>
      <c r="C54" s="182" t="s">
        <v>147</v>
      </c>
      <c r="D54" s="182" t="s">
        <v>168</v>
      </c>
      <c r="E54" s="182" t="s">
        <v>159</v>
      </c>
      <c r="F54" s="453" t="s">
        <v>137</v>
      </c>
      <c r="G54" s="454"/>
      <c r="H54" s="454"/>
      <c r="I54" s="454"/>
      <c r="J54" s="454"/>
      <c r="K54" s="454"/>
      <c r="L54" s="454"/>
      <c r="M54" s="455"/>
      <c r="N54" s="181" t="s">
        <v>286</v>
      </c>
      <c r="O54" s="179" t="s">
        <v>287</v>
      </c>
      <c r="P54" s="463"/>
      <c r="Q54" s="464"/>
      <c r="R54" s="452" t="s">
        <v>285</v>
      </c>
      <c r="S54" s="452"/>
      <c r="T54" s="452"/>
      <c r="U54" s="452"/>
      <c r="V54" s="442" t="s">
        <v>281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126</v>
      </c>
      <c r="B55" s="452"/>
      <c r="C55" s="182" t="s">
        <v>221</v>
      </c>
      <c r="D55" s="182" t="s">
        <v>125</v>
      </c>
      <c r="E55" s="182" t="s">
        <v>273</v>
      </c>
      <c r="F55" s="453" t="s">
        <v>121</v>
      </c>
      <c r="G55" s="454"/>
      <c r="H55" s="454"/>
      <c r="I55" s="454"/>
      <c r="J55" s="454"/>
      <c r="K55" s="454"/>
      <c r="L55" s="454"/>
      <c r="M55" s="455"/>
      <c r="N55" s="181" t="s">
        <v>289</v>
      </c>
      <c r="O55" s="179" t="s">
        <v>290</v>
      </c>
      <c r="P55" s="463"/>
      <c r="Q55" s="464"/>
      <c r="R55" s="452" t="s">
        <v>288</v>
      </c>
      <c r="S55" s="452"/>
      <c r="T55" s="452"/>
      <c r="U55" s="452"/>
      <c r="V55" s="442" t="s">
        <v>281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126</v>
      </c>
      <c r="B56" s="452"/>
      <c r="C56" s="182" t="s">
        <v>182</v>
      </c>
      <c r="D56" s="182" t="s">
        <v>123</v>
      </c>
      <c r="E56" s="182" t="s">
        <v>241</v>
      </c>
      <c r="F56" s="453" t="s">
        <v>137</v>
      </c>
      <c r="G56" s="454"/>
      <c r="H56" s="454"/>
      <c r="I56" s="454"/>
      <c r="J56" s="454"/>
      <c r="K56" s="454"/>
      <c r="L56" s="454"/>
      <c r="M56" s="455"/>
      <c r="N56" s="181"/>
      <c r="O56" s="179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126</v>
      </c>
      <c r="B57" s="452"/>
      <c r="C57" s="182" t="s">
        <v>138</v>
      </c>
      <c r="D57" s="182" t="s">
        <v>117</v>
      </c>
      <c r="E57" s="182" t="s">
        <v>267</v>
      </c>
      <c r="F57" s="453" t="s">
        <v>137</v>
      </c>
      <c r="G57" s="454"/>
      <c r="H57" s="454"/>
      <c r="I57" s="454"/>
      <c r="J57" s="454"/>
      <c r="K57" s="454"/>
      <c r="L57" s="454"/>
      <c r="M57" s="455"/>
      <c r="N57" s="181"/>
      <c r="O57" s="179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 t="s">
        <v>114</v>
      </c>
      <c r="B58" s="452"/>
      <c r="C58" s="182" t="s">
        <v>136</v>
      </c>
      <c r="D58" s="182" t="s">
        <v>129</v>
      </c>
      <c r="E58" s="182" t="s">
        <v>266</v>
      </c>
      <c r="F58" s="453" t="s">
        <v>121</v>
      </c>
      <c r="G58" s="454"/>
      <c r="H58" s="454"/>
      <c r="I58" s="454"/>
      <c r="J58" s="454"/>
      <c r="K58" s="454"/>
      <c r="L58" s="454"/>
      <c r="M58" s="455"/>
      <c r="N58" s="181"/>
      <c r="O58" s="179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 t="s">
        <v>126</v>
      </c>
      <c r="B59" s="452"/>
      <c r="C59" s="182" t="s">
        <v>277</v>
      </c>
      <c r="D59" s="182" t="s">
        <v>278</v>
      </c>
      <c r="E59" s="182" t="s">
        <v>276</v>
      </c>
      <c r="F59" s="453" t="s">
        <v>121</v>
      </c>
      <c r="G59" s="454"/>
      <c r="H59" s="454"/>
      <c r="I59" s="454"/>
      <c r="J59" s="454"/>
      <c r="K59" s="454"/>
      <c r="L59" s="454"/>
      <c r="M59" s="455"/>
      <c r="N59" s="181"/>
      <c r="O59" s="179"/>
      <c r="P59" s="463"/>
      <c r="Q59" s="464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/>
      <c r="B60" s="452"/>
      <c r="C60" s="182"/>
      <c r="D60" s="182"/>
      <c r="E60" s="182"/>
      <c r="F60" s="453"/>
      <c r="G60" s="454"/>
      <c r="H60" s="454"/>
      <c r="I60" s="454"/>
      <c r="J60" s="454"/>
      <c r="K60" s="454"/>
      <c r="L60" s="454"/>
      <c r="M60" s="455"/>
      <c r="N60" s="181"/>
      <c r="O60" s="179"/>
      <c r="P60" s="452"/>
      <c r="Q60" s="452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  <c r="AF60" s="87">
        <f>8*3000</f>
        <v>24000</v>
      </c>
    </row>
    <row r="61" spans="1:32" ht="27" customHeight="1" thickBot="1">
      <c r="A61" s="457"/>
      <c r="B61" s="458"/>
      <c r="C61" s="184"/>
      <c r="D61" s="184"/>
      <c r="E61" s="184"/>
      <c r="F61" s="459"/>
      <c r="G61" s="459"/>
      <c r="H61" s="459"/>
      <c r="I61" s="459"/>
      <c r="J61" s="459"/>
      <c r="K61" s="459"/>
      <c r="L61" s="459"/>
      <c r="M61" s="460"/>
      <c r="N61" s="183"/>
      <c r="O61" s="114"/>
      <c r="P61" s="458"/>
      <c r="Q61" s="458"/>
      <c r="R61" s="458"/>
      <c r="S61" s="458"/>
      <c r="T61" s="458"/>
      <c r="U61" s="458"/>
      <c r="V61" s="461"/>
      <c r="W61" s="461"/>
      <c r="X61" s="461"/>
      <c r="Y61" s="461"/>
      <c r="Z61" s="461"/>
      <c r="AA61" s="461"/>
      <c r="AB61" s="461"/>
      <c r="AC61" s="461"/>
      <c r="AD61" s="462"/>
      <c r="AF61" s="87">
        <f>16*3000</f>
        <v>48000</v>
      </c>
    </row>
    <row r="62" spans="1:32" ht="27.75" thickBot="1">
      <c r="A62" s="449" t="s">
        <v>291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50" t="s">
        <v>113</v>
      </c>
      <c r="B63" s="447"/>
      <c r="C63" s="180" t="s">
        <v>2</v>
      </c>
      <c r="D63" s="180" t="s">
        <v>37</v>
      </c>
      <c r="E63" s="180" t="s">
        <v>3</v>
      </c>
      <c r="F63" s="447" t="s">
        <v>110</v>
      </c>
      <c r="G63" s="447"/>
      <c r="H63" s="447"/>
      <c r="I63" s="447"/>
      <c r="J63" s="447"/>
      <c r="K63" s="447" t="s">
        <v>39</v>
      </c>
      <c r="L63" s="447"/>
      <c r="M63" s="180" t="s">
        <v>40</v>
      </c>
      <c r="N63" s="447" t="s">
        <v>41</v>
      </c>
      <c r="O63" s="447"/>
      <c r="P63" s="444" t="s">
        <v>42</v>
      </c>
      <c r="Q63" s="446"/>
      <c r="R63" s="444" t="s">
        <v>43</v>
      </c>
      <c r="S63" s="445"/>
      <c r="T63" s="445"/>
      <c r="U63" s="445"/>
      <c r="V63" s="445"/>
      <c r="W63" s="445"/>
      <c r="X63" s="445"/>
      <c r="Y63" s="445"/>
      <c r="Z63" s="445"/>
      <c r="AA63" s="446"/>
      <c r="AB63" s="447" t="s">
        <v>44</v>
      </c>
      <c r="AC63" s="447"/>
      <c r="AD63" s="448"/>
      <c r="AF63" s="87">
        <f>SUM(AF60:AF62)</f>
        <v>96000</v>
      </c>
    </row>
    <row r="64" spans="1:32" ht="25.5" customHeight="1">
      <c r="A64" s="438">
        <v>1</v>
      </c>
      <c r="B64" s="439"/>
      <c r="C64" s="117" t="s">
        <v>114</v>
      </c>
      <c r="D64" s="175"/>
      <c r="E64" s="178" t="s">
        <v>119</v>
      </c>
      <c r="F64" s="440" t="s">
        <v>275</v>
      </c>
      <c r="G64" s="432"/>
      <c r="H64" s="432"/>
      <c r="I64" s="432"/>
      <c r="J64" s="432"/>
      <c r="K64" s="432" t="s">
        <v>292</v>
      </c>
      <c r="L64" s="432"/>
      <c r="M64" s="51" t="s">
        <v>293</v>
      </c>
      <c r="N64" s="443" t="s">
        <v>294</v>
      </c>
      <c r="O64" s="443"/>
      <c r="P64" s="441">
        <v>20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2</v>
      </c>
      <c r="B65" s="439"/>
      <c r="C65" s="117" t="s">
        <v>295</v>
      </c>
      <c r="D65" s="175"/>
      <c r="E65" s="178" t="s">
        <v>296</v>
      </c>
      <c r="F65" s="440" t="s">
        <v>297</v>
      </c>
      <c r="G65" s="432"/>
      <c r="H65" s="432"/>
      <c r="I65" s="432"/>
      <c r="J65" s="432"/>
      <c r="K65" s="432" t="s">
        <v>298</v>
      </c>
      <c r="L65" s="432"/>
      <c r="M65" s="51" t="s">
        <v>299</v>
      </c>
      <c r="N65" s="443" t="s">
        <v>283</v>
      </c>
      <c r="O65" s="443"/>
      <c r="P65" s="441">
        <v>100</v>
      </c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3</v>
      </c>
      <c r="B66" s="439"/>
      <c r="C66" s="117"/>
      <c r="D66" s="175"/>
      <c r="E66" s="178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4</v>
      </c>
      <c r="B67" s="439"/>
      <c r="C67" s="117"/>
      <c r="D67" s="175"/>
      <c r="E67" s="178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5</v>
      </c>
      <c r="B68" s="439"/>
      <c r="C68" s="117"/>
      <c r="D68" s="175"/>
      <c r="E68" s="178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6</v>
      </c>
      <c r="B69" s="439"/>
      <c r="C69" s="117"/>
      <c r="D69" s="175"/>
      <c r="E69" s="178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7</v>
      </c>
      <c r="B70" s="439"/>
      <c r="C70" s="117"/>
      <c r="D70" s="175"/>
      <c r="E70" s="178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8</v>
      </c>
      <c r="B71" s="439"/>
      <c r="C71" s="117"/>
      <c r="D71" s="175"/>
      <c r="E71" s="178"/>
      <c r="F71" s="440"/>
      <c r="G71" s="432"/>
      <c r="H71" s="432"/>
      <c r="I71" s="432"/>
      <c r="J71" s="432"/>
      <c r="K71" s="432"/>
      <c r="L71" s="432"/>
      <c r="M71" s="51"/>
      <c r="N71" s="432"/>
      <c r="O71" s="432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6.25" customHeight="1" thickBot="1">
      <c r="A72" s="412" t="s">
        <v>300</v>
      </c>
      <c r="B72" s="412"/>
      <c r="C72" s="412"/>
      <c r="D72" s="412"/>
      <c r="E72" s="41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3" t="s">
        <v>113</v>
      </c>
      <c r="B73" s="414"/>
      <c r="C73" s="177" t="s">
        <v>2</v>
      </c>
      <c r="D73" s="177" t="s">
        <v>37</v>
      </c>
      <c r="E73" s="177" t="s">
        <v>3</v>
      </c>
      <c r="F73" s="414" t="s">
        <v>38</v>
      </c>
      <c r="G73" s="414"/>
      <c r="H73" s="414"/>
      <c r="I73" s="414"/>
      <c r="J73" s="414"/>
      <c r="K73" s="434" t="s">
        <v>58</v>
      </c>
      <c r="L73" s="435"/>
      <c r="M73" s="435"/>
      <c r="N73" s="435"/>
      <c r="O73" s="435"/>
      <c r="P73" s="435"/>
      <c r="Q73" s="435"/>
      <c r="R73" s="435"/>
      <c r="S73" s="436"/>
      <c r="T73" s="414" t="s">
        <v>49</v>
      </c>
      <c r="U73" s="414"/>
      <c r="V73" s="434" t="s">
        <v>50</v>
      </c>
      <c r="W73" s="436"/>
      <c r="X73" s="435" t="s">
        <v>51</v>
      </c>
      <c r="Y73" s="435"/>
      <c r="Z73" s="435"/>
      <c r="AA73" s="435"/>
      <c r="AB73" s="435"/>
      <c r="AC73" s="435"/>
      <c r="AD73" s="437"/>
      <c r="AF73" s="50"/>
    </row>
    <row r="74" spans="1:32" ht="33.75" customHeight="1">
      <c r="A74" s="406">
        <v>1</v>
      </c>
      <c r="B74" s="407"/>
      <c r="C74" s="176" t="s">
        <v>114</v>
      </c>
      <c r="D74" s="176"/>
      <c r="E74" s="65" t="s">
        <v>119</v>
      </c>
      <c r="F74" s="421" t="s">
        <v>118</v>
      </c>
      <c r="G74" s="422"/>
      <c r="H74" s="422"/>
      <c r="I74" s="422"/>
      <c r="J74" s="423"/>
      <c r="K74" s="424" t="s">
        <v>120</v>
      </c>
      <c r="L74" s="425"/>
      <c r="M74" s="425"/>
      <c r="N74" s="425"/>
      <c r="O74" s="425"/>
      <c r="P74" s="425"/>
      <c r="Q74" s="425"/>
      <c r="R74" s="425"/>
      <c r="S74" s="426"/>
      <c r="T74" s="427">
        <v>43384</v>
      </c>
      <c r="U74" s="428"/>
      <c r="V74" s="429"/>
      <c r="W74" s="429"/>
      <c r="X74" s="430"/>
      <c r="Y74" s="430"/>
      <c r="Z74" s="430"/>
      <c r="AA74" s="430"/>
      <c r="AB74" s="430"/>
      <c r="AC74" s="430"/>
      <c r="AD74" s="431"/>
      <c r="AF74" s="50"/>
    </row>
    <row r="75" spans="1:32" ht="30" customHeight="1">
      <c r="A75" s="399">
        <f>A74+1</f>
        <v>2</v>
      </c>
      <c r="B75" s="400"/>
      <c r="C75" s="175"/>
      <c r="D75" s="175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ref="A76:A82" si="13">A75+1</f>
        <v>3</v>
      </c>
      <c r="B76" s="400"/>
      <c r="C76" s="175"/>
      <c r="D76" s="175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4</v>
      </c>
      <c r="B77" s="400"/>
      <c r="C77" s="175"/>
      <c r="D77" s="175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5</v>
      </c>
      <c r="B78" s="400"/>
      <c r="C78" s="175"/>
      <c r="D78" s="175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6</v>
      </c>
      <c r="B79" s="400"/>
      <c r="C79" s="175"/>
      <c r="D79" s="175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7</v>
      </c>
      <c r="B80" s="400"/>
      <c r="C80" s="175"/>
      <c r="D80" s="175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8</v>
      </c>
      <c r="B81" s="400"/>
      <c r="C81" s="175"/>
      <c r="D81" s="175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13"/>
        <v>9</v>
      </c>
      <c r="B82" s="400"/>
      <c r="C82" s="175"/>
      <c r="D82" s="175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6" thickBot="1">
      <c r="A83" s="412" t="s">
        <v>301</v>
      </c>
      <c r="B83" s="412"/>
      <c r="C83" s="412"/>
      <c r="D83" s="412"/>
      <c r="E83" s="41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3" t="s">
        <v>113</v>
      </c>
      <c r="B84" s="414"/>
      <c r="C84" s="404" t="s">
        <v>52</v>
      </c>
      <c r="D84" s="404"/>
      <c r="E84" s="404" t="s">
        <v>53</v>
      </c>
      <c r="F84" s="404"/>
      <c r="G84" s="404"/>
      <c r="H84" s="404"/>
      <c r="I84" s="404"/>
      <c r="J84" s="404"/>
      <c r="K84" s="404" t="s">
        <v>54</v>
      </c>
      <c r="L84" s="404"/>
      <c r="M84" s="404"/>
      <c r="N84" s="404"/>
      <c r="O84" s="404"/>
      <c r="P84" s="404"/>
      <c r="Q84" s="404"/>
      <c r="R84" s="404"/>
      <c r="S84" s="404"/>
      <c r="T84" s="404" t="s">
        <v>55</v>
      </c>
      <c r="U84" s="404"/>
      <c r="V84" s="404" t="s">
        <v>56</v>
      </c>
      <c r="W84" s="404"/>
      <c r="X84" s="404"/>
      <c r="Y84" s="404" t="s">
        <v>51</v>
      </c>
      <c r="Z84" s="404"/>
      <c r="AA84" s="404"/>
      <c r="AB84" s="404"/>
      <c r="AC84" s="404"/>
      <c r="AD84" s="405"/>
      <c r="AF84" s="50"/>
    </row>
    <row r="85" spans="1:32" ht="30.75" customHeight="1">
      <c r="A85" s="406">
        <v>1</v>
      </c>
      <c r="B85" s="407"/>
      <c r="C85" s="408"/>
      <c r="D85" s="408"/>
      <c r="E85" s="408"/>
      <c r="F85" s="408"/>
      <c r="G85" s="408"/>
      <c r="H85" s="408"/>
      <c r="I85" s="408"/>
      <c r="J85" s="408"/>
      <c r="K85" s="408"/>
      <c r="L85" s="408"/>
      <c r="M85" s="408"/>
      <c r="N85" s="408"/>
      <c r="O85" s="408"/>
      <c r="P85" s="408"/>
      <c r="Q85" s="408"/>
      <c r="R85" s="408"/>
      <c r="S85" s="408"/>
      <c r="T85" s="408"/>
      <c r="U85" s="408"/>
      <c r="V85" s="409"/>
      <c r="W85" s="409"/>
      <c r="X85" s="409"/>
      <c r="Y85" s="410"/>
      <c r="Z85" s="410"/>
      <c r="AA85" s="410"/>
      <c r="AB85" s="410"/>
      <c r="AC85" s="410"/>
      <c r="AD85" s="411"/>
      <c r="AF85" s="50"/>
    </row>
    <row r="86" spans="1:32" ht="30.75" customHeight="1">
      <c r="A86" s="399">
        <v>2</v>
      </c>
      <c r="B86" s="400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  <c r="Q86" s="401"/>
      <c r="R86" s="401"/>
      <c r="S86" s="401"/>
      <c r="T86" s="402"/>
      <c r="U86" s="402"/>
      <c r="V86" s="403"/>
      <c r="W86" s="403"/>
      <c r="X86" s="403"/>
      <c r="Y86" s="392"/>
      <c r="Z86" s="392"/>
      <c r="AA86" s="392"/>
      <c r="AB86" s="392"/>
      <c r="AC86" s="392"/>
      <c r="AD86" s="393"/>
      <c r="AF86" s="50"/>
    </row>
    <row r="87" spans="1:32" ht="30.75" customHeight="1" thickBot="1">
      <c r="A87" s="394">
        <v>3</v>
      </c>
      <c r="B87" s="395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M87" s="396"/>
      <c r="N87" s="396"/>
      <c r="O87" s="396"/>
      <c r="P87" s="396"/>
      <c r="Q87" s="396"/>
      <c r="R87" s="396"/>
      <c r="S87" s="396"/>
      <c r="T87" s="396"/>
      <c r="U87" s="396"/>
      <c r="V87" s="396"/>
      <c r="W87" s="396"/>
      <c r="X87" s="396"/>
      <c r="Y87" s="397"/>
      <c r="Z87" s="397"/>
      <c r="AA87" s="397"/>
      <c r="AB87" s="397"/>
      <c r="AC87" s="397"/>
      <c r="AD87" s="398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B25-A8AE-4413-93B3-ACAB0D567986}">
  <sheetPr>
    <pageSetUpPr fitToPage="1"/>
  </sheetPr>
  <dimension ref="A1:AF86"/>
  <sheetViews>
    <sheetView zoomScale="72" zoomScaleNormal="72" zoomScaleSheetLayoutView="70" workbookViewId="0">
      <selection activeCell="E10" sqref="E10:H10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302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198" t="s">
        <v>17</v>
      </c>
      <c r="L5" s="198" t="s">
        <v>18</v>
      </c>
      <c r="M5" s="198" t="s">
        <v>19</v>
      </c>
      <c r="N5" s="19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0.4177770768350097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0.4177770768350097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62000</v>
      </c>
      <c r="J8" s="5">
        <v>1703</v>
      </c>
      <c r="K8" s="15">
        <f>L8+3980+5675+3264+5251+5511+5242+4989+3963+4268+3677</f>
        <v>47523</v>
      </c>
      <c r="L8" s="15">
        <v>1703</v>
      </c>
      <c r="M8" s="15">
        <f t="shared" si="1"/>
        <v>1703</v>
      </c>
      <c r="N8" s="15">
        <v>0</v>
      </c>
      <c r="O8" s="58">
        <f t="shared" si="2"/>
        <v>0</v>
      </c>
      <c r="P8" s="39">
        <f t="shared" si="3"/>
        <v>10</v>
      </c>
      <c r="Q8" s="40">
        <f t="shared" si="4"/>
        <v>14</v>
      </c>
      <c r="R8" s="7"/>
      <c r="S8" s="6">
        <v>14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0.41666666666666669</v>
      </c>
      <c r="AD8" s="10">
        <f t="shared" si="7"/>
        <v>0.41666666666666669</v>
      </c>
      <c r="AE8" s="36">
        <f t="shared" si="8"/>
        <v>0.4177770768350097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6724</v>
      </c>
      <c r="K9" s="15">
        <f>L9+2483+2720+3334+3355+5508+204+4399+3307+5387+4130+4230+4409+3649</f>
        <v>53839</v>
      </c>
      <c r="L9" s="15">
        <f>3267+388+3069</f>
        <v>6724</v>
      </c>
      <c r="M9" s="15">
        <f t="shared" si="1"/>
        <v>6724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0.4177770768350097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154</v>
      </c>
      <c r="D10" s="52" t="s">
        <v>158</v>
      </c>
      <c r="E10" s="53" t="s">
        <v>159</v>
      </c>
      <c r="F10" s="30" t="s">
        <v>122</v>
      </c>
      <c r="G10" s="33">
        <v>2</v>
      </c>
      <c r="H10" s="35">
        <v>24</v>
      </c>
      <c r="I10" s="7">
        <v>75000</v>
      </c>
      <c r="J10" s="5">
        <v>12590</v>
      </c>
      <c r="K10" s="15">
        <f>L10+4000+2801+4378+6093+3959+7386+10861+4645+8836+8066+11688+6640+6494</f>
        <v>98437</v>
      </c>
      <c r="L10" s="15">
        <f>3129*2+3166*2</f>
        <v>12590</v>
      </c>
      <c r="M10" s="15">
        <f t="shared" si="1"/>
        <v>12590</v>
      </c>
      <c r="N10" s="15">
        <v>0</v>
      </c>
      <c r="O10" s="58">
        <f t="shared" si="2"/>
        <v>0</v>
      </c>
      <c r="P10" s="39">
        <f t="shared" si="3"/>
        <v>21</v>
      </c>
      <c r="Q10" s="40">
        <f t="shared" si="4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0.875</v>
      </c>
      <c r="AD10" s="10">
        <f>AC10*AB10*(1-O10)</f>
        <v>0.875</v>
      </c>
      <c r="AE10" s="36">
        <f t="shared" si="8"/>
        <v>0.4177770768350097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126</v>
      </c>
      <c r="D11" s="52" t="s">
        <v>272</v>
      </c>
      <c r="E11" s="53" t="s">
        <v>273</v>
      </c>
      <c r="F11" s="12" t="s">
        <v>156</v>
      </c>
      <c r="G11" s="12">
        <v>1</v>
      </c>
      <c r="H11" s="13">
        <v>24</v>
      </c>
      <c r="I11" s="7">
        <v>1100</v>
      </c>
      <c r="J11" s="14">
        <v>1559</v>
      </c>
      <c r="K11" s="15">
        <f>L11+1559</f>
        <v>1559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16</v>
      </c>
      <c r="R11" s="7"/>
      <c r="S11" s="6"/>
      <c r="T11" s="16"/>
      <c r="U11" s="16"/>
      <c r="V11" s="17"/>
      <c r="W11" s="5">
        <v>16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0.4177770768350097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240</v>
      </c>
      <c r="F12" s="30" t="s">
        <v>122</v>
      </c>
      <c r="G12" s="33">
        <v>1</v>
      </c>
      <c r="H12" s="35">
        <v>20</v>
      </c>
      <c r="I12" s="7">
        <v>23000</v>
      </c>
      <c r="J12" s="14">
        <v>5602</v>
      </c>
      <c r="K12" s="15">
        <f>L12+2522+5294+5249</f>
        <v>18667</v>
      </c>
      <c r="L12" s="15">
        <f>2716+314+2572</f>
        <v>5602</v>
      </c>
      <c r="M12" s="15">
        <f t="shared" si="1"/>
        <v>5602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0.4177770768350097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123</v>
      </c>
      <c r="E13" s="53" t="s">
        <v>241</v>
      </c>
      <c r="F13" s="30" t="s">
        <v>156</v>
      </c>
      <c r="G13" s="33">
        <v>1</v>
      </c>
      <c r="H13" s="35">
        <v>24</v>
      </c>
      <c r="I13" s="7">
        <v>20000</v>
      </c>
      <c r="J13" s="14">
        <v>57066</v>
      </c>
      <c r="K13" s="15">
        <f>L13+2174+3606</f>
        <v>11486</v>
      </c>
      <c r="L13" s="15">
        <f>2964+2742</f>
        <v>5706</v>
      </c>
      <c r="M13" s="15">
        <f t="shared" si="1"/>
        <v>5706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9.9989485858479651E-2</v>
      </c>
      <c r="AC13" s="9">
        <f t="shared" si="6"/>
        <v>1</v>
      </c>
      <c r="AD13" s="10">
        <f t="shared" si="7"/>
        <v>9.9989485858479651E-2</v>
      </c>
      <c r="AE13" s="36">
        <f t="shared" si="8"/>
        <v>0.4177770768350097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225</v>
      </c>
      <c r="F14" s="30" t="s">
        <v>242</v>
      </c>
      <c r="G14" s="33">
        <v>1</v>
      </c>
      <c r="H14" s="35">
        <v>40</v>
      </c>
      <c r="I14" s="7">
        <v>500</v>
      </c>
      <c r="J14" s="5">
        <v>338</v>
      </c>
      <c r="K14" s="15">
        <f>L14+338+104</f>
        <v>442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0.4177770768350097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167</v>
      </c>
      <c r="F15" s="12">
        <v>8301</v>
      </c>
      <c r="G15" s="12">
        <v>1</v>
      </c>
      <c r="H15" s="13">
        <v>24</v>
      </c>
      <c r="I15" s="31">
        <v>2000</v>
      </c>
      <c r="J15" s="14">
        <v>1140</v>
      </c>
      <c r="K15" s="15">
        <f>L15+1150+1139</f>
        <v>2289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0.4177770768350097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</f>
        <v>2547</v>
      </c>
      <c r="L16" s="15">
        <f>1370+1177</f>
        <v>2547</v>
      </c>
      <c r="M16" s="15">
        <f t="shared" si="1"/>
        <v>2547</v>
      </c>
      <c r="N16" s="15">
        <v>0</v>
      </c>
      <c r="O16" s="58">
        <f t="shared" si="2"/>
        <v>0</v>
      </c>
      <c r="P16" s="39">
        <f t="shared" si="3"/>
        <v>15</v>
      </c>
      <c r="Q16" s="40">
        <f t="shared" si="4"/>
        <v>9</v>
      </c>
      <c r="R16" s="7"/>
      <c r="S16" s="6"/>
      <c r="T16" s="16"/>
      <c r="U16" s="16"/>
      <c r="V16" s="17"/>
      <c r="W16" s="5">
        <v>9</v>
      </c>
      <c r="X16" s="16"/>
      <c r="Y16" s="16"/>
      <c r="Z16" s="16"/>
      <c r="AA16" s="18"/>
      <c r="AB16" s="8">
        <f t="shared" si="5"/>
        <v>1</v>
      </c>
      <c r="AC16" s="9">
        <f t="shared" si="6"/>
        <v>0.625</v>
      </c>
      <c r="AD16" s="10">
        <f t="shared" si="7"/>
        <v>0.625</v>
      </c>
      <c r="AE16" s="36">
        <f t="shared" si="8"/>
        <v>0.4177770768350097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252</v>
      </c>
      <c r="E17" s="53" t="s">
        <v>253</v>
      </c>
      <c r="F17" s="12" t="s">
        <v>254</v>
      </c>
      <c r="G17" s="12">
        <v>1</v>
      </c>
      <c r="H17" s="13">
        <v>24</v>
      </c>
      <c r="I17" s="31">
        <v>1100</v>
      </c>
      <c r="J17" s="14">
        <v>1678</v>
      </c>
      <c r="K17" s="15">
        <f>L17+1678</f>
        <v>1678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0.4177770768350097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129</v>
      </c>
      <c r="E18" s="53" t="s">
        <v>266</v>
      </c>
      <c r="F18" s="30" t="s">
        <v>122</v>
      </c>
      <c r="G18" s="33">
        <v>1</v>
      </c>
      <c r="H18" s="35">
        <v>24</v>
      </c>
      <c r="I18" s="7">
        <v>17000</v>
      </c>
      <c r="J18" s="5">
        <v>5206</v>
      </c>
      <c r="K18" s="15">
        <f>L18+5065</f>
        <v>10271</v>
      </c>
      <c r="L18" s="15">
        <f>2479+2727</f>
        <v>5206</v>
      </c>
      <c r="M18" s="15">
        <f t="shared" si="1"/>
        <v>5206</v>
      </c>
      <c r="N18" s="15">
        <v>0</v>
      </c>
      <c r="O18" s="58">
        <f t="shared" si="2"/>
        <v>0</v>
      </c>
      <c r="P18" s="39">
        <f t="shared" si="3"/>
        <v>23</v>
      </c>
      <c r="Q18" s="40">
        <f t="shared" si="4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0.95833333333333337</v>
      </c>
      <c r="AD18" s="10">
        <f>AC18*AB18*(1-O18)</f>
        <v>0.95833333333333337</v>
      </c>
      <c r="AE18" s="36">
        <f t="shared" si="8"/>
        <v>0.4177770768350097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117</v>
      </c>
      <c r="E19" s="53" t="s">
        <v>267</v>
      </c>
      <c r="F19" s="30" t="s">
        <v>122</v>
      </c>
      <c r="G19" s="33">
        <v>1</v>
      </c>
      <c r="H19" s="35">
        <v>24</v>
      </c>
      <c r="I19" s="7">
        <v>30000</v>
      </c>
      <c r="J19" s="14">
        <v>2642</v>
      </c>
      <c r="K19" s="15">
        <f>L19+2307</f>
        <v>4949</v>
      </c>
      <c r="L19" s="15">
        <f>1987+655</f>
        <v>2642</v>
      </c>
      <c r="M19" s="15">
        <f t="shared" si="1"/>
        <v>2642</v>
      </c>
      <c r="N19" s="15">
        <v>0</v>
      </c>
      <c r="O19" s="58">
        <f t="shared" si="2"/>
        <v>0</v>
      </c>
      <c r="P19" s="39">
        <f t="shared" si="3"/>
        <v>17</v>
      </c>
      <c r="Q19" s="40">
        <f t="shared" si="4"/>
        <v>7</v>
      </c>
      <c r="R19" s="7"/>
      <c r="S19" s="6"/>
      <c r="T19" s="16">
        <v>7</v>
      </c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0.70833333333333337</v>
      </c>
      <c r="AD19" s="10">
        <f t="shared" ref="AD19" si="10">AC19*AB19*(1-O19)</f>
        <v>0.70833333333333337</v>
      </c>
      <c r="AE19" s="36">
        <f t="shared" si="8"/>
        <v>0.4177770768350097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288</v>
      </c>
      <c r="F20" s="12" t="s">
        <v>116</v>
      </c>
      <c r="G20" s="12">
        <v>4</v>
      </c>
      <c r="H20" s="35">
        <v>20</v>
      </c>
      <c r="I20" s="7">
        <v>200000</v>
      </c>
      <c r="J20" s="14">
        <v>43576</v>
      </c>
      <c r="K20" s="15">
        <f>L20</f>
        <v>43576</v>
      </c>
      <c r="L20" s="15">
        <f>10894*4</f>
        <v>43576</v>
      </c>
      <c r="M20" s="15">
        <f t="shared" si="1"/>
        <v>43576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0.4177770768350097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492300</v>
      </c>
      <c r="J21" s="19">
        <f t="shared" si="11"/>
        <v>142371</v>
      </c>
      <c r="K21" s="20">
        <f t="shared" si="11"/>
        <v>297263</v>
      </c>
      <c r="L21" s="21">
        <f t="shared" si="11"/>
        <v>86296</v>
      </c>
      <c r="M21" s="20">
        <f t="shared" si="11"/>
        <v>86296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172</v>
      </c>
      <c r="Q21" s="43">
        <f t="shared" si="12"/>
        <v>180</v>
      </c>
      <c r="R21" s="23">
        <f t="shared" si="12"/>
        <v>24</v>
      </c>
      <c r="S21" s="24">
        <f t="shared" si="12"/>
        <v>41</v>
      </c>
      <c r="T21" s="24">
        <f t="shared" si="12"/>
        <v>8</v>
      </c>
      <c r="U21" s="24">
        <f t="shared" si="12"/>
        <v>0</v>
      </c>
      <c r="V21" s="25">
        <f t="shared" si="12"/>
        <v>10</v>
      </c>
      <c r="W21" s="26">
        <f t="shared" si="12"/>
        <v>97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0.53999929905723199</v>
      </c>
      <c r="AC21" s="4">
        <f>SUM(AC6:AC20)/15</f>
        <v>0.47777777777777775</v>
      </c>
      <c r="AD21" s="4">
        <f>SUM(AD6:AD20)/15</f>
        <v>0.4177770768350097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304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311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197" t="s">
        <v>46</v>
      </c>
      <c r="D50" s="197" t="s">
        <v>47</v>
      </c>
      <c r="E50" s="197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197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194" t="s">
        <v>188</v>
      </c>
      <c r="D51" s="194" t="s">
        <v>123</v>
      </c>
      <c r="E51" s="194" t="s">
        <v>187</v>
      </c>
      <c r="F51" s="453" t="s">
        <v>305</v>
      </c>
      <c r="G51" s="454"/>
      <c r="H51" s="454"/>
      <c r="I51" s="454"/>
      <c r="J51" s="454"/>
      <c r="K51" s="454"/>
      <c r="L51" s="454"/>
      <c r="M51" s="455"/>
      <c r="N51" s="193" t="s">
        <v>126</v>
      </c>
      <c r="O51" s="191" t="s">
        <v>188</v>
      </c>
      <c r="P51" s="463" t="s">
        <v>123</v>
      </c>
      <c r="Q51" s="464"/>
      <c r="R51" s="452" t="s">
        <v>187</v>
      </c>
      <c r="S51" s="452"/>
      <c r="T51" s="452"/>
      <c r="U51" s="452"/>
      <c r="V51" s="442" t="s">
        <v>137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126</v>
      </c>
      <c r="B52" s="452"/>
      <c r="C52" s="194" t="s">
        <v>221</v>
      </c>
      <c r="D52" s="194" t="s">
        <v>284</v>
      </c>
      <c r="E52" s="194" t="s">
        <v>306</v>
      </c>
      <c r="F52" s="453" t="s">
        <v>307</v>
      </c>
      <c r="G52" s="454"/>
      <c r="H52" s="454"/>
      <c r="I52" s="454"/>
      <c r="J52" s="454"/>
      <c r="K52" s="454"/>
      <c r="L52" s="454"/>
      <c r="M52" s="455"/>
      <c r="N52" s="193" t="s">
        <v>126</v>
      </c>
      <c r="O52" s="191" t="s">
        <v>135</v>
      </c>
      <c r="P52" s="463" t="s">
        <v>157</v>
      </c>
      <c r="Q52" s="464"/>
      <c r="R52" s="452" t="s">
        <v>161</v>
      </c>
      <c r="S52" s="452"/>
      <c r="T52" s="452"/>
      <c r="U52" s="452"/>
      <c r="V52" s="442" t="s">
        <v>151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126</v>
      </c>
      <c r="B53" s="452"/>
      <c r="C53" s="194" t="s">
        <v>138</v>
      </c>
      <c r="D53" s="194" t="s">
        <v>117</v>
      </c>
      <c r="E53" s="194" t="s">
        <v>267</v>
      </c>
      <c r="F53" s="453" t="s">
        <v>308</v>
      </c>
      <c r="G53" s="454"/>
      <c r="H53" s="454"/>
      <c r="I53" s="454"/>
      <c r="J53" s="454"/>
      <c r="K53" s="454"/>
      <c r="L53" s="454"/>
      <c r="M53" s="455"/>
      <c r="N53" s="193" t="s">
        <v>126</v>
      </c>
      <c r="O53" s="191" t="s">
        <v>204</v>
      </c>
      <c r="P53" s="463" t="s">
        <v>117</v>
      </c>
      <c r="Q53" s="464"/>
      <c r="R53" s="452" t="s">
        <v>240</v>
      </c>
      <c r="S53" s="452"/>
      <c r="T53" s="452"/>
      <c r="U53" s="452"/>
      <c r="V53" s="442" t="s">
        <v>151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115</v>
      </c>
      <c r="B54" s="452"/>
      <c r="C54" s="194" t="s">
        <v>186</v>
      </c>
      <c r="D54" s="194"/>
      <c r="E54" s="194" t="s">
        <v>288</v>
      </c>
      <c r="F54" s="453" t="s">
        <v>121</v>
      </c>
      <c r="G54" s="454"/>
      <c r="H54" s="454"/>
      <c r="I54" s="454"/>
      <c r="J54" s="454"/>
      <c r="K54" s="454"/>
      <c r="L54" s="454"/>
      <c r="M54" s="455"/>
      <c r="N54" s="193" t="s">
        <v>126</v>
      </c>
      <c r="O54" s="191" t="s">
        <v>138</v>
      </c>
      <c r="P54" s="463" t="s">
        <v>117</v>
      </c>
      <c r="Q54" s="464"/>
      <c r="R54" s="452" t="s">
        <v>267</v>
      </c>
      <c r="S54" s="452"/>
      <c r="T54" s="452"/>
      <c r="U54" s="452"/>
      <c r="V54" s="442" t="s">
        <v>137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286</v>
      </c>
      <c r="B55" s="452"/>
      <c r="C55" s="194" t="s">
        <v>287</v>
      </c>
      <c r="D55" s="194" t="s">
        <v>310</v>
      </c>
      <c r="E55" s="194" t="s">
        <v>285</v>
      </c>
      <c r="F55" s="453" t="s">
        <v>309</v>
      </c>
      <c r="G55" s="454"/>
      <c r="H55" s="454"/>
      <c r="I55" s="454"/>
      <c r="J55" s="454"/>
      <c r="K55" s="454"/>
      <c r="L55" s="454"/>
      <c r="M55" s="455"/>
      <c r="N55" s="193" t="s">
        <v>126</v>
      </c>
      <c r="O55" s="191" t="s">
        <v>221</v>
      </c>
      <c r="P55" s="463" t="s">
        <v>284</v>
      </c>
      <c r="Q55" s="464"/>
      <c r="R55" s="452" t="s">
        <v>306</v>
      </c>
      <c r="S55" s="452"/>
      <c r="T55" s="452"/>
      <c r="U55" s="452"/>
      <c r="V55" s="442" t="s">
        <v>137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/>
      <c r="B56" s="452"/>
      <c r="C56" s="194"/>
      <c r="D56" s="194"/>
      <c r="E56" s="194"/>
      <c r="F56" s="453"/>
      <c r="G56" s="454"/>
      <c r="H56" s="454"/>
      <c r="I56" s="454"/>
      <c r="J56" s="454"/>
      <c r="K56" s="454"/>
      <c r="L56" s="454"/>
      <c r="M56" s="455"/>
      <c r="N56" s="193"/>
      <c r="O56" s="191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194"/>
      <c r="D57" s="194"/>
      <c r="E57" s="194"/>
      <c r="F57" s="453"/>
      <c r="G57" s="454"/>
      <c r="H57" s="454"/>
      <c r="I57" s="454"/>
      <c r="J57" s="454"/>
      <c r="K57" s="454"/>
      <c r="L57" s="454"/>
      <c r="M57" s="455"/>
      <c r="N57" s="193"/>
      <c r="O57" s="191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194"/>
      <c r="D58" s="194"/>
      <c r="E58" s="194"/>
      <c r="F58" s="453"/>
      <c r="G58" s="454"/>
      <c r="H58" s="454"/>
      <c r="I58" s="454"/>
      <c r="J58" s="454"/>
      <c r="K58" s="454"/>
      <c r="L58" s="454"/>
      <c r="M58" s="455"/>
      <c r="N58" s="193"/>
      <c r="O58" s="191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194"/>
      <c r="D59" s="194"/>
      <c r="E59" s="194"/>
      <c r="F59" s="453"/>
      <c r="G59" s="454"/>
      <c r="H59" s="454"/>
      <c r="I59" s="454"/>
      <c r="J59" s="454"/>
      <c r="K59" s="454"/>
      <c r="L59" s="454"/>
      <c r="M59" s="455"/>
      <c r="N59" s="193"/>
      <c r="O59" s="191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196"/>
      <c r="D60" s="196"/>
      <c r="E60" s="196"/>
      <c r="F60" s="459"/>
      <c r="G60" s="459"/>
      <c r="H60" s="459"/>
      <c r="I60" s="459"/>
      <c r="J60" s="459"/>
      <c r="K60" s="459"/>
      <c r="L60" s="459"/>
      <c r="M60" s="460"/>
      <c r="N60" s="195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312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192" t="s">
        <v>2</v>
      </c>
      <c r="D62" s="192" t="s">
        <v>37</v>
      </c>
      <c r="E62" s="192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192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 t="s">
        <v>114</v>
      </c>
      <c r="D63" s="187"/>
      <c r="E63" s="190" t="s">
        <v>119</v>
      </c>
      <c r="F63" s="440" t="s">
        <v>275</v>
      </c>
      <c r="G63" s="432"/>
      <c r="H63" s="432"/>
      <c r="I63" s="432"/>
      <c r="J63" s="432"/>
      <c r="K63" s="432" t="s">
        <v>162</v>
      </c>
      <c r="L63" s="432"/>
      <c r="M63" s="51" t="s">
        <v>293</v>
      </c>
      <c r="N63" s="443" t="s">
        <v>226</v>
      </c>
      <c r="O63" s="443"/>
      <c r="P63" s="441">
        <v>10</v>
      </c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/>
      <c r="D64" s="187"/>
      <c r="E64" s="190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187"/>
      <c r="E65" s="190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187"/>
      <c r="E66" s="190"/>
      <c r="F66" s="440"/>
      <c r="G66" s="432"/>
      <c r="H66" s="432"/>
      <c r="I66" s="432"/>
      <c r="J66" s="432"/>
      <c r="K66" s="432"/>
      <c r="L66" s="432"/>
      <c r="M66" s="51"/>
      <c r="N66" s="432"/>
      <c r="O66" s="432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187"/>
      <c r="E67" s="190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187"/>
      <c r="E68" s="190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187"/>
      <c r="E69" s="190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187"/>
      <c r="E70" s="190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313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189" t="s">
        <v>2</v>
      </c>
      <c r="D72" s="189" t="s">
        <v>37</v>
      </c>
      <c r="E72" s="189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188" t="s">
        <v>114</v>
      </c>
      <c r="D73" s="188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187"/>
      <c r="D74" s="187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187"/>
      <c r="D75" s="187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187"/>
      <c r="D76" s="187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187"/>
      <c r="D77" s="187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187"/>
      <c r="D78" s="187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187"/>
      <c r="D79" s="187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187"/>
      <c r="D80" s="187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187"/>
      <c r="D81" s="187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314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AE40-B21A-40DB-9729-F7D8315FBB0C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315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199" t="s">
        <v>17</v>
      </c>
      <c r="L5" s="199" t="s">
        <v>18</v>
      </c>
      <c r="M5" s="199" t="s">
        <v>19</v>
      </c>
      <c r="N5" s="19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0.45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62000</v>
      </c>
      <c r="J8" s="5">
        <v>2908</v>
      </c>
      <c r="K8" s="15">
        <f>L8+3980+5675+3264+5251+5511+5242+4989+3963+4268+3677+1703</f>
        <v>50431</v>
      </c>
      <c r="L8" s="15">
        <f>1307+1601</f>
        <v>2908</v>
      </c>
      <c r="M8" s="15">
        <f t="shared" si="1"/>
        <v>2908</v>
      </c>
      <c r="N8" s="15">
        <v>0</v>
      </c>
      <c r="O8" s="58">
        <f t="shared" si="2"/>
        <v>0</v>
      </c>
      <c r="P8" s="39">
        <f t="shared" si="3"/>
        <v>14</v>
      </c>
      <c r="Q8" s="40">
        <f t="shared" si="4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0.58333333333333337</v>
      </c>
      <c r="AD8" s="10">
        <f t="shared" si="7"/>
        <v>0.58333333333333337</v>
      </c>
      <c r="AE8" s="36">
        <f t="shared" si="8"/>
        <v>0.45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4355</v>
      </c>
      <c r="K9" s="15">
        <f>L9+2483+2720+3334+3355+5508+204+4399+3307+5387+4130+4230+4409+3649+6724</f>
        <v>58194</v>
      </c>
      <c r="L9" s="15">
        <f>3301+1054</f>
        <v>4355</v>
      </c>
      <c r="M9" s="15">
        <f t="shared" si="1"/>
        <v>4355</v>
      </c>
      <c r="N9" s="15">
        <v>0</v>
      </c>
      <c r="O9" s="58">
        <f t="shared" si="2"/>
        <v>0</v>
      </c>
      <c r="P9" s="39">
        <f t="shared" si="3"/>
        <v>20</v>
      </c>
      <c r="Q9" s="40">
        <f t="shared" si="4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0.83333333333333337</v>
      </c>
      <c r="AD9" s="10">
        <f t="shared" si="7"/>
        <v>0.83333333333333337</v>
      </c>
      <c r="AE9" s="36">
        <f t="shared" si="8"/>
        <v>0.45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191</v>
      </c>
      <c r="E10" s="53" t="s">
        <v>316</v>
      </c>
      <c r="F10" s="30" t="s">
        <v>124</v>
      </c>
      <c r="G10" s="33">
        <v>1</v>
      </c>
      <c r="H10" s="35">
        <v>24</v>
      </c>
      <c r="I10" s="7">
        <v>300</v>
      </c>
      <c r="J10" s="5">
        <v>301</v>
      </c>
      <c r="K10" s="15">
        <f>L10</f>
        <v>301</v>
      </c>
      <c r="L10" s="15">
        <f>301</f>
        <v>301</v>
      </c>
      <c r="M10" s="15">
        <f t="shared" si="1"/>
        <v>301</v>
      </c>
      <c r="N10" s="15">
        <v>0</v>
      </c>
      <c r="O10" s="58">
        <f t="shared" si="2"/>
        <v>0</v>
      </c>
      <c r="P10" s="39">
        <f t="shared" si="3"/>
        <v>4</v>
      </c>
      <c r="Q10" s="40">
        <f t="shared" si="4"/>
        <v>20</v>
      </c>
      <c r="R10" s="7"/>
      <c r="S10" s="6"/>
      <c r="T10" s="16"/>
      <c r="U10" s="16"/>
      <c r="V10" s="17"/>
      <c r="W10" s="5">
        <v>20</v>
      </c>
      <c r="X10" s="16"/>
      <c r="Y10" s="16"/>
      <c r="Z10" s="16"/>
      <c r="AA10" s="18"/>
      <c r="AB10" s="8">
        <f t="shared" si="5"/>
        <v>1</v>
      </c>
      <c r="AC10" s="9">
        <f t="shared" si="6"/>
        <v>0.16666666666666666</v>
      </c>
      <c r="AD10" s="10">
        <f>AC10*AB10*(1-O10)</f>
        <v>0.16666666666666666</v>
      </c>
      <c r="AE10" s="36">
        <f t="shared" si="8"/>
        <v>0.45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126</v>
      </c>
      <c r="D11" s="52" t="s">
        <v>123</v>
      </c>
      <c r="E11" s="53" t="s">
        <v>127</v>
      </c>
      <c r="F11" s="30" t="s">
        <v>124</v>
      </c>
      <c r="G11" s="33">
        <v>1</v>
      </c>
      <c r="H11" s="35">
        <v>24</v>
      </c>
      <c r="I11" s="7">
        <v>20000</v>
      </c>
      <c r="J11" s="5">
        <v>1927</v>
      </c>
      <c r="K11" s="15">
        <f>L11</f>
        <v>1927</v>
      </c>
      <c r="L11" s="15">
        <f>405+1522</f>
        <v>1927</v>
      </c>
      <c r="M11" s="15">
        <f t="shared" ref="M11" si="10">L11-N11</f>
        <v>1927</v>
      </c>
      <c r="N11" s="15">
        <v>0</v>
      </c>
      <c r="O11" s="58">
        <f t="shared" ref="O11" si="11">IF(L11=0,"0",N11/L11)</f>
        <v>0</v>
      </c>
      <c r="P11" s="39">
        <f t="shared" ref="P11" si="12">IF(L11=0,"0",(24-Q11))</f>
        <v>10</v>
      </c>
      <c r="Q11" s="40">
        <f t="shared" ref="Q11" si="13">SUM(R11:AA11)</f>
        <v>14</v>
      </c>
      <c r="R11" s="7"/>
      <c r="S11" s="6">
        <v>14</v>
      </c>
      <c r="T11" s="16"/>
      <c r="U11" s="16"/>
      <c r="V11" s="17"/>
      <c r="W11" s="5"/>
      <c r="X11" s="16"/>
      <c r="Y11" s="16"/>
      <c r="Z11" s="16"/>
      <c r="AA11" s="18"/>
      <c r="AB11" s="8">
        <f t="shared" ref="AB11" si="14">IF(J11=0,"0",(L11/J11))</f>
        <v>1</v>
      </c>
      <c r="AC11" s="9">
        <f t="shared" ref="AC11" si="15">IF(P11=0,"0",(P11/24))</f>
        <v>0.41666666666666669</v>
      </c>
      <c r="AD11" s="10">
        <f>AC11*AB11*(1-O11)</f>
        <v>0.41666666666666669</v>
      </c>
      <c r="AE11" s="36">
        <f t="shared" si="8"/>
        <v>0.45</v>
      </c>
      <c r="AF11" s="87">
        <f t="shared" ref="AF11" si="16">A11</f>
        <v>5</v>
      </c>
    </row>
    <row r="12" spans="1:32" ht="27" customHeight="1">
      <c r="A12" s="103">
        <v>6</v>
      </c>
      <c r="B12" s="11" t="s">
        <v>57</v>
      </c>
      <c r="C12" s="11" t="s">
        <v>126</v>
      </c>
      <c r="D12" s="52" t="s">
        <v>284</v>
      </c>
      <c r="E12" s="53" t="s">
        <v>280</v>
      </c>
      <c r="F12" s="12" t="s">
        <v>122</v>
      </c>
      <c r="G12" s="12">
        <v>1</v>
      </c>
      <c r="H12" s="13">
        <v>24</v>
      </c>
      <c r="I12" s="7">
        <v>1100</v>
      </c>
      <c r="J12" s="14">
        <v>1559</v>
      </c>
      <c r="K12" s="15">
        <f>L12</f>
        <v>0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si="7"/>
        <v>0</v>
      </c>
      <c r="AE12" s="36">
        <f t="shared" si="8"/>
        <v>0.45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126</v>
      </c>
      <c r="D13" s="52" t="s">
        <v>117</v>
      </c>
      <c r="E13" s="53" t="s">
        <v>240</v>
      </c>
      <c r="F13" s="30" t="s">
        <v>122</v>
      </c>
      <c r="G13" s="33">
        <v>1</v>
      </c>
      <c r="H13" s="35">
        <v>20</v>
      </c>
      <c r="I13" s="7">
        <v>23000</v>
      </c>
      <c r="J13" s="14">
        <v>4194</v>
      </c>
      <c r="K13" s="15">
        <f>L13+2522+5294+5249+5602</f>
        <v>22861</v>
      </c>
      <c r="L13" s="15">
        <f>1360+2834</f>
        <v>4194</v>
      </c>
      <c r="M13" s="15">
        <f t="shared" si="1"/>
        <v>4194</v>
      </c>
      <c r="N13" s="15">
        <v>0</v>
      </c>
      <c r="O13" s="58">
        <f t="shared" si="2"/>
        <v>0</v>
      </c>
      <c r="P13" s="39">
        <f t="shared" si="3"/>
        <v>20</v>
      </c>
      <c r="Q13" s="40">
        <f t="shared" si="4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0.83333333333333337</v>
      </c>
      <c r="AD13" s="10">
        <f t="shared" si="7"/>
        <v>0.83333333333333337</v>
      </c>
      <c r="AE13" s="36">
        <f t="shared" si="8"/>
        <v>0.45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126</v>
      </c>
      <c r="D14" s="52" t="s">
        <v>123</v>
      </c>
      <c r="E14" s="53" t="s">
        <v>241</v>
      </c>
      <c r="F14" s="30" t="s">
        <v>156</v>
      </c>
      <c r="G14" s="33">
        <v>1</v>
      </c>
      <c r="H14" s="35">
        <v>24</v>
      </c>
      <c r="I14" s="7">
        <v>24000</v>
      </c>
      <c r="J14" s="14">
        <v>5698</v>
      </c>
      <c r="K14" s="15">
        <f>L14+2174+3606+5706</f>
        <v>17184</v>
      </c>
      <c r="L14" s="15">
        <f>2777+2921</f>
        <v>5698</v>
      </c>
      <c r="M14" s="15">
        <f t="shared" si="1"/>
        <v>5698</v>
      </c>
      <c r="N14" s="15">
        <v>0</v>
      </c>
      <c r="O14" s="58">
        <f t="shared" si="2"/>
        <v>0</v>
      </c>
      <c r="P14" s="39">
        <f t="shared" si="3"/>
        <v>24</v>
      </c>
      <c r="Q14" s="40">
        <f t="shared" si="4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1</v>
      </c>
      <c r="AD14" s="10">
        <f t="shared" si="7"/>
        <v>1</v>
      </c>
      <c r="AE14" s="36">
        <f t="shared" si="8"/>
        <v>0.45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225</v>
      </c>
      <c r="F15" s="30" t="s">
        <v>242</v>
      </c>
      <c r="G15" s="33">
        <v>1</v>
      </c>
      <c r="H15" s="35">
        <v>40</v>
      </c>
      <c r="I15" s="7">
        <v>500</v>
      </c>
      <c r="J15" s="5">
        <v>338</v>
      </c>
      <c r="K15" s="15">
        <f>L15+338+104</f>
        <v>442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0.45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149</v>
      </c>
      <c r="D16" s="52"/>
      <c r="E16" s="53" t="s">
        <v>167</v>
      </c>
      <c r="F16" s="12">
        <v>8301</v>
      </c>
      <c r="G16" s="12">
        <v>1</v>
      </c>
      <c r="H16" s="13">
        <v>24</v>
      </c>
      <c r="I16" s="31">
        <v>2000</v>
      </c>
      <c r="J16" s="14">
        <v>1140</v>
      </c>
      <c r="K16" s="15">
        <f>L16+1150+1139</f>
        <v>2289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0.45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11" t="s">
        <v>286</v>
      </c>
      <c r="D17" s="52" t="s">
        <v>303</v>
      </c>
      <c r="E17" s="53" t="s">
        <v>285</v>
      </c>
      <c r="F17" s="12">
        <v>7301</v>
      </c>
      <c r="G17" s="12">
        <v>1</v>
      </c>
      <c r="H17" s="13">
        <v>24</v>
      </c>
      <c r="I17" s="7">
        <v>600</v>
      </c>
      <c r="J17" s="14">
        <v>2547</v>
      </c>
      <c r="K17" s="15">
        <f>L17+2547</f>
        <v>2547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0.45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126</v>
      </c>
      <c r="D18" s="52" t="s">
        <v>252</v>
      </c>
      <c r="E18" s="53" t="s">
        <v>253</v>
      </c>
      <c r="F18" s="12" t="s">
        <v>254</v>
      </c>
      <c r="G18" s="12">
        <v>1</v>
      </c>
      <c r="H18" s="13">
        <v>24</v>
      </c>
      <c r="I18" s="31">
        <v>1100</v>
      </c>
      <c r="J18" s="14">
        <v>1394</v>
      </c>
      <c r="K18" s="15">
        <f>L18</f>
        <v>1394</v>
      </c>
      <c r="L18" s="15">
        <v>1394</v>
      </c>
      <c r="M18" s="15">
        <f t="shared" si="1"/>
        <v>1394</v>
      </c>
      <c r="N18" s="15">
        <v>0</v>
      </c>
      <c r="O18" s="58">
        <f t="shared" si="2"/>
        <v>0</v>
      </c>
      <c r="P18" s="39">
        <f t="shared" si="3"/>
        <v>9</v>
      </c>
      <c r="Q18" s="40">
        <f t="shared" si="4"/>
        <v>15</v>
      </c>
      <c r="R18" s="7"/>
      <c r="S18" s="6"/>
      <c r="T18" s="16"/>
      <c r="U18" s="16"/>
      <c r="V18" s="17"/>
      <c r="W18" s="5">
        <v>15</v>
      </c>
      <c r="X18" s="16"/>
      <c r="Y18" s="16"/>
      <c r="Z18" s="16"/>
      <c r="AA18" s="18"/>
      <c r="AB18" s="8">
        <f t="shared" si="5"/>
        <v>1</v>
      </c>
      <c r="AC18" s="9">
        <f t="shared" si="6"/>
        <v>0.375</v>
      </c>
      <c r="AD18" s="10">
        <f t="shared" si="7"/>
        <v>0.375</v>
      </c>
      <c r="AE18" s="36">
        <f t="shared" si="8"/>
        <v>0.45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129</v>
      </c>
      <c r="E19" s="53" t="s">
        <v>266</v>
      </c>
      <c r="F19" s="30" t="s">
        <v>122</v>
      </c>
      <c r="G19" s="33">
        <v>1</v>
      </c>
      <c r="H19" s="35">
        <v>24</v>
      </c>
      <c r="I19" s="7">
        <v>17000</v>
      </c>
      <c r="J19" s="5">
        <v>5423</v>
      </c>
      <c r="K19" s="15">
        <f>L19+5065+5206</f>
        <v>15694</v>
      </c>
      <c r="L19" s="15">
        <f>2502+2802+119</f>
        <v>5423</v>
      </c>
      <c r="M19" s="15">
        <f t="shared" si="1"/>
        <v>5423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0.45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117</v>
      </c>
      <c r="E20" s="53" t="s">
        <v>267</v>
      </c>
      <c r="F20" s="30" t="s">
        <v>122</v>
      </c>
      <c r="G20" s="33">
        <v>1</v>
      </c>
      <c r="H20" s="35">
        <v>24</v>
      </c>
      <c r="I20" s="7">
        <v>30000</v>
      </c>
      <c r="J20" s="14">
        <v>4597</v>
      </c>
      <c r="K20" s="15">
        <f>L20+2307+2642</f>
        <v>9546</v>
      </c>
      <c r="L20" s="15">
        <f>1713+2734+150</f>
        <v>4597</v>
      </c>
      <c r="M20" s="15">
        <f t="shared" si="1"/>
        <v>4597</v>
      </c>
      <c r="N20" s="15">
        <v>0</v>
      </c>
      <c r="O20" s="58">
        <f t="shared" si="2"/>
        <v>0</v>
      </c>
      <c r="P20" s="39">
        <f t="shared" si="3"/>
        <v>23</v>
      </c>
      <c r="Q20" s="40">
        <f t="shared" si="4"/>
        <v>1</v>
      </c>
      <c r="R20" s="7"/>
      <c r="S20" s="6">
        <v>1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0.95833333333333337</v>
      </c>
      <c r="AD20" s="10">
        <f t="shared" ref="AD20" si="17">AC20*AB20*(1-O20)</f>
        <v>0.95833333333333337</v>
      </c>
      <c r="AE20" s="36">
        <f t="shared" si="8"/>
        <v>0.45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288</v>
      </c>
      <c r="F21" s="12" t="s">
        <v>116</v>
      </c>
      <c r="G21" s="12">
        <v>4</v>
      </c>
      <c r="H21" s="35">
        <v>20</v>
      </c>
      <c r="I21" s="7">
        <v>200000</v>
      </c>
      <c r="J21" s="14">
        <v>41280</v>
      </c>
      <c r="K21" s="15">
        <f>L21+43576</f>
        <v>84856</v>
      </c>
      <c r="L21" s="15">
        <f>10320*4</f>
        <v>41280</v>
      </c>
      <c r="M21" s="15">
        <f t="shared" si="1"/>
        <v>41280</v>
      </c>
      <c r="N21" s="15">
        <v>0</v>
      </c>
      <c r="O21" s="58">
        <f t="shared" si="2"/>
        <v>0</v>
      </c>
      <c r="P21" s="39">
        <f t="shared" si="3"/>
        <v>14</v>
      </c>
      <c r="Q21" s="40">
        <f t="shared" si="4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0.58333333333333337</v>
      </c>
      <c r="AD21" s="10">
        <f t="shared" si="7"/>
        <v>0.58333333333333337</v>
      </c>
      <c r="AE21" s="36">
        <f t="shared" si="8"/>
        <v>0.45</v>
      </c>
      <c r="AF21" s="87">
        <f t="shared" si="9"/>
        <v>15</v>
      </c>
    </row>
    <row r="22" spans="1:32" ht="31.5" customHeight="1" thickBot="1">
      <c r="A22" s="467" t="s">
        <v>34</v>
      </c>
      <c r="B22" s="468"/>
      <c r="C22" s="468"/>
      <c r="D22" s="468"/>
      <c r="E22" s="468"/>
      <c r="F22" s="468"/>
      <c r="G22" s="468"/>
      <c r="H22" s="469"/>
      <c r="I22" s="22">
        <f t="shared" ref="I22:N22" si="18">SUM(I6:I21)</f>
        <v>441600</v>
      </c>
      <c r="J22" s="19">
        <f t="shared" si="18"/>
        <v>77661</v>
      </c>
      <c r="K22" s="20">
        <f t="shared" si="18"/>
        <v>267666</v>
      </c>
      <c r="L22" s="21">
        <f t="shared" si="18"/>
        <v>72077</v>
      </c>
      <c r="M22" s="20">
        <f t="shared" si="18"/>
        <v>72077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162</v>
      </c>
      <c r="Q22" s="43">
        <f t="shared" si="19"/>
        <v>222</v>
      </c>
      <c r="R22" s="23">
        <f t="shared" si="19"/>
        <v>24</v>
      </c>
      <c r="S22" s="24">
        <f t="shared" si="19"/>
        <v>81</v>
      </c>
      <c r="T22" s="24">
        <f t="shared" si="19"/>
        <v>0</v>
      </c>
      <c r="U22" s="24">
        <f t="shared" si="19"/>
        <v>0</v>
      </c>
      <c r="V22" s="25">
        <f t="shared" si="19"/>
        <v>10</v>
      </c>
      <c r="W22" s="26">
        <f t="shared" si="19"/>
        <v>107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0</v>
      </c>
      <c r="AB22" s="28">
        <f>SUM(AB6:AB21)/15</f>
        <v>0.66666666666666663</v>
      </c>
      <c r="AC22" s="4">
        <f>SUM(AC6:AC21)/15</f>
        <v>0.45</v>
      </c>
      <c r="AD22" s="4">
        <f>SUM(AD6:AD21)/15</f>
        <v>0.45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70" t="s">
        <v>45</v>
      </c>
      <c r="B49" s="470"/>
      <c r="C49" s="470"/>
      <c r="D49" s="470"/>
      <c r="E49" s="47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71" t="s">
        <v>317</v>
      </c>
      <c r="B50" s="472"/>
      <c r="C50" s="472"/>
      <c r="D50" s="472"/>
      <c r="E50" s="472"/>
      <c r="F50" s="472"/>
      <c r="G50" s="472"/>
      <c r="H50" s="472"/>
      <c r="I50" s="472"/>
      <c r="J50" s="472"/>
      <c r="K50" s="472"/>
      <c r="L50" s="472"/>
      <c r="M50" s="473"/>
      <c r="N50" s="474" t="s">
        <v>322</v>
      </c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6"/>
    </row>
    <row r="51" spans="1:32" ht="27" customHeight="1">
      <c r="A51" s="477" t="s">
        <v>2</v>
      </c>
      <c r="B51" s="478"/>
      <c r="C51" s="200" t="s">
        <v>46</v>
      </c>
      <c r="D51" s="200" t="s">
        <v>47</v>
      </c>
      <c r="E51" s="200" t="s">
        <v>108</v>
      </c>
      <c r="F51" s="478" t="s">
        <v>107</v>
      </c>
      <c r="G51" s="478"/>
      <c r="H51" s="478"/>
      <c r="I51" s="478"/>
      <c r="J51" s="478"/>
      <c r="K51" s="478"/>
      <c r="L51" s="478"/>
      <c r="M51" s="479"/>
      <c r="N51" s="67" t="s">
        <v>112</v>
      </c>
      <c r="O51" s="200" t="s">
        <v>46</v>
      </c>
      <c r="P51" s="480" t="s">
        <v>47</v>
      </c>
      <c r="Q51" s="481"/>
      <c r="R51" s="480" t="s">
        <v>38</v>
      </c>
      <c r="S51" s="482"/>
      <c r="T51" s="482"/>
      <c r="U51" s="481"/>
      <c r="V51" s="480" t="s">
        <v>48</v>
      </c>
      <c r="W51" s="482"/>
      <c r="X51" s="482"/>
      <c r="Y51" s="482"/>
      <c r="Z51" s="482"/>
      <c r="AA51" s="482"/>
      <c r="AB51" s="482"/>
      <c r="AC51" s="482"/>
      <c r="AD51" s="483"/>
    </row>
    <row r="52" spans="1:32" ht="27" customHeight="1">
      <c r="A52" s="451" t="s">
        <v>126</v>
      </c>
      <c r="B52" s="452"/>
      <c r="C52" s="202" t="s">
        <v>188</v>
      </c>
      <c r="D52" s="202" t="s">
        <v>123</v>
      </c>
      <c r="E52" s="202" t="s">
        <v>187</v>
      </c>
      <c r="F52" s="453" t="s">
        <v>318</v>
      </c>
      <c r="G52" s="454"/>
      <c r="H52" s="454"/>
      <c r="I52" s="454"/>
      <c r="J52" s="454"/>
      <c r="K52" s="454"/>
      <c r="L52" s="454"/>
      <c r="M52" s="455"/>
      <c r="N52" s="201" t="s">
        <v>126</v>
      </c>
      <c r="O52" s="207" t="s">
        <v>188</v>
      </c>
      <c r="P52" s="463" t="s">
        <v>123</v>
      </c>
      <c r="Q52" s="464"/>
      <c r="R52" s="452" t="s">
        <v>187</v>
      </c>
      <c r="S52" s="452"/>
      <c r="T52" s="452"/>
      <c r="U52" s="452"/>
      <c r="V52" s="442" t="s">
        <v>137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126</v>
      </c>
      <c r="B53" s="452"/>
      <c r="C53" s="202" t="s">
        <v>221</v>
      </c>
      <c r="D53" s="202" t="s">
        <v>284</v>
      </c>
      <c r="E53" s="202" t="s">
        <v>306</v>
      </c>
      <c r="F53" s="453" t="s">
        <v>319</v>
      </c>
      <c r="G53" s="454"/>
      <c r="H53" s="454"/>
      <c r="I53" s="454"/>
      <c r="J53" s="454"/>
      <c r="K53" s="454"/>
      <c r="L53" s="454"/>
      <c r="M53" s="455"/>
      <c r="N53" s="201" t="s">
        <v>126</v>
      </c>
      <c r="O53" s="207" t="s">
        <v>136</v>
      </c>
      <c r="P53" s="463" t="s">
        <v>284</v>
      </c>
      <c r="Q53" s="464"/>
      <c r="R53" s="452" t="s">
        <v>306</v>
      </c>
      <c r="S53" s="452"/>
      <c r="T53" s="452"/>
      <c r="U53" s="452"/>
      <c r="V53" s="442" t="s">
        <v>137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126</v>
      </c>
      <c r="B54" s="452"/>
      <c r="C54" s="202" t="s">
        <v>135</v>
      </c>
      <c r="D54" s="202" t="s">
        <v>157</v>
      </c>
      <c r="E54" s="202" t="s">
        <v>161</v>
      </c>
      <c r="F54" s="453" t="s">
        <v>151</v>
      </c>
      <c r="G54" s="454"/>
      <c r="H54" s="454"/>
      <c r="I54" s="454"/>
      <c r="J54" s="454"/>
      <c r="K54" s="454"/>
      <c r="L54" s="454"/>
      <c r="M54" s="455"/>
      <c r="N54" s="201" t="s">
        <v>126</v>
      </c>
      <c r="O54" s="207" t="s">
        <v>147</v>
      </c>
      <c r="P54" s="463" t="s">
        <v>222</v>
      </c>
      <c r="Q54" s="464"/>
      <c r="R54" s="452" t="s">
        <v>323</v>
      </c>
      <c r="S54" s="452"/>
      <c r="T54" s="452"/>
      <c r="U54" s="452"/>
      <c r="V54" s="442" t="s">
        <v>121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126</v>
      </c>
      <c r="B55" s="452"/>
      <c r="C55" s="202" t="s">
        <v>204</v>
      </c>
      <c r="D55" s="202" t="s">
        <v>117</v>
      </c>
      <c r="E55" s="202" t="s">
        <v>240</v>
      </c>
      <c r="F55" s="453" t="s">
        <v>151</v>
      </c>
      <c r="G55" s="454"/>
      <c r="H55" s="454"/>
      <c r="I55" s="454"/>
      <c r="J55" s="454"/>
      <c r="K55" s="454"/>
      <c r="L55" s="454"/>
      <c r="M55" s="455"/>
      <c r="N55" s="201" t="s">
        <v>114</v>
      </c>
      <c r="O55" s="207" t="s">
        <v>221</v>
      </c>
      <c r="P55" s="463" t="s">
        <v>123</v>
      </c>
      <c r="Q55" s="464"/>
      <c r="R55" s="452" t="s">
        <v>325</v>
      </c>
      <c r="S55" s="452"/>
      <c r="T55" s="452"/>
      <c r="U55" s="452"/>
      <c r="V55" s="442" t="s">
        <v>121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126</v>
      </c>
      <c r="B56" s="452"/>
      <c r="C56" s="202" t="s">
        <v>263</v>
      </c>
      <c r="D56" s="202" t="s">
        <v>320</v>
      </c>
      <c r="E56" s="202" t="s">
        <v>253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201" t="s">
        <v>114</v>
      </c>
      <c r="O56" s="207" t="s">
        <v>287</v>
      </c>
      <c r="P56" s="463" t="s">
        <v>168</v>
      </c>
      <c r="Q56" s="464"/>
      <c r="R56" s="452" t="s">
        <v>326</v>
      </c>
      <c r="S56" s="452"/>
      <c r="T56" s="452"/>
      <c r="U56" s="452"/>
      <c r="V56" s="442" t="s">
        <v>121</v>
      </c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126</v>
      </c>
      <c r="B57" s="452"/>
      <c r="C57" s="202" t="s">
        <v>138</v>
      </c>
      <c r="D57" s="202" t="s">
        <v>117</v>
      </c>
      <c r="E57" s="202" t="s">
        <v>267</v>
      </c>
      <c r="F57" s="453" t="s">
        <v>321</v>
      </c>
      <c r="G57" s="454"/>
      <c r="H57" s="454"/>
      <c r="I57" s="454"/>
      <c r="J57" s="454"/>
      <c r="K57" s="454"/>
      <c r="L57" s="454"/>
      <c r="M57" s="455"/>
      <c r="N57" s="201"/>
      <c r="O57" s="207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 t="s">
        <v>126</v>
      </c>
      <c r="B58" s="452"/>
      <c r="C58" s="202" t="s">
        <v>147</v>
      </c>
      <c r="D58" s="202" t="s">
        <v>123</v>
      </c>
      <c r="E58" s="202" t="s">
        <v>127</v>
      </c>
      <c r="F58" s="453" t="s">
        <v>324</v>
      </c>
      <c r="G58" s="454"/>
      <c r="H58" s="454"/>
      <c r="I58" s="454"/>
      <c r="J58" s="454"/>
      <c r="K58" s="454"/>
      <c r="L58" s="454"/>
      <c r="M58" s="455"/>
      <c r="N58" s="201"/>
      <c r="O58" s="207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02"/>
      <c r="D59" s="202"/>
      <c r="E59" s="202"/>
      <c r="F59" s="453"/>
      <c r="G59" s="454"/>
      <c r="H59" s="454"/>
      <c r="I59" s="454"/>
      <c r="J59" s="454"/>
      <c r="K59" s="454"/>
      <c r="L59" s="454"/>
      <c r="M59" s="455"/>
      <c r="N59" s="201"/>
      <c r="O59" s="207"/>
      <c r="P59" s="463"/>
      <c r="Q59" s="464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/>
      <c r="B60" s="452"/>
      <c r="C60" s="202"/>
      <c r="D60" s="202"/>
      <c r="E60" s="202"/>
      <c r="F60" s="453"/>
      <c r="G60" s="454"/>
      <c r="H60" s="454"/>
      <c r="I60" s="454"/>
      <c r="J60" s="454"/>
      <c r="K60" s="454"/>
      <c r="L60" s="454"/>
      <c r="M60" s="455"/>
      <c r="N60" s="201"/>
      <c r="O60" s="207"/>
      <c r="P60" s="452"/>
      <c r="Q60" s="452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  <c r="AF60" s="87">
        <f>8*3000</f>
        <v>24000</v>
      </c>
    </row>
    <row r="61" spans="1:32" ht="27" customHeight="1" thickBot="1">
      <c r="A61" s="457"/>
      <c r="B61" s="458"/>
      <c r="C61" s="204"/>
      <c r="D61" s="204"/>
      <c r="E61" s="204"/>
      <c r="F61" s="459"/>
      <c r="G61" s="459"/>
      <c r="H61" s="459"/>
      <c r="I61" s="459"/>
      <c r="J61" s="459"/>
      <c r="K61" s="459"/>
      <c r="L61" s="459"/>
      <c r="M61" s="460"/>
      <c r="N61" s="203"/>
      <c r="O61" s="114"/>
      <c r="P61" s="458"/>
      <c r="Q61" s="458"/>
      <c r="R61" s="458"/>
      <c r="S61" s="458"/>
      <c r="T61" s="458"/>
      <c r="U61" s="458"/>
      <c r="V61" s="461"/>
      <c r="W61" s="461"/>
      <c r="X61" s="461"/>
      <c r="Y61" s="461"/>
      <c r="Z61" s="461"/>
      <c r="AA61" s="461"/>
      <c r="AB61" s="461"/>
      <c r="AC61" s="461"/>
      <c r="AD61" s="462"/>
      <c r="AF61" s="87">
        <f>16*3000</f>
        <v>48000</v>
      </c>
    </row>
    <row r="62" spans="1:32" ht="27.75" thickBot="1">
      <c r="A62" s="449" t="s">
        <v>327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50" t="s">
        <v>113</v>
      </c>
      <c r="B63" s="447"/>
      <c r="C63" s="205" t="s">
        <v>2</v>
      </c>
      <c r="D63" s="205" t="s">
        <v>37</v>
      </c>
      <c r="E63" s="205" t="s">
        <v>3</v>
      </c>
      <c r="F63" s="447" t="s">
        <v>110</v>
      </c>
      <c r="G63" s="447"/>
      <c r="H63" s="447"/>
      <c r="I63" s="447"/>
      <c r="J63" s="447"/>
      <c r="K63" s="447" t="s">
        <v>39</v>
      </c>
      <c r="L63" s="447"/>
      <c r="M63" s="205" t="s">
        <v>40</v>
      </c>
      <c r="N63" s="447" t="s">
        <v>41</v>
      </c>
      <c r="O63" s="447"/>
      <c r="P63" s="444" t="s">
        <v>42</v>
      </c>
      <c r="Q63" s="446"/>
      <c r="R63" s="444" t="s">
        <v>43</v>
      </c>
      <c r="S63" s="445"/>
      <c r="T63" s="445"/>
      <c r="U63" s="445"/>
      <c r="V63" s="445"/>
      <c r="W63" s="445"/>
      <c r="X63" s="445"/>
      <c r="Y63" s="445"/>
      <c r="Z63" s="445"/>
      <c r="AA63" s="446"/>
      <c r="AB63" s="447" t="s">
        <v>44</v>
      </c>
      <c r="AC63" s="447"/>
      <c r="AD63" s="448"/>
      <c r="AF63" s="87">
        <f>SUM(AF60:AF62)</f>
        <v>96000</v>
      </c>
    </row>
    <row r="64" spans="1:32" ht="25.5" customHeight="1">
      <c r="A64" s="438">
        <v>1</v>
      </c>
      <c r="B64" s="439"/>
      <c r="C64" s="117"/>
      <c r="D64" s="209"/>
      <c r="E64" s="206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2</v>
      </c>
      <c r="B65" s="439"/>
      <c r="C65" s="117"/>
      <c r="D65" s="209"/>
      <c r="E65" s="206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3</v>
      </c>
      <c r="B66" s="439"/>
      <c r="C66" s="117"/>
      <c r="D66" s="209"/>
      <c r="E66" s="206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4</v>
      </c>
      <c r="B67" s="439"/>
      <c r="C67" s="117"/>
      <c r="D67" s="209"/>
      <c r="E67" s="206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5</v>
      </c>
      <c r="B68" s="439"/>
      <c r="C68" s="117"/>
      <c r="D68" s="209"/>
      <c r="E68" s="206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6</v>
      </c>
      <c r="B69" s="439"/>
      <c r="C69" s="117"/>
      <c r="D69" s="209"/>
      <c r="E69" s="206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7</v>
      </c>
      <c r="B70" s="439"/>
      <c r="C70" s="117"/>
      <c r="D70" s="209"/>
      <c r="E70" s="206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8</v>
      </c>
      <c r="B71" s="439"/>
      <c r="C71" s="117"/>
      <c r="D71" s="209"/>
      <c r="E71" s="206"/>
      <c r="F71" s="440"/>
      <c r="G71" s="432"/>
      <c r="H71" s="432"/>
      <c r="I71" s="432"/>
      <c r="J71" s="432"/>
      <c r="K71" s="432"/>
      <c r="L71" s="432"/>
      <c r="M71" s="51"/>
      <c r="N71" s="432"/>
      <c r="O71" s="432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6.25" customHeight="1" thickBot="1">
      <c r="A72" s="412" t="s">
        <v>328</v>
      </c>
      <c r="B72" s="412"/>
      <c r="C72" s="412"/>
      <c r="D72" s="412"/>
      <c r="E72" s="41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3" t="s">
        <v>113</v>
      </c>
      <c r="B73" s="414"/>
      <c r="C73" s="208" t="s">
        <v>2</v>
      </c>
      <c r="D73" s="208" t="s">
        <v>37</v>
      </c>
      <c r="E73" s="208" t="s">
        <v>3</v>
      </c>
      <c r="F73" s="414" t="s">
        <v>38</v>
      </c>
      <c r="G73" s="414"/>
      <c r="H73" s="414"/>
      <c r="I73" s="414"/>
      <c r="J73" s="414"/>
      <c r="K73" s="434" t="s">
        <v>58</v>
      </c>
      <c r="L73" s="435"/>
      <c r="M73" s="435"/>
      <c r="N73" s="435"/>
      <c r="O73" s="435"/>
      <c r="P73" s="435"/>
      <c r="Q73" s="435"/>
      <c r="R73" s="435"/>
      <c r="S73" s="436"/>
      <c r="T73" s="414" t="s">
        <v>49</v>
      </c>
      <c r="U73" s="414"/>
      <c r="V73" s="434" t="s">
        <v>50</v>
      </c>
      <c r="W73" s="436"/>
      <c r="X73" s="435" t="s">
        <v>51</v>
      </c>
      <c r="Y73" s="435"/>
      <c r="Z73" s="435"/>
      <c r="AA73" s="435"/>
      <c r="AB73" s="435"/>
      <c r="AC73" s="435"/>
      <c r="AD73" s="437"/>
      <c r="AF73" s="50"/>
    </row>
    <row r="74" spans="1:32" ht="33.75" customHeight="1">
      <c r="A74" s="406">
        <v>1</v>
      </c>
      <c r="B74" s="407"/>
      <c r="C74" s="210" t="s">
        <v>114</v>
      </c>
      <c r="D74" s="210"/>
      <c r="E74" s="65" t="s">
        <v>119</v>
      </c>
      <c r="F74" s="421" t="s">
        <v>118</v>
      </c>
      <c r="G74" s="422"/>
      <c r="H74" s="422"/>
      <c r="I74" s="422"/>
      <c r="J74" s="423"/>
      <c r="K74" s="424" t="s">
        <v>120</v>
      </c>
      <c r="L74" s="425"/>
      <c r="M74" s="425"/>
      <c r="N74" s="425"/>
      <c r="O74" s="425"/>
      <c r="P74" s="425"/>
      <c r="Q74" s="425"/>
      <c r="R74" s="425"/>
      <c r="S74" s="426"/>
      <c r="T74" s="427">
        <v>43384</v>
      </c>
      <c r="U74" s="428"/>
      <c r="V74" s="429"/>
      <c r="W74" s="429"/>
      <c r="X74" s="430"/>
      <c r="Y74" s="430"/>
      <c r="Z74" s="430"/>
      <c r="AA74" s="430"/>
      <c r="AB74" s="430"/>
      <c r="AC74" s="430"/>
      <c r="AD74" s="431"/>
      <c r="AF74" s="50"/>
    </row>
    <row r="75" spans="1:32" ht="30" customHeight="1">
      <c r="A75" s="399">
        <f>A74+1</f>
        <v>2</v>
      </c>
      <c r="B75" s="400"/>
      <c r="C75" s="209"/>
      <c r="D75" s="209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ref="A76:A82" si="20">A75+1</f>
        <v>3</v>
      </c>
      <c r="B76" s="400"/>
      <c r="C76" s="209"/>
      <c r="D76" s="209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20"/>
        <v>4</v>
      </c>
      <c r="B77" s="400"/>
      <c r="C77" s="209"/>
      <c r="D77" s="209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20"/>
        <v>5</v>
      </c>
      <c r="B78" s="400"/>
      <c r="C78" s="209"/>
      <c r="D78" s="209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20"/>
        <v>6</v>
      </c>
      <c r="B79" s="400"/>
      <c r="C79" s="209"/>
      <c r="D79" s="209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20"/>
        <v>7</v>
      </c>
      <c r="B80" s="400"/>
      <c r="C80" s="209"/>
      <c r="D80" s="209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20"/>
        <v>8</v>
      </c>
      <c r="B81" s="400"/>
      <c r="C81" s="209"/>
      <c r="D81" s="209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20"/>
        <v>9</v>
      </c>
      <c r="B82" s="400"/>
      <c r="C82" s="209"/>
      <c r="D82" s="209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6" thickBot="1">
      <c r="A83" s="412" t="s">
        <v>329</v>
      </c>
      <c r="B83" s="412"/>
      <c r="C83" s="412"/>
      <c r="D83" s="412"/>
      <c r="E83" s="41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3" t="s">
        <v>113</v>
      </c>
      <c r="B84" s="414"/>
      <c r="C84" s="404" t="s">
        <v>52</v>
      </c>
      <c r="D84" s="404"/>
      <c r="E84" s="404" t="s">
        <v>53</v>
      </c>
      <c r="F84" s="404"/>
      <c r="G84" s="404"/>
      <c r="H84" s="404"/>
      <c r="I84" s="404"/>
      <c r="J84" s="404"/>
      <c r="K84" s="404" t="s">
        <v>54</v>
      </c>
      <c r="L84" s="404"/>
      <c r="M84" s="404"/>
      <c r="N84" s="404"/>
      <c r="O84" s="404"/>
      <c r="P84" s="404"/>
      <c r="Q84" s="404"/>
      <c r="R84" s="404"/>
      <c r="S84" s="404"/>
      <c r="T84" s="404" t="s">
        <v>55</v>
      </c>
      <c r="U84" s="404"/>
      <c r="V84" s="404" t="s">
        <v>56</v>
      </c>
      <c r="W84" s="404"/>
      <c r="X84" s="404"/>
      <c r="Y84" s="404" t="s">
        <v>51</v>
      </c>
      <c r="Z84" s="404"/>
      <c r="AA84" s="404"/>
      <c r="AB84" s="404"/>
      <c r="AC84" s="404"/>
      <c r="AD84" s="405"/>
      <c r="AF84" s="50"/>
    </row>
    <row r="85" spans="1:32" ht="30.75" customHeight="1">
      <c r="A85" s="406">
        <v>1</v>
      </c>
      <c r="B85" s="407"/>
      <c r="C85" s="408"/>
      <c r="D85" s="408"/>
      <c r="E85" s="408"/>
      <c r="F85" s="408"/>
      <c r="G85" s="408"/>
      <c r="H85" s="408"/>
      <c r="I85" s="408"/>
      <c r="J85" s="408"/>
      <c r="K85" s="408"/>
      <c r="L85" s="408"/>
      <c r="M85" s="408"/>
      <c r="N85" s="408"/>
      <c r="O85" s="408"/>
      <c r="P85" s="408"/>
      <c r="Q85" s="408"/>
      <c r="R85" s="408"/>
      <c r="S85" s="408"/>
      <c r="T85" s="408"/>
      <c r="U85" s="408"/>
      <c r="V85" s="409"/>
      <c r="W85" s="409"/>
      <c r="X85" s="409"/>
      <c r="Y85" s="410"/>
      <c r="Z85" s="410"/>
      <c r="AA85" s="410"/>
      <c r="AB85" s="410"/>
      <c r="AC85" s="410"/>
      <c r="AD85" s="411"/>
      <c r="AF85" s="50"/>
    </row>
    <row r="86" spans="1:32" ht="30.75" customHeight="1">
      <c r="A86" s="399">
        <v>2</v>
      </c>
      <c r="B86" s="400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  <c r="Q86" s="401"/>
      <c r="R86" s="401"/>
      <c r="S86" s="401"/>
      <c r="T86" s="402"/>
      <c r="U86" s="402"/>
      <c r="V86" s="403"/>
      <c r="W86" s="403"/>
      <c r="X86" s="403"/>
      <c r="Y86" s="392"/>
      <c r="Z86" s="392"/>
      <c r="AA86" s="392"/>
      <c r="AB86" s="392"/>
      <c r="AC86" s="392"/>
      <c r="AD86" s="393"/>
      <c r="AF86" s="50"/>
    </row>
    <row r="87" spans="1:32" ht="30.75" customHeight="1" thickBot="1">
      <c r="A87" s="394">
        <v>3</v>
      </c>
      <c r="B87" s="395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M87" s="396"/>
      <c r="N87" s="396"/>
      <c r="O87" s="396"/>
      <c r="P87" s="396"/>
      <c r="Q87" s="396"/>
      <c r="R87" s="396"/>
      <c r="S87" s="396"/>
      <c r="T87" s="396"/>
      <c r="U87" s="396"/>
      <c r="V87" s="396"/>
      <c r="W87" s="396"/>
      <c r="X87" s="396"/>
      <c r="Y87" s="397"/>
      <c r="Z87" s="397"/>
      <c r="AA87" s="397"/>
      <c r="AB87" s="397"/>
      <c r="AC87" s="397"/>
      <c r="AD87" s="398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30DA-507A-46F3-B0D5-A0583AEEAF14}">
  <sheetPr>
    <pageSetUpPr fitToPage="1"/>
  </sheetPr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330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222" t="s">
        <v>17</v>
      </c>
      <c r="L5" s="222" t="s">
        <v>18</v>
      </c>
      <c r="M5" s="222" t="s">
        <v>19</v>
      </c>
      <c r="N5" s="22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0.43888888888888894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0.43888888888888894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62000</v>
      </c>
      <c r="J8" s="5">
        <v>4237</v>
      </c>
      <c r="K8" s="15">
        <f>L8+3980+5675+3264+5251+5511+5242+4989+3963+4268+3677+1703+2908</f>
        <v>54668</v>
      </c>
      <c r="L8" s="15">
        <f>1235+3002</f>
        <v>4237</v>
      </c>
      <c r="M8" s="15">
        <f t="shared" si="1"/>
        <v>4237</v>
      </c>
      <c r="N8" s="15">
        <v>0</v>
      </c>
      <c r="O8" s="58">
        <f t="shared" si="2"/>
        <v>0</v>
      </c>
      <c r="P8" s="39">
        <f t="shared" si="3"/>
        <v>21</v>
      </c>
      <c r="Q8" s="40">
        <f t="shared" si="4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0.875</v>
      </c>
      <c r="AD8" s="10">
        <f t="shared" si="7"/>
        <v>0.875</v>
      </c>
      <c r="AE8" s="36">
        <f t="shared" si="8"/>
        <v>0.43888888888888894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6382</v>
      </c>
      <c r="K9" s="15">
        <f>L9+2483+2720+3334+3355+5508+204+4399+3307+5387+4130+4230+4409+3649+6724+4355</f>
        <v>64576</v>
      </c>
      <c r="L9" s="15">
        <f>2978+3375+29</f>
        <v>6382</v>
      </c>
      <c r="M9" s="15">
        <f t="shared" si="1"/>
        <v>6382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0.43888888888888894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126</v>
      </c>
      <c r="D10" s="52" t="s">
        <v>222</v>
      </c>
      <c r="E10" s="53" t="s">
        <v>323</v>
      </c>
      <c r="F10" s="30" t="s">
        <v>144</v>
      </c>
      <c r="G10" s="33">
        <v>12</v>
      </c>
      <c r="H10" s="35">
        <v>24</v>
      </c>
      <c r="I10" s="7">
        <v>100000</v>
      </c>
      <c r="J10" s="5">
        <v>13524</v>
      </c>
      <c r="K10" s="15">
        <f>L10</f>
        <v>13524</v>
      </c>
      <c r="L10" s="15">
        <f>1127*12</f>
        <v>13524</v>
      </c>
      <c r="M10" s="15">
        <f t="shared" si="1"/>
        <v>13524</v>
      </c>
      <c r="N10" s="15">
        <v>0</v>
      </c>
      <c r="O10" s="58">
        <f t="shared" si="2"/>
        <v>0</v>
      </c>
      <c r="P10" s="39">
        <f t="shared" si="3"/>
        <v>8</v>
      </c>
      <c r="Q10" s="40">
        <f t="shared" si="4"/>
        <v>16</v>
      </c>
      <c r="R10" s="7">
        <v>14</v>
      </c>
      <c r="S10" s="6"/>
      <c r="T10" s="16">
        <v>2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0.33333333333333331</v>
      </c>
      <c r="AD10" s="10">
        <f>AC10*AB10*(1-O10)</f>
        <v>0.33333333333333331</v>
      </c>
      <c r="AE10" s="36">
        <f t="shared" si="8"/>
        <v>0.43888888888888894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123</v>
      </c>
      <c r="E11" s="53" t="s">
        <v>325</v>
      </c>
      <c r="F11" s="12" t="s">
        <v>124</v>
      </c>
      <c r="G11" s="12">
        <v>1</v>
      </c>
      <c r="H11" s="13">
        <v>24</v>
      </c>
      <c r="I11" s="7">
        <v>1000</v>
      </c>
      <c r="J11" s="14">
        <v>2590</v>
      </c>
      <c r="K11" s="15">
        <f>L11</f>
        <v>2590</v>
      </c>
      <c r="L11" s="15">
        <v>2590</v>
      </c>
      <c r="M11" s="15">
        <f t="shared" si="1"/>
        <v>2590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/>
      <c r="T11" s="16">
        <v>10</v>
      </c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 t="shared" si="7"/>
        <v>0.58333333333333337</v>
      </c>
      <c r="AE11" s="36">
        <f t="shared" si="8"/>
        <v>0.43888888888888894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117</v>
      </c>
      <c r="E12" s="53" t="s">
        <v>240</v>
      </c>
      <c r="F12" s="30" t="s">
        <v>122</v>
      </c>
      <c r="G12" s="33">
        <v>1</v>
      </c>
      <c r="H12" s="35">
        <v>20</v>
      </c>
      <c r="I12" s="7">
        <v>23000</v>
      </c>
      <c r="J12" s="14">
        <v>5208</v>
      </c>
      <c r="K12" s="15">
        <f>L12+2522+5294+5249+5602+4194</f>
        <v>28069</v>
      </c>
      <c r="L12" s="15">
        <f>2694+2514</f>
        <v>5208</v>
      </c>
      <c r="M12" s="15">
        <f t="shared" si="1"/>
        <v>5208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0.43888888888888894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123</v>
      </c>
      <c r="E13" s="53" t="s">
        <v>241</v>
      </c>
      <c r="F13" s="30" t="s">
        <v>156</v>
      </c>
      <c r="G13" s="33">
        <v>1</v>
      </c>
      <c r="H13" s="35">
        <v>24</v>
      </c>
      <c r="I13" s="7">
        <v>24000</v>
      </c>
      <c r="J13" s="14">
        <v>5793</v>
      </c>
      <c r="K13" s="15">
        <f>L13+2174+3606+5706+5698</f>
        <v>22977</v>
      </c>
      <c r="L13" s="15">
        <f>2702+3091</f>
        <v>5793</v>
      </c>
      <c r="M13" s="15">
        <f t="shared" si="1"/>
        <v>5793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0.43888888888888894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225</v>
      </c>
      <c r="F14" s="30" t="s">
        <v>242</v>
      </c>
      <c r="G14" s="33">
        <v>1</v>
      </c>
      <c r="H14" s="35">
        <v>40</v>
      </c>
      <c r="I14" s="7">
        <v>500</v>
      </c>
      <c r="J14" s="5">
        <v>338</v>
      </c>
      <c r="K14" s="15">
        <f>L14+338+104</f>
        <v>442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0.43888888888888894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167</v>
      </c>
      <c r="F15" s="12">
        <v>8301</v>
      </c>
      <c r="G15" s="12">
        <v>1</v>
      </c>
      <c r="H15" s="13">
        <v>24</v>
      </c>
      <c r="I15" s="31">
        <v>2000</v>
      </c>
      <c r="J15" s="14">
        <v>1140</v>
      </c>
      <c r="K15" s="15">
        <f>L15+1150+1139</f>
        <v>2289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0.43888888888888894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0.43888888888888894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252</v>
      </c>
      <c r="E17" s="53" t="s">
        <v>253</v>
      </c>
      <c r="F17" s="12" t="s">
        <v>254</v>
      </c>
      <c r="G17" s="12">
        <v>1</v>
      </c>
      <c r="H17" s="13">
        <v>24</v>
      </c>
      <c r="I17" s="31">
        <v>1100</v>
      </c>
      <c r="J17" s="14">
        <v>1394</v>
      </c>
      <c r="K17" s="15">
        <f>L17+1394</f>
        <v>1394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0.43888888888888894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284</v>
      </c>
      <c r="E18" s="53" t="s">
        <v>280</v>
      </c>
      <c r="F18" s="30" t="s">
        <v>122</v>
      </c>
      <c r="G18" s="33">
        <v>1</v>
      </c>
      <c r="H18" s="35">
        <v>24</v>
      </c>
      <c r="I18" s="7">
        <v>1100</v>
      </c>
      <c r="J18" s="5">
        <v>1289</v>
      </c>
      <c r="K18" s="15">
        <f>L18</f>
        <v>1289</v>
      </c>
      <c r="L18" s="15">
        <f>1289</f>
        <v>1289</v>
      </c>
      <c r="M18" s="15">
        <f t="shared" si="1"/>
        <v>1289</v>
      </c>
      <c r="N18" s="15">
        <v>0</v>
      </c>
      <c r="O18" s="58">
        <f t="shared" si="2"/>
        <v>0</v>
      </c>
      <c r="P18" s="39">
        <f t="shared" si="3"/>
        <v>7</v>
      </c>
      <c r="Q18" s="40">
        <f t="shared" si="4"/>
        <v>17</v>
      </c>
      <c r="R18" s="7"/>
      <c r="S18" s="6">
        <v>17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0.29166666666666669</v>
      </c>
      <c r="AD18" s="10">
        <f>AC18*AB18*(1-O18)</f>
        <v>0.29166666666666669</v>
      </c>
      <c r="AE18" s="36">
        <f t="shared" si="8"/>
        <v>0.43888888888888894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117</v>
      </c>
      <c r="E19" s="53" t="s">
        <v>267</v>
      </c>
      <c r="F19" s="30" t="s">
        <v>122</v>
      </c>
      <c r="G19" s="33">
        <v>1</v>
      </c>
      <c r="H19" s="35">
        <v>24</v>
      </c>
      <c r="I19" s="7">
        <v>30000</v>
      </c>
      <c r="J19" s="14">
        <v>4128</v>
      </c>
      <c r="K19" s="15">
        <f>L19+2307+2642+4597</f>
        <v>13674</v>
      </c>
      <c r="L19" s="15">
        <f>2109+2019</f>
        <v>4128</v>
      </c>
      <c r="M19" s="15">
        <f t="shared" si="1"/>
        <v>4128</v>
      </c>
      <c r="N19" s="15">
        <v>0</v>
      </c>
      <c r="O19" s="58">
        <f t="shared" si="2"/>
        <v>0</v>
      </c>
      <c r="P19" s="39">
        <f t="shared" si="3"/>
        <v>22</v>
      </c>
      <c r="Q19" s="40">
        <f t="shared" si="4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0.91666666666666663</v>
      </c>
      <c r="AD19" s="10">
        <f t="shared" ref="AD19" si="10">AC19*AB19*(1-O19)</f>
        <v>0.91666666666666663</v>
      </c>
      <c r="AE19" s="36">
        <f t="shared" si="8"/>
        <v>0.43888888888888894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288</v>
      </c>
      <c r="F20" s="12" t="s">
        <v>116</v>
      </c>
      <c r="G20" s="12">
        <v>4</v>
      </c>
      <c r="H20" s="35">
        <v>20</v>
      </c>
      <c r="I20" s="7">
        <v>200000</v>
      </c>
      <c r="J20" s="14">
        <v>45088</v>
      </c>
      <c r="K20" s="15">
        <f>L20+43576+41280</f>
        <v>129944</v>
      </c>
      <c r="L20" s="15">
        <f>11272*4</f>
        <v>45088</v>
      </c>
      <c r="M20" s="15">
        <f t="shared" si="1"/>
        <v>45088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0.43888888888888894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505300</v>
      </c>
      <c r="J21" s="19">
        <f t="shared" si="11"/>
        <v>93658</v>
      </c>
      <c r="K21" s="20">
        <f t="shared" si="11"/>
        <v>337983</v>
      </c>
      <c r="L21" s="21">
        <f t="shared" si="11"/>
        <v>88239</v>
      </c>
      <c r="M21" s="20">
        <f t="shared" si="11"/>
        <v>88239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158</v>
      </c>
      <c r="Q21" s="43">
        <f t="shared" si="12"/>
        <v>202</v>
      </c>
      <c r="R21" s="23">
        <f t="shared" si="12"/>
        <v>38</v>
      </c>
      <c r="S21" s="24">
        <f t="shared" si="12"/>
        <v>46</v>
      </c>
      <c r="T21" s="24">
        <f t="shared" si="12"/>
        <v>12</v>
      </c>
      <c r="U21" s="24">
        <f t="shared" si="12"/>
        <v>0</v>
      </c>
      <c r="V21" s="25">
        <f t="shared" si="12"/>
        <v>10</v>
      </c>
      <c r="W21" s="26">
        <f t="shared" si="12"/>
        <v>48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48</v>
      </c>
      <c r="AB21" s="28">
        <f>SUM(AB6:AB20)/15</f>
        <v>0.6</v>
      </c>
      <c r="AC21" s="4">
        <f>SUM(AC6:AC20)/15</f>
        <v>0.43888888888888894</v>
      </c>
      <c r="AD21" s="4">
        <f>SUM(AD6:AD20)/15</f>
        <v>0.43888888888888894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331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334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221" t="s">
        <v>46</v>
      </c>
      <c r="D50" s="221" t="s">
        <v>47</v>
      </c>
      <c r="E50" s="221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221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218" t="s">
        <v>188</v>
      </c>
      <c r="D51" s="218" t="s">
        <v>123</v>
      </c>
      <c r="E51" s="218" t="s">
        <v>187</v>
      </c>
      <c r="F51" s="453" t="s">
        <v>318</v>
      </c>
      <c r="G51" s="454"/>
      <c r="H51" s="454"/>
      <c r="I51" s="454"/>
      <c r="J51" s="454"/>
      <c r="K51" s="454"/>
      <c r="L51" s="454"/>
      <c r="M51" s="455"/>
      <c r="N51" s="217" t="s">
        <v>126</v>
      </c>
      <c r="O51" s="215" t="s">
        <v>135</v>
      </c>
      <c r="P51" s="463" t="s">
        <v>157</v>
      </c>
      <c r="Q51" s="464"/>
      <c r="R51" s="452" t="s">
        <v>161</v>
      </c>
      <c r="S51" s="452"/>
      <c r="T51" s="452"/>
      <c r="U51" s="452"/>
      <c r="V51" s="442" t="s">
        <v>151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114</v>
      </c>
      <c r="B52" s="452"/>
      <c r="C52" s="218" t="s">
        <v>221</v>
      </c>
      <c r="D52" s="218" t="s">
        <v>123</v>
      </c>
      <c r="E52" s="218" t="s">
        <v>325</v>
      </c>
      <c r="F52" s="453" t="s">
        <v>121</v>
      </c>
      <c r="G52" s="454"/>
      <c r="H52" s="454"/>
      <c r="I52" s="454"/>
      <c r="J52" s="454"/>
      <c r="K52" s="454"/>
      <c r="L52" s="454"/>
      <c r="M52" s="455"/>
      <c r="N52" s="217" t="s">
        <v>126</v>
      </c>
      <c r="O52" s="215" t="s">
        <v>136</v>
      </c>
      <c r="P52" s="463" t="s">
        <v>284</v>
      </c>
      <c r="Q52" s="464"/>
      <c r="R52" s="452" t="s">
        <v>306</v>
      </c>
      <c r="S52" s="452"/>
      <c r="T52" s="452"/>
      <c r="U52" s="452"/>
      <c r="V52" s="442" t="s">
        <v>137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126</v>
      </c>
      <c r="B53" s="452"/>
      <c r="C53" s="218" t="s">
        <v>138</v>
      </c>
      <c r="D53" s="218" t="s">
        <v>117</v>
      </c>
      <c r="E53" s="218" t="s">
        <v>267</v>
      </c>
      <c r="F53" s="453" t="s">
        <v>321</v>
      </c>
      <c r="G53" s="454"/>
      <c r="H53" s="454"/>
      <c r="I53" s="454"/>
      <c r="J53" s="454"/>
      <c r="K53" s="454"/>
      <c r="L53" s="454"/>
      <c r="M53" s="455"/>
      <c r="N53" s="217" t="s">
        <v>126</v>
      </c>
      <c r="O53" s="215" t="s">
        <v>147</v>
      </c>
      <c r="P53" s="463" t="s">
        <v>222</v>
      </c>
      <c r="Q53" s="464"/>
      <c r="R53" s="452" t="s">
        <v>323</v>
      </c>
      <c r="S53" s="452"/>
      <c r="T53" s="452"/>
      <c r="U53" s="452"/>
      <c r="V53" s="442" t="s">
        <v>137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126</v>
      </c>
      <c r="B54" s="452"/>
      <c r="C54" s="218" t="s">
        <v>147</v>
      </c>
      <c r="D54" s="218" t="s">
        <v>222</v>
      </c>
      <c r="E54" s="218" t="s">
        <v>323</v>
      </c>
      <c r="F54" s="453" t="s">
        <v>332</v>
      </c>
      <c r="G54" s="454"/>
      <c r="H54" s="454"/>
      <c r="I54" s="454"/>
      <c r="J54" s="454"/>
      <c r="K54" s="454"/>
      <c r="L54" s="454"/>
      <c r="M54" s="455"/>
      <c r="N54" s="217" t="s">
        <v>114</v>
      </c>
      <c r="O54" s="215" t="s">
        <v>221</v>
      </c>
      <c r="P54" s="463" t="s">
        <v>129</v>
      </c>
      <c r="Q54" s="464"/>
      <c r="R54" s="452" t="s">
        <v>335</v>
      </c>
      <c r="S54" s="452"/>
      <c r="T54" s="452"/>
      <c r="U54" s="452"/>
      <c r="V54" s="442" t="s">
        <v>137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126</v>
      </c>
      <c r="B55" s="452"/>
      <c r="C55" s="218" t="s">
        <v>136</v>
      </c>
      <c r="D55" s="218" t="s">
        <v>284</v>
      </c>
      <c r="E55" s="218" t="s">
        <v>280</v>
      </c>
      <c r="F55" s="453" t="s">
        <v>333</v>
      </c>
      <c r="G55" s="454"/>
      <c r="H55" s="454"/>
      <c r="I55" s="454"/>
      <c r="J55" s="454"/>
      <c r="K55" s="454"/>
      <c r="L55" s="454"/>
      <c r="M55" s="455"/>
      <c r="N55" s="217" t="s">
        <v>114</v>
      </c>
      <c r="O55" s="215" t="s">
        <v>204</v>
      </c>
      <c r="P55" s="463" t="s">
        <v>117</v>
      </c>
      <c r="Q55" s="464"/>
      <c r="R55" s="452" t="s">
        <v>148</v>
      </c>
      <c r="S55" s="452"/>
      <c r="T55" s="452"/>
      <c r="U55" s="452"/>
      <c r="V55" s="442" t="s">
        <v>137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/>
      <c r="B56" s="452"/>
      <c r="C56" s="218"/>
      <c r="D56" s="218"/>
      <c r="E56" s="218"/>
      <c r="F56" s="453"/>
      <c r="G56" s="454"/>
      <c r="H56" s="454"/>
      <c r="I56" s="454"/>
      <c r="J56" s="454"/>
      <c r="K56" s="454"/>
      <c r="L56" s="454"/>
      <c r="M56" s="455"/>
      <c r="N56" s="217"/>
      <c r="O56" s="215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218"/>
      <c r="D57" s="218"/>
      <c r="E57" s="218"/>
      <c r="F57" s="453"/>
      <c r="G57" s="454"/>
      <c r="H57" s="454"/>
      <c r="I57" s="454"/>
      <c r="J57" s="454"/>
      <c r="K57" s="454"/>
      <c r="L57" s="454"/>
      <c r="M57" s="455"/>
      <c r="N57" s="217"/>
      <c r="O57" s="215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218"/>
      <c r="D58" s="218"/>
      <c r="E58" s="218"/>
      <c r="F58" s="453"/>
      <c r="G58" s="454"/>
      <c r="H58" s="454"/>
      <c r="I58" s="454"/>
      <c r="J58" s="454"/>
      <c r="K58" s="454"/>
      <c r="L58" s="454"/>
      <c r="M58" s="455"/>
      <c r="N58" s="217"/>
      <c r="O58" s="215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18"/>
      <c r="D59" s="218"/>
      <c r="E59" s="218"/>
      <c r="F59" s="453"/>
      <c r="G59" s="454"/>
      <c r="H59" s="454"/>
      <c r="I59" s="454"/>
      <c r="J59" s="454"/>
      <c r="K59" s="454"/>
      <c r="L59" s="454"/>
      <c r="M59" s="455"/>
      <c r="N59" s="217"/>
      <c r="O59" s="215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220"/>
      <c r="D60" s="220"/>
      <c r="E60" s="220"/>
      <c r="F60" s="459"/>
      <c r="G60" s="459"/>
      <c r="H60" s="459"/>
      <c r="I60" s="459"/>
      <c r="J60" s="459"/>
      <c r="K60" s="459"/>
      <c r="L60" s="459"/>
      <c r="M60" s="460"/>
      <c r="N60" s="219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336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216" t="s">
        <v>2</v>
      </c>
      <c r="D62" s="216" t="s">
        <v>37</v>
      </c>
      <c r="E62" s="216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216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 t="s">
        <v>114</v>
      </c>
      <c r="D63" s="211"/>
      <c r="E63" s="214" t="s">
        <v>119</v>
      </c>
      <c r="F63" s="440" t="s">
        <v>275</v>
      </c>
      <c r="G63" s="432"/>
      <c r="H63" s="432"/>
      <c r="I63" s="432"/>
      <c r="J63" s="432"/>
      <c r="K63" s="432" t="s">
        <v>162</v>
      </c>
      <c r="L63" s="432"/>
      <c r="M63" s="51" t="s">
        <v>293</v>
      </c>
      <c r="N63" s="443" t="s">
        <v>226</v>
      </c>
      <c r="O63" s="443"/>
      <c r="P63" s="441">
        <v>20</v>
      </c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 t="s">
        <v>114</v>
      </c>
      <c r="D64" s="211"/>
      <c r="E64" s="214" t="s">
        <v>125</v>
      </c>
      <c r="F64" s="440" t="s">
        <v>341</v>
      </c>
      <c r="G64" s="432"/>
      <c r="H64" s="432"/>
      <c r="I64" s="432"/>
      <c r="J64" s="432"/>
      <c r="K64" s="432" t="s">
        <v>342</v>
      </c>
      <c r="L64" s="432"/>
      <c r="M64" s="51" t="s">
        <v>293</v>
      </c>
      <c r="N64" s="443" t="s">
        <v>263</v>
      </c>
      <c r="O64" s="443"/>
      <c r="P64" s="441" t="s">
        <v>343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 t="s">
        <v>339</v>
      </c>
      <c r="D65" s="211"/>
      <c r="E65" s="214" t="s">
        <v>338</v>
      </c>
      <c r="F65" s="440" t="s">
        <v>337</v>
      </c>
      <c r="G65" s="432"/>
      <c r="H65" s="432"/>
      <c r="I65" s="432"/>
      <c r="J65" s="432"/>
      <c r="K65" s="432" t="s">
        <v>155</v>
      </c>
      <c r="L65" s="432"/>
      <c r="M65" s="51" t="s">
        <v>293</v>
      </c>
      <c r="N65" s="443" t="s">
        <v>150</v>
      </c>
      <c r="O65" s="443"/>
      <c r="P65" s="441">
        <v>500</v>
      </c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 t="s">
        <v>339</v>
      </c>
      <c r="D66" s="211"/>
      <c r="E66" s="214" t="s">
        <v>338</v>
      </c>
      <c r="F66" s="440" t="s">
        <v>340</v>
      </c>
      <c r="G66" s="432"/>
      <c r="H66" s="432"/>
      <c r="I66" s="432"/>
      <c r="J66" s="432"/>
      <c r="K66" s="432" t="s">
        <v>155</v>
      </c>
      <c r="L66" s="432"/>
      <c r="M66" s="51" t="s">
        <v>293</v>
      </c>
      <c r="N66" s="443" t="s">
        <v>263</v>
      </c>
      <c r="O66" s="443"/>
      <c r="P66" s="441">
        <v>500</v>
      </c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211"/>
      <c r="E67" s="214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211"/>
      <c r="E68" s="214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211"/>
      <c r="E69" s="214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211"/>
      <c r="E70" s="214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344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213" t="s">
        <v>2</v>
      </c>
      <c r="D72" s="213" t="s">
        <v>37</v>
      </c>
      <c r="E72" s="213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212" t="s">
        <v>114</v>
      </c>
      <c r="D73" s="212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211"/>
      <c r="D74" s="211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211"/>
      <c r="D75" s="211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211"/>
      <c r="D76" s="211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211"/>
      <c r="D77" s="211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211"/>
      <c r="D78" s="211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211"/>
      <c r="D79" s="211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211"/>
      <c r="D80" s="211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211"/>
      <c r="D81" s="211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345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35F7-FF6B-4A0D-BDC4-D0AFFEAF2316}">
  <sheetPr>
    <pageSetUpPr fitToPage="1"/>
  </sheetPr>
  <dimension ref="A1:AF86"/>
  <sheetViews>
    <sheetView zoomScale="72" zoomScaleNormal="72" zoomScaleSheetLayoutView="70" workbookViewId="0">
      <selection activeCell="F75" sqref="F75:J75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346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222" t="s">
        <v>17</v>
      </c>
      <c r="L5" s="222" t="s">
        <v>18</v>
      </c>
      <c r="M5" s="222" t="s">
        <v>19</v>
      </c>
      <c r="N5" s="22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0.38888888888888878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0.38888888888888878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62000</v>
      </c>
      <c r="J8" s="5">
        <v>4957</v>
      </c>
      <c r="K8" s="15">
        <f>L8+3980+5675+3264+5251+5511+5242+4989+3963+4268+3677+1703+2908+4237</f>
        <v>59625</v>
      </c>
      <c r="L8" s="15">
        <f>2449+2508</f>
        <v>4957</v>
      </c>
      <c r="M8" s="15">
        <f t="shared" si="1"/>
        <v>4957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0.38888888888888878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2663</v>
      </c>
      <c r="K9" s="15">
        <f>L9+2483+2720+3334+3355+5508+204+4399+3307+5387+4130+4230+4409+3649+6724+4355+6382</f>
        <v>67239</v>
      </c>
      <c r="L9" s="15">
        <f>1947+716</f>
        <v>2663</v>
      </c>
      <c r="M9" s="15">
        <f t="shared" si="1"/>
        <v>2663</v>
      </c>
      <c r="N9" s="15">
        <v>0</v>
      </c>
      <c r="O9" s="58">
        <f t="shared" si="2"/>
        <v>0</v>
      </c>
      <c r="P9" s="39">
        <f t="shared" si="3"/>
        <v>16</v>
      </c>
      <c r="Q9" s="40">
        <f t="shared" si="4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0.66666666666666663</v>
      </c>
      <c r="AD9" s="10">
        <f t="shared" si="7"/>
        <v>0.66666666666666663</v>
      </c>
      <c r="AE9" s="36">
        <f t="shared" si="8"/>
        <v>0.38888888888888878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126</v>
      </c>
      <c r="D10" s="52" t="s">
        <v>222</v>
      </c>
      <c r="E10" s="53" t="s">
        <v>323</v>
      </c>
      <c r="F10" s="30" t="s">
        <v>144</v>
      </c>
      <c r="G10" s="33">
        <v>12</v>
      </c>
      <c r="H10" s="35">
        <v>24</v>
      </c>
      <c r="I10" s="7">
        <v>100000</v>
      </c>
      <c r="J10" s="5">
        <v>48780</v>
      </c>
      <c r="K10" s="15">
        <f>L10+13524</f>
        <v>62304</v>
      </c>
      <c r="L10" s="15">
        <f>3485*12+580*12</f>
        <v>48780</v>
      </c>
      <c r="M10" s="15">
        <f t="shared" si="1"/>
        <v>48780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>
        <v>6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0.38888888888888878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129</v>
      </c>
      <c r="E11" s="53" t="s">
        <v>335</v>
      </c>
      <c r="F11" s="12" t="s">
        <v>156</v>
      </c>
      <c r="G11" s="12">
        <v>1</v>
      </c>
      <c r="H11" s="13">
        <v>24</v>
      </c>
      <c r="I11" s="7">
        <v>20000</v>
      </c>
      <c r="J11" s="14">
        <v>2590</v>
      </c>
      <c r="K11" s="15">
        <f>L11</f>
        <v>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0.38888888888888878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148</v>
      </c>
      <c r="F12" s="30" t="s">
        <v>122</v>
      </c>
      <c r="G12" s="33">
        <v>1</v>
      </c>
      <c r="H12" s="35">
        <v>20</v>
      </c>
      <c r="I12" s="7">
        <v>10000</v>
      </c>
      <c r="J12" s="14">
        <v>2832</v>
      </c>
      <c r="K12" s="15">
        <f>L12</f>
        <v>2832</v>
      </c>
      <c r="L12" s="15">
        <v>2832</v>
      </c>
      <c r="M12" s="15">
        <f t="shared" si="1"/>
        <v>2832</v>
      </c>
      <c r="N12" s="15">
        <v>0</v>
      </c>
      <c r="O12" s="58">
        <f t="shared" si="2"/>
        <v>0</v>
      </c>
      <c r="P12" s="39">
        <f t="shared" si="3"/>
        <v>12</v>
      </c>
      <c r="Q12" s="40">
        <f t="shared" si="4"/>
        <v>12</v>
      </c>
      <c r="R12" s="7"/>
      <c r="S12" s="6">
        <v>12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</v>
      </c>
      <c r="AD12" s="10">
        <f t="shared" si="7"/>
        <v>0.5</v>
      </c>
      <c r="AE12" s="36">
        <f t="shared" si="8"/>
        <v>0.38888888888888878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123</v>
      </c>
      <c r="E13" s="53" t="s">
        <v>241</v>
      </c>
      <c r="F13" s="30" t="s">
        <v>156</v>
      </c>
      <c r="G13" s="33">
        <v>1</v>
      </c>
      <c r="H13" s="35">
        <v>24</v>
      </c>
      <c r="I13" s="7">
        <v>24000</v>
      </c>
      <c r="J13" s="14">
        <v>5079</v>
      </c>
      <c r="K13" s="15">
        <f>L13+2174+3606+5706+5698+5793</f>
        <v>28056</v>
      </c>
      <c r="L13" s="15">
        <f>2648+2431</f>
        <v>5079</v>
      </c>
      <c r="M13" s="15">
        <f t="shared" si="1"/>
        <v>5079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0.38888888888888878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225</v>
      </c>
      <c r="F14" s="30" t="s">
        <v>242</v>
      </c>
      <c r="G14" s="33">
        <v>1</v>
      </c>
      <c r="H14" s="35">
        <v>40</v>
      </c>
      <c r="I14" s="7">
        <v>500</v>
      </c>
      <c r="J14" s="5">
        <v>338</v>
      </c>
      <c r="K14" s="15">
        <f>L14+338+104</f>
        <v>442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0.38888888888888878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167</v>
      </c>
      <c r="F15" s="12">
        <v>8301</v>
      </c>
      <c r="G15" s="12">
        <v>1</v>
      </c>
      <c r="H15" s="13">
        <v>24</v>
      </c>
      <c r="I15" s="31">
        <v>2000</v>
      </c>
      <c r="J15" s="14">
        <v>1140</v>
      </c>
      <c r="K15" s="15">
        <f>L15+1150+1139</f>
        <v>2289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0.38888888888888878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0.38888888888888878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252</v>
      </c>
      <c r="E17" s="53" t="s">
        <v>253</v>
      </c>
      <c r="F17" s="12" t="s">
        <v>254</v>
      </c>
      <c r="G17" s="12">
        <v>1</v>
      </c>
      <c r="H17" s="13">
        <v>24</v>
      </c>
      <c r="I17" s="31">
        <v>1100</v>
      </c>
      <c r="J17" s="14">
        <v>1394</v>
      </c>
      <c r="K17" s="15">
        <f>L17+1394</f>
        <v>1394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0.38888888888888878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284</v>
      </c>
      <c r="E18" s="53" t="s">
        <v>280</v>
      </c>
      <c r="F18" s="30" t="s">
        <v>122</v>
      </c>
      <c r="G18" s="33">
        <v>1</v>
      </c>
      <c r="H18" s="35">
        <v>24</v>
      </c>
      <c r="I18" s="7">
        <v>1100</v>
      </c>
      <c r="J18" s="5">
        <v>1056</v>
      </c>
      <c r="K18" s="15">
        <f>L18+1289</f>
        <v>2345</v>
      </c>
      <c r="L18" s="15">
        <v>1056</v>
      </c>
      <c r="M18" s="15">
        <f t="shared" si="1"/>
        <v>1056</v>
      </c>
      <c r="N18" s="15">
        <v>0</v>
      </c>
      <c r="O18" s="58">
        <f t="shared" si="2"/>
        <v>0</v>
      </c>
      <c r="P18" s="39">
        <f t="shared" si="3"/>
        <v>9</v>
      </c>
      <c r="Q18" s="40">
        <f t="shared" si="4"/>
        <v>15</v>
      </c>
      <c r="R18" s="7"/>
      <c r="S18" s="6">
        <v>7</v>
      </c>
      <c r="T18" s="16"/>
      <c r="U18" s="16"/>
      <c r="V18" s="17"/>
      <c r="W18" s="5">
        <v>8</v>
      </c>
      <c r="X18" s="16"/>
      <c r="Y18" s="16"/>
      <c r="Z18" s="16"/>
      <c r="AA18" s="18"/>
      <c r="AB18" s="8">
        <f t="shared" si="5"/>
        <v>1</v>
      </c>
      <c r="AC18" s="9">
        <f t="shared" si="6"/>
        <v>0.375</v>
      </c>
      <c r="AD18" s="10">
        <f>AC18*AB18*(1-O18)</f>
        <v>0.375</v>
      </c>
      <c r="AE18" s="36">
        <f t="shared" si="8"/>
        <v>0.38888888888888878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117</v>
      </c>
      <c r="E19" s="53" t="s">
        <v>267</v>
      </c>
      <c r="F19" s="30" t="s">
        <v>122</v>
      </c>
      <c r="G19" s="33">
        <v>1</v>
      </c>
      <c r="H19" s="35">
        <v>24</v>
      </c>
      <c r="I19" s="7">
        <v>30000</v>
      </c>
      <c r="J19" s="14">
        <v>4807</v>
      </c>
      <c r="K19" s="15">
        <f>L19+2307+2642+4597+4128</f>
        <v>18481</v>
      </c>
      <c r="L19" s="15">
        <f>2161+2646</f>
        <v>4807</v>
      </c>
      <c r="M19" s="15">
        <f t="shared" si="1"/>
        <v>4807</v>
      </c>
      <c r="N19" s="15">
        <v>0</v>
      </c>
      <c r="O19" s="58">
        <f t="shared" si="2"/>
        <v>0</v>
      </c>
      <c r="P19" s="39">
        <f t="shared" si="3"/>
        <v>23</v>
      </c>
      <c r="Q19" s="40">
        <f t="shared" si="4"/>
        <v>1</v>
      </c>
      <c r="R19" s="7"/>
      <c r="S19" s="6">
        <v>1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0.95833333333333337</v>
      </c>
      <c r="AD19" s="10">
        <f t="shared" ref="AD19" si="10">AC19*AB19*(1-O19)</f>
        <v>0.95833333333333337</v>
      </c>
      <c r="AE19" s="36">
        <f t="shared" si="8"/>
        <v>0.38888888888888878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288</v>
      </c>
      <c r="F20" s="12" t="s">
        <v>116</v>
      </c>
      <c r="G20" s="12">
        <v>4</v>
      </c>
      <c r="H20" s="35">
        <v>20</v>
      </c>
      <c r="I20" s="7">
        <v>200000</v>
      </c>
      <c r="J20" s="14">
        <v>42344</v>
      </c>
      <c r="K20" s="15">
        <f>L20+43576+41280+45088</f>
        <v>172288</v>
      </c>
      <c r="L20" s="15">
        <f>10586*4</f>
        <v>42344</v>
      </c>
      <c r="M20" s="15">
        <f t="shared" si="1"/>
        <v>42344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0.38888888888888878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511300</v>
      </c>
      <c r="J21" s="19">
        <f t="shared" si="11"/>
        <v>120527</v>
      </c>
      <c r="K21" s="20">
        <f t="shared" si="11"/>
        <v>419842</v>
      </c>
      <c r="L21" s="21">
        <f t="shared" si="11"/>
        <v>112518</v>
      </c>
      <c r="M21" s="20">
        <f t="shared" si="11"/>
        <v>112518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140</v>
      </c>
      <c r="Q21" s="43">
        <f t="shared" si="12"/>
        <v>220</v>
      </c>
      <c r="R21" s="23">
        <f t="shared" si="12"/>
        <v>30</v>
      </c>
      <c r="S21" s="24">
        <f t="shared" si="12"/>
        <v>76</v>
      </c>
      <c r="T21" s="24">
        <f t="shared" si="12"/>
        <v>0</v>
      </c>
      <c r="U21" s="24">
        <f t="shared" si="12"/>
        <v>0</v>
      </c>
      <c r="V21" s="25">
        <f t="shared" si="12"/>
        <v>10</v>
      </c>
      <c r="W21" s="26">
        <f t="shared" si="12"/>
        <v>56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48</v>
      </c>
      <c r="AB21" s="28">
        <f>SUM(AB6:AB20)/15</f>
        <v>0.53333333333333333</v>
      </c>
      <c r="AC21" s="4">
        <f>SUM(AC6:AC20)/15</f>
        <v>0.38888888888888878</v>
      </c>
      <c r="AD21" s="4">
        <f>SUM(AD6:AD20)/15</f>
        <v>0.38888888888888878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347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348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221" t="s">
        <v>46</v>
      </c>
      <c r="D50" s="221" t="s">
        <v>47</v>
      </c>
      <c r="E50" s="221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221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218" t="s">
        <v>135</v>
      </c>
      <c r="D51" s="218" t="s">
        <v>157</v>
      </c>
      <c r="E51" s="218" t="s">
        <v>161</v>
      </c>
      <c r="F51" s="453" t="s">
        <v>202</v>
      </c>
      <c r="G51" s="454"/>
      <c r="H51" s="454"/>
      <c r="I51" s="454"/>
      <c r="J51" s="454"/>
      <c r="K51" s="454"/>
      <c r="L51" s="454"/>
      <c r="M51" s="455"/>
      <c r="N51" s="217" t="s">
        <v>126</v>
      </c>
      <c r="O51" s="215" t="s">
        <v>135</v>
      </c>
      <c r="P51" s="463" t="s">
        <v>157</v>
      </c>
      <c r="Q51" s="464"/>
      <c r="R51" s="452" t="s">
        <v>161</v>
      </c>
      <c r="S51" s="452"/>
      <c r="T51" s="452"/>
      <c r="U51" s="452"/>
      <c r="V51" s="442" t="s">
        <v>137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114</v>
      </c>
      <c r="B52" s="452"/>
      <c r="C52" s="218" t="s">
        <v>204</v>
      </c>
      <c r="D52" s="218" t="s">
        <v>117</v>
      </c>
      <c r="E52" s="218" t="s">
        <v>148</v>
      </c>
      <c r="F52" s="453" t="s">
        <v>349</v>
      </c>
      <c r="G52" s="454"/>
      <c r="H52" s="454"/>
      <c r="I52" s="454"/>
      <c r="J52" s="454"/>
      <c r="K52" s="454"/>
      <c r="L52" s="454"/>
      <c r="M52" s="455"/>
      <c r="N52" s="217" t="s">
        <v>114</v>
      </c>
      <c r="O52" s="215" t="s">
        <v>136</v>
      </c>
      <c r="P52" s="463" t="s">
        <v>129</v>
      </c>
      <c r="Q52" s="464"/>
      <c r="R52" s="452" t="s">
        <v>266</v>
      </c>
      <c r="S52" s="452"/>
      <c r="T52" s="452"/>
      <c r="U52" s="452"/>
      <c r="V52" s="442" t="s">
        <v>151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126</v>
      </c>
      <c r="B53" s="452"/>
      <c r="C53" s="218" t="s">
        <v>138</v>
      </c>
      <c r="D53" s="218" t="s">
        <v>117</v>
      </c>
      <c r="E53" s="218" t="s">
        <v>267</v>
      </c>
      <c r="F53" s="453" t="s">
        <v>321</v>
      </c>
      <c r="G53" s="454"/>
      <c r="H53" s="454"/>
      <c r="I53" s="454"/>
      <c r="J53" s="454"/>
      <c r="K53" s="454"/>
      <c r="L53" s="454"/>
      <c r="M53" s="455"/>
      <c r="N53" s="217" t="s">
        <v>114</v>
      </c>
      <c r="O53" s="215" t="s">
        <v>221</v>
      </c>
      <c r="P53" s="463" t="s">
        <v>129</v>
      </c>
      <c r="Q53" s="464"/>
      <c r="R53" s="452" t="s">
        <v>335</v>
      </c>
      <c r="S53" s="452"/>
      <c r="T53" s="452"/>
      <c r="U53" s="452"/>
      <c r="V53" s="442" t="s">
        <v>137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126</v>
      </c>
      <c r="B54" s="452"/>
      <c r="C54" s="218" t="s">
        <v>147</v>
      </c>
      <c r="D54" s="218" t="s">
        <v>222</v>
      </c>
      <c r="E54" s="218" t="s">
        <v>323</v>
      </c>
      <c r="F54" s="453" t="s">
        <v>137</v>
      </c>
      <c r="G54" s="454"/>
      <c r="H54" s="454"/>
      <c r="I54" s="454"/>
      <c r="J54" s="454"/>
      <c r="K54" s="454"/>
      <c r="L54" s="454"/>
      <c r="M54" s="455"/>
      <c r="N54" s="217" t="s">
        <v>351</v>
      </c>
      <c r="O54" s="215" t="s">
        <v>182</v>
      </c>
      <c r="P54" s="463" t="s">
        <v>117</v>
      </c>
      <c r="Q54" s="464"/>
      <c r="R54" s="452" t="s">
        <v>352</v>
      </c>
      <c r="S54" s="452"/>
      <c r="T54" s="452"/>
      <c r="U54" s="452"/>
      <c r="V54" s="442" t="s">
        <v>121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126</v>
      </c>
      <c r="B55" s="452"/>
      <c r="C55" s="218" t="s">
        <v>136</v>
      </c>
      <c r="D55" s="218" t="s">
        <v>284</v>
      </c>
      <c r="E55" s="218" t="s">
        <v>280</v>
      </c>
      <c r="F55" s="453" t="s">
        <v>350</v>
      </c>
      <c r="G55" s="454"/>
      <c r="H55" s="454"/>
      <c r="I55" s="454"/>
      <c r="J55" s="454"/>
      <c r="K55" s="454"/>
      <c r="L55" s="454"/>
      <c r="M55" s="455"/>
      <c r="N55" s="217"/>
      <c r="O55" s="215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/>
      <c r="B56" s="452"/>
      <c r="C56" s="218"/>
      <c r="D56" s="218"/>
      <c r="E56" s="218"/>
      <c r="F56" s="453"/>
      <c r="G56" s="454"/>
      <c r="H56" s="454"/>
      <c r="I56" s="454"/>
      <c r="J56" s="454"/>
      <c r="K56" s="454"/>
      <c r="L56" s="454"/>
      <c r="M56" s="455"/>
      <c r="N56" s="217"/>
      <c r="O56" s="215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218"/>
      <c r="D57" s="218"/>
      <c r="E57" s="218"/>
      <c r="F57" s="453"/>
      <c r="G57" s="454"/>
      <c r="H57" s="454"/>
      <c r="I57" s="454"/>
      <c r="J57" s="454"/>
      <c r="K57" s="454"/>
      <c r="L57" s="454"/>
      <c r="M57" s="455"/>
      <c r="N57" s="217"/>
      <c r="O57" s="215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218"/>
      <c r="D58" s="218"/>
      <c r="E58" s="218"/>
      <c r="F58" s="453"/>
      <c r="G58" s="454"/>
      <c r="H58" s="454"/>
      <c r="I58" s="454"/>
      <c r="J58" s="454"/>
      <c r="K58" s="454"/>
      <c r="L58" s="454"/>
      <c r="M58" s="455"/>
      <c r="N58" s="217"/>
      <c r="O58" s="215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18"/>
      <c r="D59" s="218"/>
      <c r="E59" s="218"/>
      <c r="F59" s="453"/>
      <c r="G59" s="454"/>
      <c r="H59" s="454"/>
      <c r="I59" s="454"/>
      <c r="J59" s="454"/>
      <c r="K59" s="454"/>
      <c r="L59" s="454"/>
      <c r="M59" s="455"/>
      <c r="N59" s="217"/>
      <c r="O59" s="215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220"/>
      <c r="D60" s="220"/>
      <c r="E60" s="220"/>
      <c r="F60" s="459"/>
      <c r="G60" s="459"/>
      <c r="H60" s="459"/>
      <c r="I60" s="459"/>
      <c r="J60" s="459"/>
      <c r="K60" s="459"/>
      <c r="L60" s="459"/>
      <c r="M60" s="460"/>
      <c r="N60" s="219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353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216" t="s">
        <v>2</v>
      </c>
      <c r="D62" s="216" t="s">
        <v>37</v>
      </c>
      <c r="E62" s="216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216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/>
      <c r="D63" s="211"/>
      <c r="E63" s="214"/>
      <c r="F63" s="440"/>
      <c r="G63" s="432"/>
      <c r="H63" s="432"/>
      <c r="I63" s="432"/>
      <c r="J63" s="432"/>
      <c r="K63" s="432"/>
      <c r="L63" s="432"/>
      <c r="M63" s="51"/>
      <c r="N63" s="443"/>
      <c r="O63" s="443"/>
      <c r="P63" s="441"/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/>
      <c r="D64" s="211"/>
      <c r="E64" s="214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211"/>
      <c r="E65" s="214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211"/>
      <c r="E66" s="214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211"/>
      <c r="E67" s="214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211"/>
      <c r="E68" s="214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211"/>
      <c r="E69" s="214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211"/>
      <c r="E70" s="214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354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213" t="s">
        <v>2</v>
      </c>
      <c r="D72" s="213" t="s">
        <v>37</v>
      </c>
      <c r="E72" s="213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212" t="s">
        <v>114</v>
      </c>
      <c r="D73" s="212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211"/>
      <c r="D74" s="211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211"/>
      <c r="D75" s="211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211"/>
      <c r="D76" s="211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211"/>
      <c r="D77" s="211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211"/>
      <c r="D78" s="211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211"/>
      <c r="D79" s="211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211"/>
      <c r="D80" s="211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211"/>
      <c r="D81" s="211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355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1488-26B9-43DC-B57F-56642FB73AEC}">
  <sheetPr>
    <pageSetUpPr fitToPage="1"/>
  </sheetPr>
  <dimension ref="A1:AF86"/>
  <sheetViews>
    <sheetView zoomScale="72" zoomScaleNormal="72" zoomScaleSheetLayoutView="70" workbookViewId="0">
      <selection activeCell="K75" sqref="K75:S75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356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223" t="s">
        <v>17</v>
      </c>
      <c r="L5" s="223" t="s">
        <v>18</v>
      </c>
      <c r="M5" s="223" t="s">
        <v>19</v>
      </c>
      <c r="N5" s="22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0.41111111111111109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0.41111111111111109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34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62000</v>
      </c>
      <c r="J8" s="5">
        <v>3934</v>
      </c>
      <c r="K8" s="15">
        <f>L8+3980+5675+3264+5251+5511+5242+4989+3963+4268+3677+1703+2908+4237+4957</f>
        <v>59625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0.41111111111111109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3934</v>
      </c>
      <c r="K9" s="15">
        <f>L9+2483+2720+3334+3355+5508+204+4399+3307+5387+4130+4230+4409+3649+6724+4355+6382+2663</f>
        <v>71173</v>
      </c>
      <c r="L9" s="15">
        <f>3366+568</f>
        <v>3934</v>
      </c>
      <c r="M9" s="15">
        <f t="shared" si="1"/>
        <v>3934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0.41111111111111109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126</v>
      </c>
      <c r="D10" s="52" t="s">
        <v>222</v>
      </c>
      <c r="E10" s="53" t="s">
        <v>323</v>
      </c>
      <c r="F10" s="30" t="s">
        <v>144</v>
      </c>
      <c r="G10" s="33">
        <v>12</v>
      </c>
      <c r="H10" s="35">
        <v>24</v>
      </c>
      <c r="I10" s="7">
        <v>100000</v>
      </c>
      <c r="J10" s="5">
        <v>100304</v>
      </c>
      <c r="K10" s="15">
        <f>L10+13524+48780</f>
        <v>162608</v>
      </c>
      <c r="L10" s="15">
        <f>2733*16+3536*16</f>
        <v>100304</v>
      </c>
      <c r="M10" s="15">
        <f t="shared" si="1"/>
        <v>100304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0.41111111111111109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129</v>
      </c>
      <c r="E11" s="53" t="s">
        <v>335</v>
      </c>
      <c r="F11" s="12" t="s">
        <v>156</v>
      </c>
      <c r="G11" s="12">
        <v>1</v>
      </c>
      <c r="H11" s="13">
        <v>24</v>
      </c>
      <c r="I11" s="7">
        <v>20000</v>
      </c>
      <c r="J11" s="14">
        <v>5121</v>
      </c>
      <c r="K11" s="15">
        <f>L11</f>
        <v>5121</v>
      </c>
      <c r="L11" s="15">
        <f>1784+3337</f>
        <v>5121</v>
      </c>
      <c r="M11" s="15">
        <f t="shared" si="1"/>
        <v>5121</v>
      </c>
      <c r="N11" s="15">
        <v>0</v>
      </c>
      <c r="O11" s="58">
        <f t="shared" si="2"/>
        <v>0</v>
      </c>
      <c r="P11" s="39">
        <f t="shared" si="3"/>
        <v>21</v>
      </c>
      <c r="Q11" s="40">
        <f t="shared" si="4"/>
        <v>3</v>
      </c>
      <c r="R11" s="7"/>
      <c r="S11" s="6">
        <v>3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0.875</v>
      </c>
      <c r="AD11" s="10">
        <f t="shared" si="7"/>
        <v>0.875</v>
      </c>
      <c r="AE11" s="36">
        <f t="shared" si="8"/>
        <v>0.41111111111111109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148</v>
      </c>
      <c r="F12" s="30" t="s">
        <v>122</v>
      </c>
      <c r="G12" s="33">
        <v>1</v>
      </c>
      <c r="H12" s="35">
        <v>20</v>
      </c>
      <c r="I12" s="7">
        <v>10000</v>
      </c>
      <c r="J12" s="14">
        <v>5543</v>
      </c>
      <c r="K12" s="15">
        <f>L12+2832</f>
        <v>8375</v>
      </c>
      <c r="L12" s="15">
        <f>2810+2288+445</f>
        <v>5543</v>
      </c>
      <c r="M12" s="15">
        <f t="shared" si="1"/>
        <v>5543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0.41111111111111109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295</v>
      </c>
      <c r="D13" s="52" t="s">
        <v>357</v>
      </c>
      <c r="E13" s="53" t="s">
        <v>358</v>
      </c>
      <c r="F13" s="30" t="s">
        <v>128</v>
      </c>
      <c r="G13" s="33">
        <v>1</v>
      </c>
      <c r="H13" s="35">
        <v>24</v>
      </c>
      <c r="I13" s="7">
        <v>1000</v>
      </c>
      <c r="J13" s="14">
        <v>693</v>
      </c>
      <c r="K13" s="15">
        <f>L13</f>
        <v>693</v>
      </c>
      <c r="L13" s="15">
        <v>693</v>
      </c>
      <c r="M13" s="15">
        <f t="shared" si="1"/>
        <v>693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si="7"/>
        <v>0.16666666666666666</v>
      </c>
      <c r="AE13" s="36">
        <f t="shared" si="8"/>
        <v>0.41111111111111109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225</v>
      </c>
      <c r="F14" s="30" t="s">
        <v>242</v>
      </c>
      <c r="G14" s="33">
        <v>1</v>
      </c>
      <c r="H14" s="35">
        <v>40</v>
      </c>
      <c r="I14" s="7">
        <v>500</v>
      </c>
      <c r="J14" s="5">
        <v>338</v>
      </c>
      <c r="K14" s="15">
        <f>L14+338+104</f>
        <v>442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0.41111111111111109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167</v>
      </c>
      <c r="F15" s="12">
        <v>8301</v>
      </c>
      <c r="G15" s="12">
        <v>1</v>
      </c>
      <c r="H15" s="13">
        <v>24</v>
      </c>
      <c r="I15" s="31">
        <v>2000</v>
      </c>
      <c r="J15" s="14">
        <v>1140</v>
      </c>
      <c r="K15" s="15">
        <f>L15+1150+1139</f>
        <v>2289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24</v>
      </c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0.41111111111111109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0.41111111111111109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252</v>
      </c>
      <c r="E17" s="53" t="s">
        <v>253</v>
      </c>
      <c r="F17" s="12" t="s">
        <v>254</v>
      </c>
      <c r="G17" s="12">
        <v>1</v>
      </c>
      <c r="H17" s="13">
        <v>24</v>
      </c>
      <c r="I17" s="31">
        <v>1100</v>
      </c>
      <c r="J17" s="14">
        <v>1394</v>
      </c>
      <c r="K17" s="15">
        <f>L17+1394</f>
        <v>1394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0.41111111111111109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129</v>
      </c>
      <c r="E18" s="53" t="s">
        <v>266</v>
      </c>
      <c r="F18" s="30" t="s">
        <v>122</v>
      </c>
      <c r="G18" s="33">
        <v>1</v>
      </c>
      <c r="H18" s="35">
        <v>24</v>
      </c>
      <c r="I18" s="7">
        <v>20000</v>
      </c>
      <c r="J18" s="5">
        <v>4377</v>
      </c>
      <c r="K18" s="15">
        <f>L18</f>
        <v>4377</v>
      </c>
      <c r="L18" s="15">
        <f>1531+2846</f>
        <v>4377</v>
      </c>
      <c r="M18" s="15">
        <f t="shared" si="1"/>
        <v>4377</v>
      </c>
      <c r="N18" s="15">
        <v>0</v>
      </c>
      <c r="O18" s="58">
        <f t="shared" si="2"/>
        <v>0</v>
      </c>
      <c r="P18" s="39">
        <f t="shared" si="3"/>
        <v>19</v>
      </c>
      <c r="Q18" s="40">
        <f t="shared" si="4"/>
        <v>5</v>
      </c>
      <c r="R18" s="7"/>
      <c r="S18" s="6">
        <v>5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0.79166666666666663</v>
      </c>
      <c r="AD18" s="10">
        <f>AC18*AB18*(1-O18)</f>
        <v>0.79166666666666663</v>
      </c>
      <c r="AE18" s="36">
        <f t="shared" si="8"/>
        <v>0.41111111111111109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117</v>
      </c>
      <c r="E19" s="53" t="s">
        <v>267</v>
      </c>
      <c r="F19" s="30" t="s">
        <v>122</v>
      </c>
      <c r="G19" s="33">
        <v>1</v>
      </c>
      <c r="H19" s="35">
        <v>24</v>
      </c>
      <c r="I19" s="7">
        <v>30000</v>
      </c>
      <c r="J19" s="14">
        <v>4969</v>
      </c>
      <c r="K19" s="15">
        <f>L19+2307+2642+4597+4128+4807</f>
        <v>23450</v>
      </c>
      <c r="L19" s="15">
        <f>2219+2750</f>
        <v>4969</v>
      </c>
      <c r="M19" s="15">
        <f t="shared" si="1"/>
        <v>4969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0">AC19*AB19*(1-O19)</f>
        <v>1</v>
      </c>
      <c r="AE19" s="36">
        <f t="shared" si="8"/>
        <v>0.41111111111111109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359</v>
      </c>
      <c r="F20" s="12" t="s">
        <v>116</v>
      </c>
      <c r="G20" s="12">
        <v>4</v>
      </c>
      <c r="H20" s="35">
        <v>20</v>
      </c>
      <c r="I20" s="7">
        <v>500000</v>
      </c>
      <c r="J20" s="14">
        <v>37840</v>
      </c>
      <c r="K20" s="15">
        <f>L20</f>
        <v>37840</v>
      </c>
      <c r="L20" s="15">
        <f>9460*4</f>
        <v>37840</v>
      </c>
      <c r="M20" s="15">
        <f t="shared" si="1"/>
        <v>37840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0.41111111111111109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807200</v>
      </c>
      <c r="J21" s="19">
        <f t="shared" si="11"/>
        <v>172134</v>
      </c>
      <c r="K21" s="20">
        <f t="shared" si="11"/>
        <v>379934</v>
      </c>
      <c r="L21" s="21">
        <f t="shared" si="11"/>
        <v>162781</v>
      </c>
      <c r="M21" s="20">
        <f t="shared" si="11"/>
        <v>162781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148</v>
      </c>
      <c r="Q21" s="43">
        <f t="shared" si="12"/>
        <v>212</v>
      </c>
      <c r="R21" s="23">
        <f t="shared" si="12"/>
        <v>24</v>
      </c>
      <c r="S21" s="24">
        <f t="shared" si="12"/>
        <v>58</v>
      </c>
      <c r="T21" s="24">
        <f t="shared" si="12"/>
        <v>0</v>
      </c>
      <c r="U21" s="24">
        <f t="shared" si="12"/>
        <v>0</v>
      </c>
      <c r="V21" s="25">
        <f t="shared" si="12"/>
        <v>10</v>
      </c>
      <c r="W21" s="26">
        <f t="shared" si="12"/>
        <v>72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48</v>
      </c>
      <c r="AB21" s="28">
        <f>SUM(AB6:AB20)/15</f>
        <v>0.53333333333333333</v>
      </c>
      <c r="AC21" s="4">
        <f>SUM(AC6:AC20)/15</f>
        <v>0.41111111111111109</v>
      </c>
      <c r="AD21" s="4">
        <f>SUM(AD6:AD20)/15</f>
        <v>0.41111111111111109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360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363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224" t="s">
        <v>46</v>
      </c>
      <c r="D50" s="224" t="s">
        <v>47</v>
      </c>
      <c r="E50" s="224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224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226" t="s">
        <v>135</v>
      </c>
      <c r="D51" s="226" t="s">
        <v>157</v>
      </c>
      <c r="E51" s="226" t="s">
        <v>161</v>
      </c>
      <c r="F51" s="453" t="s">
        <v>137</v>
      </c>
      <c r="G51" s="454"/>
      <c r="H51" s="454"/>
      <c r="I51" s="454"/>
      <c r="J51" s="454"/>
      <c r="K51" s="454"/>
      <c r="L51" s="454"/>
      <c r="M51" s="455"/>
      <c r="N51" s="225" t="s">
        <v>351</v>
      </c>
      <c r="O51" s="231" t="s">
        <v>204</v>
      </c>
      <c r="P51" s="463" t="s">
        <v>117</v>
      </c>
      <c r="Q51" s="464"/>
      <c r="R51" s="452" t="s">
        <v>352</v>
      </c>
      <c r="S51" s="452"/>
      <c r="T51" s="452"/>
      <c r="U51" s="452"/>
      <c r="V51" s="442" t="s">
        <v>137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114</v>
      </c>
      <c r="B52" s="452"/>
      <c r="C52" s="226" t="s">
        <v>221</v>
      </c>
      <c r="D52" s="226" t="s">
        <v>129</v>
      </c>
      <c r="E52" s="226" t="s">
        <v>335</v>
      </c>
      <c r="F52" s="453" t="s">
        <v>137</v>
      </c>
      <c r="G52" s="454"/>
      <c r="H52" s="454"/>
      <c r="I52" s="454"/>
      <c r="J52" s="454"/>
      <c r="K52" s="454"/>
      <c r="L52" s="454"/>
      <c r="M52" s="455"/>
      <c r="N52" s="225" t="s">
        <v>295</v>
      </c>
      <c r="O52" s="231" t="s">
        <v>188</v>
      </c>
      <c r="P52" s="463" t="s">
        <v>357</v>
      </c>
      <c r="Q52" s="464"/>
      <c r="R52" s="452" t="s">
        <v>358</v>
      </c>
      <c r="S52" s="452"/>
      <c r="T52" s="452"/>
      <c r="U52" s="452"/>
      <c r="V52" s="442" t="s">
        <v>137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351</v>
      </c>
      <c r="B53" s="452"/>
      <c r="C53" s="226" t="s">
        <v>182</v>
      </c>
      <c r="D53" s="226" t="s">
        <v>117</v>
      </c>
      <c r="E53" s="226" t="s">
        <v>352</v>
      </c>
      <c r="F53" s="453" t="s">
        <v>361</v>
      </c>
      <c r="G53" s="454"/>
      <c r="H53" s="454"/>
      <c r="I53" s="454"/>
      <c r="J53" s="454"/>
      <c r="K53" s="454"/>
      <c r="L53" s="454"/>
      <c r="M53" s="455"/>
      <c r="N53" s="225" t="s">
        <v>126</v>
      </c>
      <c r="O53" s="231" t="s">
        <v>182</v>
      </c>
      <c r="P53" s="463" t="s">
        <v>143</v>
      </c>
      <c r="Q53" s="464"/>
      <c r="R53" s="452" t="s">
        <v>364</v>
      </c>
      <c r="S53" s="452"/>
      <c r="T53" s="452"/>
      <c r="U53" s="452"/>
      <c r="V53" s="442" t="s">
        <v>121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295</v>
      </c>
      <c r="B54" s="452"/>
      <c r="C54" s="226" t="s">
        <v>182</v>
      </c>
      <c r="D54" s="226" t="s">
        <v>357</v>
      </c>
      <c r="E54" s="226" t="s">
        <v>358</v>
      </c>
      <c r="F54" s="453" t="s">
        <v>258</v>
      </c>
      <c r="G54" s="454"/>
      <c r="H54" s="454"/>
      <c r="I54" s="454"/>
      <c r="J54" s="454"/>
      <c r="K54" s="454"/>
      <c r="L54" s="454"/>
      <c r="M54" s="455"/>
      <c r="N54" s="225"/>
      <c r="O54" s="231"/>
      <c r="P54" s="463"/>
      <c r="Q54" s="464"/>
      <c r="R54" s="452"/>
      <c r="S54" s="452"/>
      <c r="T54" s="452"/>
      <c r="U54" s="452"/>
      <c r="V54" s="442"/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114</v>
      </c>
      <c r="B55" s="452"/>
      <c r="C55" s="226" t="s">
        <v>136</v>
      </c>
      <c r="D55" s="226" t="s">
        <v>129</v>
      </c>
      <c r="E55" s="226" t="s">
        <v>266</v>
      </c>
      <c r="F55" s="453" t="s">
        <v>362</v>
      </c>
      <c r="G55" s="454"/>
      <c r="H55" s="454"/>
      <c r="I55" s="454"/>
      <c r="J55" s="454"/>
      <c r="K55" s="454"/>
      <c r="L55" s="454"/>
      <c r="M55" s="455"/>
      <c r="N55" s="225"/>
      <c r="O55" s="231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115</v>
      </c>
      <c r="B56" s="452"/>
      <c r="C56" s="226" t="s">
        <v>186</v>
      </c>
      <c r="D56" s="226"/>
      <c r="E56" s="226" t="s">
        <v>359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225"/>
      <c r="O56" s="231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226"/>
      <c r="D57" s="226"/>
      <c r="E57" s="226"/>
      <c r="F57" s="453"/>
      <c r="G57" s="454"/>
      <c r="H57" s="454"/>
      <c r="I57" s="454"/>
      <c r="J57" s="454"/>
      <c r="K57" s="454"/>
      <c r="L57" s="454"/>
      <c r="M57" s="455"/>
      <c r="N57" s="225"/>
      <c r="O57" s="231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226"/>
      <c r="D58" s="226"/>
      <c r="E58" s="226"/>
      <c r="F58" s="453"/>
      <c r="G58" s="454"/>
      <c r="H58" s="454"/>
      <c r="I58" s="454"/>
      <c r="J58" s="454"/>
      <c r="K58" s="454"/>
      <c r="L58" s="454"/>
      <c r="M58" s="455"/>
      <c r="N58" s="225"/>
      <c r="O58" s="231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26"/>
      <c r="D59" s="226"/>
      <c r="E59" s="226"/>
      <c r="F59" s="453"/>
      <c r="G59" s="454"/>
      <c r="H59" s="454"/>
      <c r="I59" s="454"/>
      <c r="J59" s="454"/>
      <c r="K59" s="454"/>
      <c r="L59" s="454"/>
      <c r="M59" s="455"/>
      <c r="N59" s="225"/>
      <c r="O59" s="231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228"/>
      <c r="D60" s="228"/>
      <c r="E60" s="228"/>
      <c r="F60" s="459"/>
      <c r="G60" s="459"/>
      <c r="H60" s="459"/>
      <c r="I60" s="459"/>
      <c r="J60" s="459"/>
      <c r="K60" s="459"/>
      <c r="L60" s="459"/>
      <c r="M60" s="460"/>
      <c r="N60" s="227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365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229" t="s">
        <v>2</v>
      </c>
      <c r="D62" s="229" t="s">
        <v>37</v>
      </c>
      <c r="E62" s="229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229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 t="s">
        <v>154</v>
      </c>
      <c r="D63" s="233"/>
      <c r="E63" s="230" t="s">
        <v>166</v>
      </c>
      <c r="F63" s="440" t="s">
        <v>366</v>
      </c>
      <c r="G63" s="432"/>
      <c r="H63" s="432"/>
      <c r="I63" s="432"/>
      <c r="J63" s="432"/>
      <c r="K63" s="432" t="s">
        <v>230</v>
      </c>
      <c r="L63" s="432"/>
      <c r="M63" s="51" t="s">
        <v>231</v>
      </c>
      <c r="N63" s="443" t="s">
        <v>188</v>
      </c>
      <c r="O63" s="443"/>
      <c r="P63" s="441">
        <v>50</v>
      </c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 t="s">
        <v>154</v>
      </c>
      <c r="D64" s="233"/>
      <c r="E64" s="230"/>
      <c r="F64" s="440" t="s">
        <v>367</v>
      </c>
      <c r="G64" s="432"/>
      <c r="H64" s="432"/>
      <c r="I64" s="432"/>
      <c r="J64" s="432"/>
      <c r="K64" s="432" t="s">
        <v>368</v>
      </c>
      <c r="L64" s="432"/>
      <c r="M64" s="51" t="s">
        <v>293</v>
      </c>
      <c r="N64" s="443" t="s">
        <v>263</v>
      </c>
      <c r="O64" s="443"/>
      <c r="P64" s="441">
        <v>50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233"/>
      <c r="E65" s="230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233"/>
      <c r="E66" s="230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233"/>
      <c r="E67" s="230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233"/>
      <c r="E68" s="230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233"/>
      <c r="E69" s="230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233"/>
      <c r="E70" s="230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369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232" t="s">
        <v>2</v>
      </c>
      <c r="D72" s="232" t="s">
        <v>37</v>
      </c>
      <c r="E72" s="232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234" t="s">
        <v>114</v>
      </c>
      <c r="D73" s="234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233"/>
      <c r="D74" s="233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233"/>
      <c r="D75" s="233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233"/>
      <c r="D76" s="233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233"/>
      <c r="D77" s="233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233"/>
      <c r="D78" s="233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233"/>
      <c r="D79" s="233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233"/>
      <c r="D80" s="233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233"/>
      <c r="D81" s="233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370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1286-4123-4D9D-BE15-BA532604F53C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371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246" t="s">
        <v>17</v>
      </c>
      <c r="L5" s="246" t="s">
        <v>18</v>
      </c>
      <c r="M5" s="246" t="s">
        <v>19</v>
      </c>
      <c r="N5" s="24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0.53333333333333333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0.53333333333333333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</f>
        <v>2312</v>
      </c>
      <c r="L8" s="15">
        <f>795+824</f>
        <v>1619</v>
      </c>
      <c r="M8" s="15">
        <f t="shared" si="1"/>
        <v>1619</v>
      </c>
      <c r="N8" s="15">
        <v>0</v>
      </c>
      <c r="O8" s="58">
        <f t="shared" si="2"/>
        <v>0</v>
      </c>
      <c r="P8" s="39">
        <f t="shared" si="3"/>
        <v>15</v>
      </c>
      <c r="Q8" s="40">
        <f t="shared" si="4"/>
        <v>9</v>
      </c>
      <c r="R8" s="7"/>
      <c r="S8" s="6">
        <v>5</v>
      </c>
      <c r="T8" s="16"/>
      <c r="U8" s="16"/>
      <c r="V8" s="17"/>
      <c r="W8" s="5">
        <v>4</v>
      </c>
      <c r="X8" s="16"/>
      <c r="Y8" s="16"/>
      <c r="Z8" s="16"/>
      <c r="AA8" s="18"/>
      <c r="AB8" s="8">
        <f t="shared" si="5"/>
        <v>1</v>
      </c>
      <c r="AC8" s="9">
        <f t="shared" si="6"/>
        <v>0.625</v>
      </c>
      <c r="AD8" s="10">
        <f t="shared" si="7"/>
        <v>0.625</v>
      </c>
      <c r="AE8" s="36">
        <f t="shared" si="8"/>
        <v>0.53333333333333333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60000</v>
      </c>
      <c r="J9" s="14">
        <v>4562</v>
      </c>
      <c r="K9" s="15">
        <f>L9+2483+2720+3334+3355+5508+204+4399+3307+5387+4130+4230+4409+3649+6724+4355+6382+2663+3934</f>
        <v>75735</v>
      </c>
      <c r="L9" s="15">
        <f>1781+2781</f>
        <v>4562</v>
      </c>
      <c r="M9" s="15">
        <f t="shared" si="1"/>
        <v>4562</v>
      </c>
      <c r="N9" s="15">
        <v>0</v>
      </c>
      <c r="O9" s="58">
        <f t="shared" si="2"/>
        <v>0</v>
      </c>
      <c r="P9" s="39">
        <f t="shared" si="3"/>
        <v>22</v>
      </c>
      <c r="Q9" s="40">
        <f t="shared" si="4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0.91666666666666663</v>
      </c>
      <c r="AD9" s="10">
        <f t="shared" si="7"/>
        <v>0.91666666666666663</v>
      </c>
      <c r="AE9" s="36">
        <f t="shared" si="8"/>
        <v>0.53333333333333333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126</v>
      </c>
      <c r="D10" s="52" t="s">
        <v>222</v>
      </c>
      <c r="E10" s="53" t="s">
        <v>323</v>
      </c>
      <c r="F10" s="30" t="s">
        <v>144</v>
      </c>
      <c r="G10" s="33">
        <v>12</v>
      </c>
      <c r="H10" s="35">
        <v>24</v>
      </c>
      <c r="I10" s="7">
        <v>100000</v>
      </c>
      <c r="J10" s="5">
        <v>108096</v>
      </c>
      <c r="K10" s="15">
        <f>L10+13524+48780+100304</f>
        <v>270704</v>
      </c>
      <c r="L10" s="15">
        <f>3297*16+3459*16</f>
        <v>108096</v>
      </c>
      <c r="M10" s="15">
        <f t="shared" si="1"/>
        <v>108096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0.53333333333333333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129</v>
      </c>
      <c r="E11" s="53" t="s">
        <v>335</v>
      </c>
      <c r="F11" s="12" t="s">
        <v>156</v>
      </c>
      <c r="G11" s="12">
        <v>1</v>
      </c>
      <c r="H11" s="13">
        <v>24</v>
      </c>
      <c r="I11" s="7">
        <v>20000</v>
      </c>
      <c r="J11" s="14">
        <v>6367</v>
      </c>
      <c r="K11" s="15">
        <f>L11+5121</f>
        <v>11488</v>
      </c>
      <c r="L11" s="15">
        <f>2935+3432</f>
        <v>6367</v>
      </c>
      <c r="M11" s="15">
        <f t="shared" si="1"/>
        <v>6367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si="7"/>
        <v>1</v>
      </c>
      <c r="AE11" s="36">
        <f t="shared" si="8"/>
        <v>0.53333333333333333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351</v>
      </c>
      <c r="D12" s="52" t="s">
        <v>117</v>
      </c>
      <c r="E12" s="53" t="s">
        <v>352</v>
      </c>
      <c r="F12" s="30" t="s">
        <v>372</v>
      </c>
      <c r="G12" s="33">
        <v>2</v>
      </c>
      <c r="H12" s="35">
        <v>20</v>
      </c>
      <c r="I12" s="7">
        <v>40000</v>
      </c>
      <c r="J12" s="14">
        <v>7450</v>
      </c>
      <c r="K12" s="15">
        <f>L12</f>
        <v>7450</v>
      </c>
      <c r="L12" s="15">
        <f>1951*2+1774*2</f>
        <v>7450</v>
      </c>
      <c r="M12" s="15">
        <f t="shared" si="1"/>
        <v>7450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si="7"/>
        <v>0.875</v>
      </c>
      <c r="AE12" s="36">
        <f t="shared" si="8"/>
        <v>0.53333333333333333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143</v>
      </c>
      <c r="E13" s="53" t="s">
        <v>364</v>
      </c>
      <c r="F13" s="30" t="s">
        <v>373</v>
      </c>
      <c r="G13" s="33">
        <v>1</v>
      </c>
      <c r="H13" s="35">
        <v>24</v>
      </c>
      <c r="I13" s="7">
        <v>1000</v>
      </c>
      <c r="J13" s="14">
        <v>1329</v>
      </c>
      <c r="K13" s="15">
        <f>L13</f>
        <v>1329</v>
      </c>
      <c r="L13" s="15">
        <f>1329</f>
        <v>1329</v>
      </c>
      <c r="M13" s="15">
        <f t="shared" si="1"/>
        <v>1329</v>
      </c>
      <c r="N13" s="15">
        <v>0</v>
      </c>
      <c r="O13" s="58">
        <f t="shared" si="2"/>
        <v>0</v>
      </c>
      <c r="P13" s="39">
        <f t="shared" si="3"/>
        <v>11</v>
      </c>
      <c r="Q13" s="40">
        <f t="shared" si="4"/>
        <v>13</v>
      </c>
      <c r="R13" s="7"/>
      <c r="S13" s="6"/>
      <c r="T13" s="16"/>
      <c r="U13" s="16"/>
      <c r="V13" s="17"/>
      <c r="W13" s="5">
        <v>13</v>
      </c>
      <c r="X13" s="16"/>
      <c r="Y13" s="16"/>
      <c r="Z13" s="16"/>
      <c r="AA13" s="18"/>
      <c r="AB13" s="8">
        <f t="shared" si="5"/>
        <v>1</v>
      </c>
      <c r="AC13" s="9">
        <f t="shared" si="6"/>
        <v>0.45833333333333331</v>
      </c>
      <c r="AD13" s="10">
        <f t="shared" si="7"/>
        <v>0.45833333333333331</v>
      </c>
      <c r="AE13" s="36">
        <f t="shared" si="8"/>
        <v>0.53333333333333333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225</v>
      </c>
      <c r="F14" s="30" t="s">
        <v>242</v>
      </c>
      <c r="G14" s="33">
        <v>1</v>
      </c>
      <c r="H14" s="35">
        <v>40</v>
      </c>
      <c r="I14" s="7">
        <v>500</v>
      </c>
      <c r="J14" s="5">
        <v>338</v>
      </c>
      <c r="K14" s="15">
        <f>L14+338+104</f>
        <v>442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0.53333333333333333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339</v>
      </c>
      <c r="D15" s="52"/>
      <c r="E15" s="53" t="s">
        <v>374</v>
      </c>
      <c r="F15" s="12" t="s">
        <v>155</v>
      </c>
      <c r="G15" s="12">
        <v>1</v>
      </c>
      <c r="H15" s="13">
        <v>24</v>
      </c>
      <c r="I15" s="31">
        <v>4750</v>
      </c>
      <c r="J15" s="14">
        <v>2293</v>
      </c>
      <c r="K15" s="15">
        <f>L15</f>
        <v>2293</v>
      </c>
      <c r="L15" s="15">
        <f>750+1543</f>
        <v>2293</v>
      </c>
      <c r="M15" s="15">
        <f t="shared" si="1"/>
        <v>2293</v>
      </c>
      <c r="N15" s="15">
        <v>0</v>
      </c>
      <c r="O15" s="58">
        <f t="shared" si="2"/>
        <v>0</v>
      </c>
      <c r="P15" s="39">
        <f t="shared" si="3"/>
        <v>13</v>
      </c>
      <c r="Q15" s="40">
        <f t="shared" si="4"/>
        <v>11</v>
      </c>
      <c r="R15" s="7"/>
      <c r="S15" s="6">
        <v>11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0.54166666666666663</v>
      </c>
      <c r="AD15" s="10">
        <f t="shared" si="7"/>
        <v>0.54166666666666663</v>
      </c>
      <c r="AE15" s="36">
        <f t="shared" si="8"/>
        <v>0.53333333333333333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0.53333333333333333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126</v>
      </c>
      <c r="D17" s="52" t="s">
        <v>252</v>
      </c>
      <c r="E17" s="53" t="s">
        <v>253</v>
      </c>
      <c r="F17" s="12" t="s">
        <v>254</v>
      </c>
      <c r="G17" s="12">
        <v>1</v>
      </c>
      <c r="H17" s="13">
        <v>24</v>
      </c>
      <c r="I17" s="31">
        <v>1100</v>
      </c>
      <c r="J17" s="14">
        <v>1394</v>
      </c>
      <c r="K17" s="15">
        <f>L17+1394</f>
        <v>1394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0.53333333333333333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114</v>
      </c>
      <c r="D18" s="52" t="s">
        <v>129</v>
      </c>
      <c r="E18" s="53" t="s">
        <v>266</v>
      </c>
      <c r="F18" s="30" t="s">
        <v>122</v>
      </c>
      <c r="G18" s="33">
        <v>1</v>
      </c>
      <c r="H18" s="35">
        <v>24</v>
      </c>
      <c r="I18" s="7">
        <v>20000</v>
      </c>
      <c r="J18" s="5">
        <v>5431</v>
      </c>
      <c r="K18" s="15">
        <f>L18+4377</f>
        <v>9808</v>
      </c>
      <c r="L18" s="15">
        <f>2542+2889</f>
        <v>5431</v>
      </c>
      <c r="M18" s="15">
        <f t="shared" si="1"/>
        <v>5431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0.53333333333333333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117</v>
      </c>
      <c r="E19" s="53" t="s">
        <v>267</v>
      </c>
      <c r="F19" s="30" t="s">
        <v>122</v>
      </c>
      <c r="G19" s="33">
        <v>1</v>
      </c>
      <c r="H19" s="35">
        <v>24</v>
      </c>
      <c r="I19" s="7">
        <v>30000</v>
      </c>
      <c r="J19" s="14">
        <v>4854</v>
      </c>
      <c r="K19" s="15">
        <f>L19+2307+2642+4597+4128+4807+4969</f>
        <v>28304</v>
      </c>
      <c r="L19" s="15">
        <f>2460+2394</f>
        <v>4854</v>
      </c>
      <c r="M19" s="15">
        <f t="shared" si="1"/>
        <v>4854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0">AC19*AB19*(1-O19)</f>
        <v>1</v>
      </c>
      <c r="AE19" s="36">
        <f t="shared" si="8"/>
        <v>0.53333333333333333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359</v>
      </c>
      <c r="F20" s="12" t="s">
        <v>116</v>
      </c>
      <c r="G20" s="12">
        <v>4</v>
      </c>
      <c r="H20" s="35">
        <v>20</v>
      </c>
      <c r="I20" s="7">
        <v>500000</v>
      </c>
      <c r="J20" s="14">
        <v>38232</v>
      </c>
      <c r="K20" s="15">
        <f>L20+37840</f>
        <v>76072</v>
      </c>
      <c r="L20" s="15">
        <f>9558*4</f>
        <v>38232</v>
      </c>
      <c r="M20" s="15">
        <f t="shared" si="1"/>
        <v>38232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0.53333333333333333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778950</v>
      </c>
      <c r="J21" s="19">
        <f t="shared" si="11"/>
        <v>184512</v>
      </c>
      <c r="K21" s="20">
        <f t="shared" si="11"/>
        <v>489878</v>
      </c>
      <c r="L21" s="21">
        <f t="shared" si="11"/>
        <v>180233</v>
      </c>
      <c r="M21" s="20">
        <f t="shared" si="11"/>
        <v>180233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192</v>
      </c>
      <c r="Q21" s="43">
        <f t="shared" si="12"/>
        <v>168</v>
      </c>
      <c r="R21" s="23">
        <f t="shared" si="12"/>
        <v>24</v>
      </c>
      <c r="S21" s="24">
        <f t="shared" si="12"/>
        <v>45</v>
      </c>
      <c r="T21" s="24">
        <f t="shared" si="12"/>
        <v>0</v>
      </c>
      <c r="U21" s="24">
        <f t="shared" si="12"/>
        <v>0</v>
      </c>
      <c r="V21" s="25">
        <f t="shared" si="12"/>
        <v>10</v>
      </c>
      <c r="W21" s="26">
        <f t="shared" si="12"/>
        <v>65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24</v>
      </c>
      <c r="AB21" s="28">
        <f>SUM(AB6:AB20)/15</f>
        <v>0.66666666666666663</v>
      </c>
      <c r="AC21" s="4">
        <f>SUM(AC6:AC20)/15</f>
        <v>0.53333333333333333</v>
      </c>
      <c r="AD21" s="4">
        <f>SUM(AD6:AD20)/15</f>
        <v>0.53333333333333333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375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377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245" t="s">
        <v>46</v>
      </c>
      <c r="D50" s="245" t="s">
        <v>47</v>
      </c>
      <c r="E50" s="245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245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242" t="s">
        <v>135</v>
      </c>
      <c r="D51" s="242" t="s">
        <v>157</v>
      </c>
      <c r="E51" s="242" t="s">
        <v>161</v>
      </c>
      <c r="F51" s="453" t="s">
        <v>206</v>
      </c>
      <c r="G51" s="454"/>
      <c r="H51" s="454"/>
      <c r="I51" s="454"/>
      <c r="J51" s="454"/>
      <c r="K51" s="454"/>
      <c r="L51" s="454"/>
      <c r="M51" s="455"/>
      <c r="N51" s="241" t="s">
        <v>351</v>
      </c>
      <c r="O51" s="239" t="s">
        <v>221</v>
      </c>
      <c r="P51" s="463" t="s">
        <v>123</v>
      </c>
      <c r="Q51" s="464"/>
      <c r="R51" s="452" t="s">
        <v>378</v>
      </c>
      <c r="S51" s="452"/>
      <c r="T51" s="452"/>
      <c r="U51" s="452"/>
      <c r="V51" s="442" t="s">
        <v>121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351</v>
      </c>
      <c r="B52" s="452"/>
      <c r="C52" s="242" t="s">
        <v>182</v>
      </c>
      <c r="D52" s="242" t="s">
        <v>117</v>
      </c>
      <c r="E52" s="242" t="s">
        <v>352</v>
      </c>
      <c r="F52" s="453" t="s">
        <v>206</v>
      </c>
      <c r="G52" s="454"/>
      <c r="H52" s="454"/>
      <c r="I52" s="454"/>
      <c r="J52" s="454"/>
      <c r="K52" s="454"/>
      <c r="L52" s="454"/>
      <c r="M52" s="455"/>
      <c r="N52" s="241" t="s">
        <v>114</v>
      </c>
      <c r="O52" s="239" t="s">
        <v>135</v>
      </c>
      <c r="P52" s="463" t="s">
        <v>117</v>
      </c>
      <c r="Q52" s="464"/>
      <c r="R52" s="452" t="s">
        <v>379</v>
      </c>
      <c r="S52" s="452"/>
      <c r="T52" s="452"/>
      <c r="U52" s="452"/>
      <c r="V52" s="442" t="s">
        <v>121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295</v>
      </c>
      <c r="B53" s="452"/>
      <c r="C53" s="242" t="s">
        <v>188</v>
      </c>
      <c r="D53" s="242" t="s">
        <v>357</v>
      </c>
      <c r="E53" s="242" t="s">
        <v>358</v>
      </c>
      <c r="F53" s="453" t="s">
        <v>137</v>
      </c>
      <c r="G53" s="454"/>
      <c r="H53" s="454"/>
      <c r="I53" s="454"/>
      <c r="J53" s="454"/>
      <c r="K53" s="454"/>
      <c r="L53" s="454"/>
      <c r="M53" s="455"/>
      <c r="N53" s="241" t="s">
        <v>339</v>
      </c>
      <c r="O53" s="239" t="s">
        <v>150</v>
      </c>
      <c r="P53" s="463"/>
      <c r="Q53" s="464"/>
      <c r="R53" s="452" t="s">
        <v>340</v>
      </c>
      <c r="S53" s="452"/>
      <c r="T53" s="452"/>
      <c r="U53" s="452"/>
      <c r="V53" s="442" t="s">
        <v>137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126</v>
      </c>
      <c r="B54" s="452"/>
      <c r="C54" s="242" t="s">
        <v>138</v>
      </c>
      <c r="D54" s="242" t="s">
        <v>117</v>
      </c>
      <c r="E54" s="242" t="s">
        <v>267</v>
      </c>
      <c r="F54" s="453" t="s">
        <v>321</v>
      </c>
      <c r="G54" s="454"/>
      <c r="H54" s="454"/>
      <c r="I54" s="454"/>
      <c r="J54" s="454"/>
      <c r="K54" s="454"/>
      <c r="L54" s="454"/>
      <c r="M54" s="455"/>
      <c r="N54" s="241" t="s">
        <v>339</v>
      </c>
      <c r="O54" s="239" t="s">
        <v>263</v>
      </c>
      <c r="P54" s="463"/>
      <c r="Q54" s="464"/>
      <c r="R54" s="452" t="s">
        <v>337</v>
      </c>
      <c r="S54" s="452"/>
      <c r="T54" s="452"/>
      <c r="U54" s="452"/>
      <c r="V54" s="442" t="s">
        <v>121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339</v>
      </c>
      <c r="B55" s="452"/>
      <c r="C55" s="242" t="s">
        <v>150</v>
      </c>
      <c r="D55" s="242"/>
      <c r="E55" s="242" t="s">
        <v>340</v>
      </c>
      <c r="F55" s="453" t="s">
        <v>376</v>
      </c>
      <c r="G55" s="454"/>
      <c r="H55" s="454"/>
      <c r="I55" s="454"/>
      <c r="J55" s="454"/>
      <c r="K55" s="454"/>
      <c r="L55" s="454"/>
      <c r="M55" s="455"/>
      <c r="N55" s="241"/>
      <c r="O55" s="239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126</v>
      </c>
      <c r="B56" s="452"/>
      <c r="C56" s="242" t="s">
        <v>182</v>
      </c>
      <c r="D56" s="242" t="s">
        <v>143</v>
      </c>
      <c r="E56" s="242" t="s">
        <v>364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241"/>
      <c r="O56" s="239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242"/>
      <c r="D57" s="242"/>
      <c r="E57" s="242"/>
      <c r="F57" s="453"/>
      <c r="G57" s="454"/>
      <c r="H57" s="454"/>
      <c r="I57" s="454"/>
      <c r="J57" s="454"/>
      <c r="K57" s="454"/>
      <c r="L57" s="454"/>
      <c r="M57" s="455"/>
      <c r="N57" s="241"/>
      <c r="O57" s="239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242"/>
      <c r="D58" s="242"/>
      <c r="E58" s="242"/>
      <c r="F58" s="453"/>
      <c r="G58" s="454"/>
      <c r="H58" s="454"/>
      <c r="I58" s="454"/>
      <c r="J58" s="454"/>
      <c r="K58" s="454"/>
      <c r="L58" s="454"/>
      <c r="M58" s="455"/>
      <c r="N58" s="241"/>
      <c r="O58" s="239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42"/>
      <c r="D59" s="242"/>
      <c r="E59" s="242"/>
      <c r="F59" s="453"/>
      <c r="G59" s="454"/>
      <c r="H59" s="454"/>
      <c r="I59" s="454"/>
      <c r="J59" s="454"/>
      <c r="K59" s="454"/>
      <c r="L59" s="454"/>
      <c r="M59" s="455"/>
      <c r="N59" s="241"/>
      <c r="O59" s="239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244"/>
      <c r="D60" s="244"/>
      <c r="E60" s="244"/>
      <c r="F60" s="459"/>
      <c r="G60" s="459"/>
      <c r="H60" s="459"/>
      <c r="I60" s="459"/>
      <c r="J60" s="459"/>
      <c r="K60" s="459"/>
      <c r="L60" s="459"/>
      <c r="M60" s="460"/>
      <c r="N60" s="243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380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240" t="s">
        <v>2</v>
      </c>
      <c r="D62" s="240" t="s">
        <v>37</v>
      </c>
      <c r="E62" s="240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240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 t="s">
        <v>154</v>
      </c>
      <c r="D63" s="235"/>
      <c r="E63" s="238"/>
      <c r="F63" s="440" t="s">
        <v>381</v>
      </c>
      <c r="G63" s="432"/>
      <c r="H63" s="432"/>
      <c r="I63" s="432"/>
      <c r="J63" s="432"/>
      <c r="K63" s="432" t="s">
        <v>368</v>
      </c>
      <c r="L63" s="432"/>
      <c r="M63" s="51" t="s">
        <v>293</v>
      </c>
      <c r="N63" s="443" t="s">
        <v>263</v>
      </c>
      <c r="O63" s="443"/>
      <c r="P63" s="441">
        <v>50</v>
      </c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 t="s">
        <v>154</v>
      </c>
      <c r="D64" s="235"/>
      <c r="E64" s="238"/>
      <c r="F64" s="440" t="s">
        <v>367</v>
      </c>
      <c r="G64" s="432"/>
      <c r="H64" s="432"/>
      <c r="I64" s="432"/>
      <c r="J64" s="432"/>
      <c r="K64" s="432" t="s">
        <v>368</v>
      </c>
      <c r="L64" s="432"/>
      <c r="M64" s="51" t="s">
        <v>293</v>
      </c>
      <c r="N64" s="443" t="s">
        <v>263</v>
      </c>
      <c r="O64" s="443"/>
      <c r="P64" s="441">
        <v>50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235"/>
      <c r="E65" s="238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235"/>
      <c r="E66" s="238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235"/>
      <c r="E67" s="238"/>
      <c r="F67" s="440"/>
      <c r="G67" s="432"/>
      <c r="H67" s="432"/>
      <c r="I67" s="432"/>
      <c r="J67" s="432"/>
      <c r="K67" s="432"/>
      <c r="L67" s="432"/>
      <c r="M67" s="51"/>
      <c r="N67" s="432"/>
      <c r="O67" s="432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235"/>
      <c r="E68" s="238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235"/>
      <c r="E69" s="238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235"/>
      <c r="E70" s="238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382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237" t="s">
        <v>2</v>
      </c>
      <c r="D72" s="237" t="s">
        <v>37</v>
      </c>
      <c r="E72" s="237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236" t="s">
        <v>114</v>
      </c>
      <c r="D73" s="236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235"/>
      <c r="D74" s="235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235"/>
      <c r="D75" s="235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235"/>
      <c r="D76" s="235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235"/>
      <c r="D77" s="235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235"/>
      <c r="D78" s="235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235"/>
      <c r="D79" s="235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235"/>
      <c r="D80" s="235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235"/>
      <c r="D81" s="235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383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7E7C-A6DA-4675-AD26-7A728CFE4BD2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384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247" t="s">
        <v>17</v>
      </c>
      <c r="L5" s="247" t="s">
        <v>18</v>
      </c>
      <c r="M5" s="247" t="s">
        <v>19</v>
      </c>
      <c r="N5" s="24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0.46111111111111108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0.46111111111111108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L8+693+1619</f>
        <v>2312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0.46111111111111108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119</v>
      </c>
      <c r="E9" s="53" t="s">
        <v>379</v>
      </c>
      <c r="F9" s="30" t="s">
        <v>124</v>
      </c>
      <c r="G9" s="33">
        <v>1</v>
      </c>
      <c r="H9" s="35">
        <v>24</v>
      </c>
      <c r="I9" s="7">
        <v>6000</v>
      </c>
      <c r="J9" s="14">
        <v>4702</v>
      </c>
      <c r="K9" s="15">
        <f>L9</f>
        <v>4702</v>
      </c>
      <c r="L9" s="15">
        <f>2640+2062</f>
        <v>4702</v>
      </c>
      <c r="M9" s="15">
        <f t="shared" si="1"/>
        <v>4702</v>
      </c>
      <c r="N9" s="15">
        <v>0</v>
      </c>
      <c r="O9" s="58">
        <f t="shared" si="2"/>
        <v>0</v>
      </c>
      <c r="P9" s="39">
        <f t="shared" si="3"/>
        <v>23</v>
      </c>
      <c r="Q9" s="40">
        <f t="shared" si="4"/>
        <v>1</v>
      </c>
      <c r="R9" s="7"/>
      <c r="S9" s="6"/>
      <c r="T9" s="16">
        <v>1</v>
      </c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0.95833333333333337</v>
      </c>
      <c r="AD9" s="10">
        <f t="shared" si="7"/>
        <v>0.95833333333333337</v>
      </c>
      <c r="AE9" s="36">
        <f t="shared" si="8"/>
        <v>0.46111111111111108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126</v>
      </c>
      <c r="D10" s="52" t="s">
        <v>222</v>
      </c>
      <c r="E10" s="53" t="s">
        <v>323</v>
      </c>
      <c r="F10" s="30" t="s">
        <v>144</v>
      </c>
      <c r="G10" s="33">
        <v>12</v>
      </c>
      <c r="H10" s="35">
        <v>24</v>
      </c>
      <c r="I10" s="7">
        <v>100000</v>
      </c>
      <c r="J10" s="5">
        <v>108096</v>
      </c>
      <c r="K10" s="15">
        <f>L10+13524+48780+100304+108096</f>
        <v>270704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0.46111111111111108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129</v>
      </c>
      <c r="E11" s="53" t="s">
        <v>335</v>
      </c>
      <c r="F11" s="12" t="s">
        <v>156</v>
      </c>
      <c r="G11" s="12">
        <v>1</v>
      </c>
      <c r="H11" s="13">
        <v>24</v>
      </c>
      <c r="I11" s="7">
        <v>20000</v>
      </c>
      <c r="J11" s="14">
        <v>714</v>
      </c>
      <c r="K11" s="15">
        <f>L11+5121+6367</f>
        <v>12202</v>
      </c>
      <c r="L11" s="15">
        <f>714</f>
        <v>714</v>
      </c>
      <c r="M11" s="15">
        <f t="shared" si="1"/>
        <v>714</v>
      </c>
      <c r="N11" s="15">
        <v>0</v>
      </c>
      <c r="O11" s="58">
        <f t="shared" si="2"/>
        <v>0</v>
      </c>
      <c r="P11" s="39">
        <f t="shared" si="3"/>
        <v>5</v>
      </c>
      <c r="Q11" s="40">
        <f t="shared" si="4"/>
        <v>19</v>
      </c>
      <c r="R11" s="7"/>
      <c r="S11" s="6"/>
      <c r="T11" s="16"/>
      <c r="U11" s="16"/>
      <c r="V11" s="17"/>
      <c r="W11" s="5">
        <v>19</v>
      </c>
      <c r="X11" s="16"/>
      <c r="Y11" s="16"/>
      <c r="Z11" s="16"/>
      <c r="AA11" s="18"/>
      <c r="AB11" s="8">
        <f t="shared" si="5"/>
        <v>1</v>
      </c>
      <c r="AC11" s="9">
        <f t="shared" si="6"/>
        <v>0.20833333333333334</v>
      </c>
      <c r="AD11" s="10">
        <f t="shared" si="7"/>
        <v>0.20833333333333334</v>
      </c>
      <c r="AE11" s="36">
        <f t="shared" si="8"/>
        <v>0.46111111111111108</v>
      </c>
      <c r="AF11" s="87">
        <f t="shared" si="9"/>
        <v>6</v>
      </c>
    </row>
    <row r="12" spans="1:32" ht="27" customHeight="1">
      <c r="A12" s="103">
        <v>6</v>
      </c>
      <c r="B12" s="11" t="s">
        <v>57</v>
      </c>
      <c r="C12" s="11" t="s">
        <v>351</v>
      </c>
      <c r="D12" s="52" t="s">
        <v>123</v>
      </c>
      <c r="E12" s="53" t="s">
        <v>378</v>
      </c>
      <c r="F12" s="30" t="s">
        <v>372</v>
      </c>
      <c r="G12" s="33">
        <v>2</v>
      </c>
      <c r="H12" s="35">
        <v>20</v>
      </c>
      <c r="I12" s="7">
        <v>40000</v>
      </c>
      <c r="J12" s="14">
        <v>10572</v>
      </c>
      <c r="K12" s="15">
        <f>L12</f>
        <v>10572</v>
      </c>
      <c r="L12" s="15">
        <f>3384*2+1902*2</f>
        <v>10572</v>
      </c>
      <c r="M12" s="15">
        <f t="shared" ref="M12" si="10">L12-N12</f>
        <v>10572</v>
      </c>
      <c r="N12" s="15">
        <v>0</v>
      </c>
      <c r="O12" s="58">
        <f t="shared" ref="O12" si="11">IF(L12=0,"0",N12/L12)</f>
        <v>0</v>
      </c>
      <c r="P12" s="39">
        <f t="shared" ref="P12" si="12">IF(L12=0,"0",(24-Q12))</f>
        <v>18</v>
      </c>
      <c r="Q12" s="40">
        <f t="shared" ref="Q12" si="13">SUM(R12:AA12)</f>
        <v>6</v>
      </c>
      <c r="R12" s="7"/>
      <c r="S12" s="6"/>
      <c r="T12" s="16">
        <v>6</v>
      </c>
      <c r="U12" s="16"/>
      <c r="V12" s="17"/>
      <c r="W12" s="5"/>
      <c r="X12" s="16"/>
      <c r="Y12" s="16"/>
      <c r="Z12" s="16"/>
      <c r="AA12" s="18"/>
      <c r="AB12" s="8">
        <f t="shared" ref="AB12" si="14">IF(J12=0,"0",(L12/J12))</f>
        <v>1</v>
      </c>
      <c r="AC12" s="9">
        <f t="shared" ref="AC12" si="15">IF(P12=0,"0",(P12/24))</f>
        <v>0.75</v>
      </c>
      <c r="AD12" s="10">
        <f t="shared" ref="AD12" si="16">AC12*AB12*(1-O12)</f>
        <v>0.75</v>
      </c>
      <c r="AE12" s="36">
        <f t="shared" si="8"/>
        <v>0.46111111111111108</v>
      </c>
      <c r="AF12" s="87">
        <f t="shared" ref="AF12" si="17">A12</f>
        <v>6</v>
      </c>
    </row>
    <row r="13" spans="1:32" ht="27" customHeight="1">
      <c r="A13" s="103">
        <v>7</v>
      </c>
      <c r="B13" s="11" t="s">
        <v>57</v>
      </c>
      <c r="C13" s="11" t="s">
        <v>351</v>
      </c>
      <c r="D13" s="52" t="s">
        <v>117</v>
      </c>
      <c r="E13" s="53" t="s">
        <v>352</v>
      </c>
      <c r="F13" s="30" t="s">
        <v>372</v>
      </c>
      <c r="G13" s="33">
        <v>2</v>
      </c>
      <c r="H13" s="35">
        <v>20</v>
      </c>
      <c r="I13" s="7">
        <v>40000</v>
      </c>
      <c r="J13" s="14">
        <v>10334</v>
      </c>
      <c r="K13" s="15">
        <f>L13+7450</f>
        <v>17784</v>
      </c>
      <c r="L13" s="15">
        <f>2768*2+2399*2</f>
        <v>10334</v>
      </c>
      <c r="M13" s="15">
        <f t="shared" si="1"/>
        <v>10334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0.46111111111111108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126</v>
      </c>
      <c r="D14" s="52" t="s">
        <v>143</v>
      </c>
      <c r="E14" s="53" t="s">
        <v>364</v>
      </c>
      <c r="F14" s="30" t="s">
        <v>373</v>
      </c>
      <c r="G14" s="33">
        <v>1</v>
      </c>
      <c r="H14" s="35">
        <v>24</v>
      </c>
      <c r="I14" s="7">
        <v>1000</v>
      </c>
      <c r="J14" s="14">
        <v>1329</v>
      </c>
      <c r="K14" s="15">
        <f>L14+1329</f>
        <v>1329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0.46111111111111108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225</v>
      </c>
      <c r="F15" s="30" t="s">
        <v>242</v>
      </c>
      <c r="G15" s="33">
        <v>1</v>
      </c>
      <c r="H15" s="35">
        <v>40</v>
      </c>
      <c r="I15" s="7">
        <v>500</v>
      </c>
      <c r="J15" s="5">
        <v>338</v>
      </c>
      <c r="K15" s="15">
        <f>L15+338+104</f>
        <v>442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0.46111111111111108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339</v>
      </c>
      <c r="D16" s="52"/>
      <c r="E16" s="53" t="s">
        <v>374</v>
      </c>
      <c r="F16" s="12" t="s">
        <v>155</v>
      </c>
      <c r="G16" s="12">
        <v>1</v>
      </c>
      <c r="H16" s="13">
        <v>24</v>
      </c>
      <c r="I16" s="31">
        <v>4750</v>
      </c>
      <c r="J16" s="14">
        <v>2929</v>
      </c>
      <c r="K16" s="15">
        <f>L16+2293</f>
        <v>5222</v>
      </c>
      <c r="L16" s="15">
        <f>1343+1586</f>
        <v>2929</v>
      </c>
      <c r="M16" s="15">
        <f t="shared" si="1"/>
        <v>2929</v>
      </c>
      <c r="N16" s="15">
        <v>0</v>
      </c>
      <c r="O16" s="58">
        <f t="shared" si="2"/>
        <v>0</v>
      </c>
      <c r="P16" s="39">
        <f t="shared" si="3"/>
        <v>17</v>
      </c>
      <c r="Q16" s="40">
        <f t="shared" si="4"/>
        <v>7</v>
      </c>
      <c r="R16" s="7"/>
      <c r="S16" s="6"/>
      <c r="T16" s="16"/>
      <c r="U16" s="16"/>
      <c r="V16" s="17"/>
      <c r="W16" s="5">
        <v>7</v>
      </c>
      <c r="X16" s="16"/>
      <c r="Y16" s="16"/>
      <c r="Z16" s="16"/>
      <c r="AA16" s="18"/>
      <c r="AB16" s="8">
        <f t="shared" si="5"/>
        <v>1</v>
      </c>
      <c r="AC16" s="9">
        <f t="shared" si="6"/>
        <v>0.70833333333333337</v>
      </c>
      <c r="AD16" s="10">
        <f t="shared" si="7"/>
        <v>0.70833333333333337</v>
      </c>
      <c r="AE16" s="36">
        <f t="shared" si="8"/>
        <v>0.46111111111111108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11" t="s">
        <v>286</v>
      </c>
      <c r="D17" s="52" t="s">
        <v>303</v>
      </c>
      <c r="E17" s="53" t="s">
        <v>285</v>
      </c>
      <c r="F17" s="12">
        <v>7301</v>
      </c>
      <c r="G17" s="12">
        <v>1</v>
      </c>
      <c r="H17" s="13">
        <v>24</v>
      </c>
      <c r="I17" s="7">
        <v>600</v>
      </c>
      <c r="J17" s="14">
        <v>2547</v>
      </c>
      <c r="K17" s="15">
        <f>L17+2547</f>
        <v>2547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0.46111111111111108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339</v>
      </c>
      <c r="D18" s="52"/>
      <c r="E18" s="53" t="s">
        <v>385</v>
      </c>
      <c r="F18" s="12" t="s">
        <v>155</v>
      </c>
      <c r="G18" s="12">
        <v>1</v>
      </c>
      <c r="H18" s="13">
        <v>24</v>
      </c>
      <c r="I18" s="31">
        <v>4750</v>
      </c>
      <c r="J18" s="14">
        <v>4466</v>
      </c>
      <c r="K18" s="15">
        <f>L18</f>
        <v>4466</v>
      </c>
      <c r="L18" s="15">
        <f>3298+1168</f>
        <v>4466</v>
      </c>
      <c r="M18" s="15">
        <f t="shared" si="1"/>
        <v>4466</v>
      </c>
      <c r="N18" s="15">
        <v>0</v>
      </c>
      <c r="O18" s="58">
        <f t="shared" si="2"/>
        <v>0</v>
      </c>
      <c r="P18" s="39">
        <f t="shared" si="3"/>
        <v>21</v>
      </c>
      <c r="Q18" s="40">
        <f t="shared" si="4"/>
        <v>3</v>
      </c>
      <c r="R18" s="7"/>
      <c r="S18" s="6"/>
      <c r="T18" s="16">
        <v>3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0.875</v>
      </c>
      <c r="AD18" s="10">
        <f t="shared" si="7"/>
        <v>0.875</v>
      </c>
      <c r="AE18" s="36">
        <f t="shared" si="8"/>
        <v>0.46111111111111108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114</v>
      </c>
      <c r="D19" s="52" t="s">
        <v>129</v>
      </c>
      <c r="E19" s="53" t="s">
        <v>266</v>
      </c>
      <c r="F19" s="30" t="s">
        <v>122</v>
      </c>
      <c r="G19" s="33">
        <v>1</v>
      </c>
      <c r="H19" s="35">
        <v>24</v>
      </c>
      <c r="I19" s="7">
        <v>20000</v>
      </c>
      <c r="J19" s="5">
        <v>4886</v>
      </c>
      <c r="K19" s="15">
        <f>L19+4377+5431</f>
        <v>14694</v>
      </c>
      <c r="L19" s="15">
        <f>2438+2448</f>
        <v>4886</v>
      </c>
      <c r="M19" s="15">
        <f t="shared" si="1"/>
        <v>4886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>AC19*AB19*(1-O19)</f>
        <v>1</v>
      </c>
      <c r="AE19" s="36">
        <f t="shared" si="8"/>
        <v>0.46111111111111108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117</v>
      </c>
      <c r="E20" s="53" t="s">
        <v>267</v>
      </c>
      <c r="F20" s="30" t="s">
        <v>122</v>
      </c>
      <c r="G20" s="33">
        <v>1</v>
      </c>
      <c r="H20" s="35">
        <v>24</v>
      </c>
      <c r="I20" s="7">
        <v>30000</v>
      </c>
      <c r="J20" s="14">
        <v>4019</v>
      </c>
      <c r="K20" s="15">
        <f>L20+2307+2642+4597+4128+4807+4969+4854</f>
        <v>32323</v>
      </c>
      <c r="L20" s="15">
        <f>1653+2366</f>
        <v>4019</v>
      </c>
      <c r="M20" s="15">
        <f t="shared" si="1"/>
        <v>4019</v>
      </c>
      <c r="N20" s="15">
        <v>0</v>
      </c>
      <c r="O20" s="58">
        <f t="shared" si="2"/>
        <v>0</v>
      </c>
      <c r="P20" s="39">
        <f t="shared" si="3"/>
        <v>20</v>
      </c>
      <c r="Q20" s="40">
        <f t="shared" si="4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0.83333333333333337</v>
      </c>
      <c r="AD20" s="10">
        <f t="shared" ref="AD20" si="18">AC20*AB20*(1-O20)</f>
        <v>0.83333333333333337</v>
      </c>
      <c r="AE20" s="36">
        <f t="shared" si="8"/>
        <v>0.46111111111111108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359</v>
      </c>
      <c r="F21" s="12" t="s">
        <v>116</v>
      </c>
      <c r="G21" s="12">
        <v>4</v>
      </c>
      <c r="H21" s="35">
        <v>20</v>
      </c>
      <c r="I21" s="7">
        <v>500000</v>
      </c>
      <c r="J21" s="14">
        <v>43088</v>
      </c>
      <c r="K21" s="15">
        <f>L21+37840+38232</f>
        <v>119160</v>
      </c>
      <c r="L21" s="15">
        <f>10772*4</f>
        <v>43088</v>
      </c>
      <c r="M21" s="15">
        <f t="shared" si="1"/>
        <v>43088</v>
      </c>
      <c r="N21" s="15">
        <v>0</v>
      </c>
      <c r="O21" s="58">
        <f t="shared" si="2"/>
        <v>0</v>
      </c>
      <c r="P21" s="39">
        <f t="shared" si="3"/>
        <v>14</v>
      </c>
      <c r="Q21" s="40">
        <f t="shared" si="4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0.58333333333333337</v>
      </c>
      <c r="AD21" s="10">
        <f t="shared" si="7"/>
        <v>0.58333333333333337</v>
      </c>
      <c r="AE21" s="36">
        <f t="shared" si="8"/>
        <v>0.46111111111111108</v>
      </c>
      <c r="AF21" s="87">
        <f t="shared" si="9"/>
        <v>15</v>
      </c>
    </row>
    <row r="22" spans="1:32" ht="31.5" customHeight="1" thickBot="1">
      <c r="A22" s="467" t="s">
        <v>34</v>
      </c>
      <c r="B22" s="468"/>
      <c r="C22" s="468"/>
      <c r="D22" s="468"/>
      <c r="E22" s="468"/>
      <c r="F22" s="468"/>
      <c r="G22" s="468"/>
      <c r="H22" s="469"/>
      <c r="I22" s="22">
        <f t="shared" ref="I22:N22" si="19">SUM(I6:I21)</f>
        <v>768600</v>
      </c>
      <c r="J22" s="19">
        <f t="shared" si="19"/>
        <v>199639</v>
      </c>
      <c r="K22" s="20">
        <f t="shared" si="19"/>
        <v>498459</v>
      </c>
      <c r="L22" s="21">
        <f t="shared" si="19"/>
        <v>85710</v>
      </c>
      <c r="M22" s="20">
        <f t="shared" si="19"/>
        <v>85710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166</v>
      </c>
      <c r="Q22" s="43">
        <f t="shared" si="20"/>
        <v>218</v>
      </c>
      <c r="R22" s="23">
        <f t="shared" si="20"/>
        <v>24</v>
      </c>
      <c r="S22" s="24">
        <f t="shared" si="20"/>
        <v>28</v>
      </c>
      <c r="T22" s="24">
        <f t="shared" si="20"/>
        <v>10</v>
      </c>
      <c r="U22" s="24">
        <f t="shared" si="20"/>
        <v>0</v>
      </c>
      <c r="V22" s="25">
        <f t="shared" si="20"/>
        <v>10</v>
      </c>
      <c r="W22" s="26">
        <f t="shared" si="20"/>
        <v>146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0.6</v>
      </c>
      <c r="AC22" s="4">
        <f>SUM(AC6:AC21)/15</f>
        <v>0.46111111111111108</v>
      </c>
      <c r="AD22" s="4">
        <f>SUM(AD6:AD21)/15</f>
        <v>0.46111111111111108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70" t="s">
        <v>45</v>
      </c>
      <c r="B49" s="470"/>
      <c r="C49" s="470"/>
      <c r="D49" s="470"/>
      <c r="E49" s="47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71" t="s">
        <v>386</v>
      </c>
      <c r="B50" s="472"/>
      <c r="C50" s="472"/>
      <c r="D50" s="472"/>
      <c r="E50" s="472"/>
      <c r="F50" s="472"/>
      <c r="G50" s="472"/>
      <c r="H50" s="472"/>
      <c r="I50" s="472"/>
      <c r="J50" s="472"/>
      <c r="K50" s="472"/>
      <c r="L50" s="472"/>
      <c r="M50" s="473"/>
      <c r="N50" s="474" t="s">
        <v>388</v>
      </c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6"/>
    </row>
    <row r="51" spans="1:32" ht="27" customHeight="1">
      <c r="A51" s="477" t="s">
        <v>2</v>
      </c>
      <c r="B51" s="478"/>
      <c r="C51" s="248" t="s">
        <v>46</v>
      </c>
      <c r="D51" s="248" t="s">
        <v>47</v>
      </c>
      <c r="E51" s="248" t="s">
        <v>108</v>
      </c>
      <c r="F51" s="478" t="s">
        <v>107</v>
      </c>
      <c r="G51" s="478"/>
      <c r="H51" s="478"/>
      <c r="I51" s="478"/>
      <c r="J51" s="478"/>
      <c r="K51" s="478"/>
      <c r="L51" s="478"/>
      <c r="M51" s="479"/>
      <c r="N51" s="67" t="s">
        <v>112</v>
      </c>
      <c r="O51" s="248" t="s">
        <v>46</v>
      </c>
      <c r="P51" s="480" t="s">
        <v>47</v>
      </c>
      <c r="Q51" s="481"/>
      <c r="R51" s="480" t="s">
        <v>38</v>
      </c>
      <c r="S51" s="482"/>
      <c r="T51" s="482"/>
      <c r="U51" s="481"/>
      <c r="V51" s="480" t="s">
        <v>48</v>
      </c>
      <c r="W51" s="482"/>
      <c r="X51" s="482"/>
      <c r="Y51" s="482"/>
      <c r="Z51" s="482"/>
      <c r="AA51" s="482"/>
      <c r="AB51" s="482"/>
      <c r="AC51" s="482"/>
      <c r="AD51" s="483"/>
    </row>
    <row r="52" spans="1:32" ht="27" customHeight="1">
      <c r="A52" s="451" t="s">
        <v>114</v>
      </c>
      <c r="B52" s="452"/>
      <c r="C52" s="250" t="s">
        <v>135</v>
      </c>
      <c r="D52" s="250" t="s">
        <v>117</v>
      </c>
      <c r="E52" s="250" t="s">
        <v>379</v>
      </c>
      <c r="F52" s="453" t="s">
        <v>121</v>
      </c>
      <c r="G52" s="454"/>
      <c r="H52" s="454"/>
      <c r="I52" s="454"/>
      <c r="J52" s="454"/>
      <c r="K52" s="454"/>
      <c r="L52" s="454"/>
      <c r="M52" s="455"/>
      <c r="N52" s="249" t="s">
        <v>351</v>
      </c>
      <c r="O52" s="255" t="s">
        <v>136</v>
      </c>
      <c r="P52" s="463" t="s">
        <v>320</v>
      </c>
      <c r="Q52" s="464"/>
      <c r="R52" s="452" t="s">
        <v>389</v>
      </c>
      <c r="S52" s="452"/>
      <c r="T52" s="452"/>
      <c r="U52" s="452"/>
      <c r="V52" s="442" t="s">
        <v>121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351</v>
      </c>
      <c r="B53" s="452"/>
      <c r="C53" s="250" t="s">
        <v>221</v>
      </c>
      <c r="D53" s="250" t="s">
        <v>123</v>
      </c>
      <c r="E53" s="250" t="s">
        <v>378</v>
      </c>
      <c r="F53" s="453" t="s">
        <v>121</v>
      </c>
      <c r="G53" s="454"/>
      <c r="H53" s="454"/>
      <c r="I53" s="454"/>
      <c r="J53" s="454"/>
      <c r="K53" s="454"/>
      <c r="L53" s="454"/>
      <c r="M53" s="455"/>
      <c r="N53" s="249" t="s">
        <v>391</v>
      </c>
      <c r="O53" s="255" t="s">
        <v>150</v>
      </c>
      <c r="P53" s="463"/>
      <c r="Q53" s="464"/>
      <c r="R53" s="452" t="s">
        <v>390</v>
      </c>
      <c r="S53" s="452"/>
      <c r="T53" s="452"/>
      <c r="U53" s="452"/>
      <c r="V53" s="442" t="s">
        <v>121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339</v>
      </c>
      <c r="B54" s="452"/>
      <c r="C54" s="250" t="s">
        <v>150</v>
      </c>
      <c r="D54" s="250"/>
      <c r="E54" s="250" t="s">
        <v>340</v>
      </c>
      <c r="F54" s="453" t="s">
        <v>137</v>
      </c>
      <c r="G54" s="454"/>
      <c r="H54" s="454"/>
      <c r="I54" s="454"/>
      <c r="J54" s="454"/>
      <c r="K54" s="454"/>
      <c r="L54" s="454"/>
      <c r="M54" s="455"/>
      <c r="N54" s="249"/>
      <c r="O54" s="255"/>
      <c r="P54" s="463"/>
      <c r="Q54" s="464"/>
      <c r="R54" s="452"/>
      <c r="S54" s="452"/>
      <c r="T54" s="452"/>
      <c r="U54" s="452"/>
      <c r="V54" s="442"/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126</v>
      </c>
      <c r="B55" s="452"/>
      <c r="C55" s="250" t="s">
        <v>138</v>
      </c>
      <c r="D55" s="250" t="s">
        <v>117</v>
      </c>
      <c r="E55" s="250" t="s">
        <v>267</v>
      </c>
      <c r="F55" s="453" t="s">
        <v>387</v>
      </c>
      <c r="G55" s="454"/>
      <c r="H55" s="454"/>
      <c r="I55" s="454"/>
      <c r="J55" s="454"/>
      <c r="K55" s="454"/>
      <c r="L55" s="454"/>
      <c r="M55" s="455"/>
      <c r="N55" s="249"/>
      <c r="O55" s="255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339</v>
      </c>
      <c r="B56" s="452"/>
      <c r="C56" s="250" t="s">
        <v>150</v>
      </c>
      <c r="D56" s="250"/>
      <c r="E56" s="250" t="s">
        <v>337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249"/>
      <c r="O56" s="255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250"/>
      <c r="D57" s="250"/>
      <c r="E57" s="250"/>
      <c r="F57" s="453"/>
      <c r="G57" s="454"/>
      <c r="H57" s="454"/>
      <c r="I57" s="454"/>
      <c r="J57" s="454"/>
      <c r="K57" s="454"/>
      <c r="L57" s="454"/>
      <c r="M57" s="455"/>
      <c r="N57" s="249"/>
      <c r="O57" s="255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250"/>
      <c r="D58" s="250"/>
      <c r="E58" s="250"/>
      <c r="F58" s="453"/>
      <c r="G58" s="454"/>
      <c r="H58" s="454"/>
      <c r="I58" s="454"/>
      <c r="J58" s="454"/>
      <c r="K58" s="454"/>
      <c r="L58" s="454"/>
      <c r="M58" s="455"/>
      <c r="N58" s="249"/>
      <c r="O58" s="255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50"/>
      <c r="D59" s="250"/>
      <c r="E59" s="250"/>
      <c r="F59" s="453"/>
      <c r="G59" s="454"/>
      <c r="H59" s="454"/>
      <c r="I59" s="454"/>
      <c r="J59" s="454"/>
      <c r="K59" s="454"/>
      <c r="L59" s="454"/>
      <c r="M59" s="455"/>
      <c r="N59" s="249"/>
      <c r="O59" s="255"/>
      <c r="P59" s="463"/>
      <c r="Q59" s="464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/>
      <c r="B60" s="452"/>
      <c r="C60" s="250"/>
      <c r="D60" s="250"/>
      <c r="E60" s="250"/>
      <c r="F60" s="453"/>
      <c r="G60" s="454"/>
      <c r="H60" s="454"/>
      <c r="I60" s="454"/>
      <c r="J60" s="454"/>
      <c r="K60" s="454"/>
      <c r="L60" s="454"/>
      <c r="M60" s="455"/>
      <c r="N60" s="249"/>
      <c r="O60" s="255"/>
      <c r="P60" s="452"/>
      <c r="Q60" s="452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  <c r="AF60" s="87">
        <f>8*3000</f>
        <v>24000</v>
      </c>
    </row>
    <row r="61" spans="1:32" ht="27" customHeight="1" thickBot="1">
      <c r="A61" s="457"/>
      <c r="B61" s="458"/>
      <c r="C61" s="252"/>
      <c r="D61" s="252"/>
      <c r="E61" s="252"/>
      <c r="F61" s="459"/>
      <c r="G61" s="459"/>
      <c r="H61" s="459"/>
      <c r="I61" s="459"/>
      <c r="J61" s="459"/>
      <c r="K61" s="459"/>
      <c r="L61" s="459"/>
      <c r="M61" s="460"/>
      <c r="N61" s="251"/>
      <c r="O61" s="114"/>
      <c r="P61" s="458"/>
      <c r="Q61" s="458"/>
      <c r="R61" s="458"/>
      <c r="S61" s="458"/>
      <c r="T61" s="458"/>
      <c r="U61" s="458"/>
      <c r="V61" s="461"/>
      <c r="W61" s="461"/>
      <c r="X61" s="461"/>
      <c r="Y61" s="461"/>
      <c r="Z61" s="461"/>
      <c r="AA61" s="461"/>
      <c r="AB61" s="461"/>
      <c r="AC61" s="461"/>
      <c r="AD61" s="462"/>
      <c r="AF61" s="87">
        <f>16*3000</f>
        <v>48000</v>
      </c>
    </row>
    <row r="62" spans="1:32" ht="27.75" thickBot="1">
      <c r="A62" s="449" t="s">
        <v>392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50" t="s">
        <v>113</v>
      </c>
      <c r="B63" s="447"/>
      <c r="C63" s="253" t="s">
        <v>2</v>
      </c>
      <c r="D63" s="253" t="s">
        <v>37</v>
      </c>
      <c r="E63" s="253" t="s">
        <v>3</v>
      </c>
      <c r="F63" s="447" t="s">
        <v>110</v>
      </c>
      <c r="G63" s="447"/>
      <c r="H63" s="447"/>
      <c r="I63" s="447"/>
      <c r="J63" s="447"/>
      <c r="K63" s="447" t="s">
        <v>39</v>
      </c>
      <c r="L63" s="447"/>
      <c r="M63" s="253" t="s">
        <v>40</v>
      </c>
      <c r="N63" s="447" t="s">
        <v>41</v>
      </c>
      <c r="O63" s="447"/>
      <c r="P63" s="444" t="s">
        <v>42</v>
      </c>
      <c r="Q63" s="446"/>
      <c r="R63" s="444" t="s">
        <v>43</v>
      </c>
      <c r="S63" s="445"/>
      <c r="T63" s="445"/>
      <c r="U63" s="445"/>
      <c r="V63" s="445"/>
      <c r="W63" s="445"/>
      <c r="X63" s="445"/>
      <c r="Y63" s="445"/>
      <c r="Z63" s="445"/>
      <c r="AA63" s="446"/>
      <c r="AB63" s="447" t="s">
        <v>44</v>
      </c>
      <c r="AC63" s="447"/>
      <c r="AD63" s="448"/>
      <c r="AF63" s="87">
        <f>SUM(AF60:AF62)</f>
        <v>96000</v>
      </c>
    </row>
    <row r="64" spans="1:32" ht="25.5" customHeight="1">
      <c r="A64" s="438">
        <v>1</v>
      </c>
      <c r="B64" s="439"/>
      <c r="C64" s="117" t="s">
        <v>351</v>
      </c>
      <c r="D64" s="257"/>
      <c r="E64" s="254" t="s">
        <v>393</v>
      </c>
      <c r="F64" s="440" t="s">
        <v>394</v>
      </c>
      <c r="G64" s="432"/>
      <c r="H64" s="432"/>
      <c r="I64" s="432"/>
      <c r="J64" s="432"/>
      <c r="K64" s="432" t="s">
        <v>372</v>
      </c>
      <c r="L64" s="432"/>
      <c r="M64" s="51" t="s">
        <v>293</v>
      </c>
      <c r="N64" s="443" t="s">
        <v>147</v>
      </c>
      <c r="O64" s="443"/>
      <c r="P64" s="441">
        <v>50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2</v>
      </c>
      <c r="B65" s="439"/>
      <c r="C65" s="117" t="s">
        <v>114</v>
      </c>
      <c r="D65" s="257"/>
      <c r="E65" s="254" t="s">
        <v>119</v>
      </c>
      <c r="F65" s="440" t="s">
        <v>395</v>
      </c>
      <c r="G65" s="432"/>
      <c r="H65" s="432"/>
      <c r="I65" s="432"/>
      <c r="J65" s="432"/>
      <c r="K65" s="432" t="s">
        <v>162</v>
      </c>
      <c r="L65" s="432"/>
      <c r="M65" s="51" t="s">
        <v>293</v>
      </c>
      <c r="N65" s="443" t="s">
        <v>226</v>
      </c>
      <c r="O65" s="443"/>
      <c r="P65" s="441">
        <v>20</v>
      </c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3</v>
      </c>
      <c r="B66" s="439"/>
      <c r="C66" s="117" t="s">
        <v>114</v>
      </c>
      <c r="D66" s="257"/>
      <c r="E66" s="254" t="s">
        <v>117</v>
      </c>
      <c r="F66" s="440" t="s">
        <v>396</v>
      </c>
      <c r="G66" s="432"/>
      <c r="H66" s="432"/>
      <c r="I66" s="432"/>
      <c r="J66" s="432"/>
      <c r="K66" s="432" t="s">
        <v>162</v>
      </c>
      <c r="L66" s="432"/>
      <c r="M66" s="51" t="s">
        <v>299</v>
      </c>
      <c r="N66" s="443" t="s">
        <v>182</v>
      </c>
      <c r="O66" s="443"/>
      <c r="P66" s="441">
        <v>50</v>
      </c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4</v>
      </c>
      <c r="B67" s="439"/>
      <c r="C67" s="117" t="s">
        <v>114</v>
      </c>
      <c r="D67" s="257"/>
      <c r="E67" s="254" t="s">
        <v>397</v>
      </c>
      <c r="F67" s="440" t="s">
        <v>398</v>
      </c>
      <c r="G67" s="432"/>
      <c r="H67" s="432"/>
      <c r="I67" s="432"/>
      <c r="J67" s="432"/>
      <c r="K67" s="432" t="s">
        <v>162</v>
      </c>
      <c r="L67" s="432"/>
      <c r="M67" s="51" t="s">
        <v>299</v>
      </c>
      <c r="N67" s="443" t="s">
        <v>182</v>
      </c>
      <c r="O67" s="443"/>
      <c r="P67" s="441">
        <v>50</v>
      </c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5</v>
      </c>
      <c r="B68" s="439"/>
      <c r="C68" s="117" t="s">
        <v>339</v>
      </c>
      <c r="D68" s="257"/>
      <c r="E68" s="254" t="s">
        <v>399</v>
      </c>
      <c r="F68" s="440" t="s">
        <v>400</v>
      </c>
      <c r="G68" s="432"/>
      <c r="H68" s="432"/>
      <c r="I68" s="432"/>
      <c r="J68" s="432"/>
      <c r="K68" s="432" t="s">
        <v>162</v>
      </c>
      <c r="L68" s="432"/>
      <c r="M68" s="51" t="s">
        <v>231</v>
      </c>
      <c r="N68" s="443" t="s">
        <v>182</v>
      </c>
      <c r="O68" s="443"/>
      <c r="P68" s="441">
        <v>50</v>
      </c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6</v>
      </c>
      <c r="B69" s="439"/>
      <c r="C69" s="117"/>
      <c r="D69" s="257"/>
      <c r="E69" s="254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7</v>
      </c>
      <c r="B70" s="439"/>
      <c r="C70" s="117"/>
      <c r="D70" s="257"/>
      <c r="E70" s="254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8</v>
      </c>
      <c r="B71" s="439"/>
      <c r="C71" s="117"/>
      <c r="D71" s="257"/>
      <c r="E71" s="254"/>
      <c r="F71" s="440"/>
      <c r="G71" s="432"/>
      <c r="H71" s="432"/>
      <c r="I71" s="432"/>
      <c r="J71" s="432"/>
      <c r="K71" s="432"/>
      <c r="L71" s="432"/>
      <c r="M71" s="51"/>
      <c r="N71" s="432"/>
      <c r="O71" s="432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6.25" customHeight="1" thickBot="1">
      <c r="A72" s="412" t="s">
        <v>401</v>
      </c>
      <c r="B72" s="412"/>
      <c r="C72" s="412"/>
      <c r="D72" s="412"/>
      <c r="E72" s="41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3" t="s">
        <v>113</v>
      </c>
      <c r="B73" s="414"/>
      <c r="C73" s="256" t="s">
        <v>2</v>
      </c>
      <c r="D73" s="256" t="s">
        <v>37</v>
      </c>
      <c r="E73" s="256" t="s">
        <v>3</v>
      </c>
      <c r="F73" s="414" t="s">
        <v>38</v>
      </c>
      <c r="G73" s="414"/>
      <c r="H73" s="414"/>
      <c r="I73" s="414"/>
      <c r="J73" s="414"/>
      <c r="K73" s="434" t="s">
        <v>58</v>
      </c>
      <c r="L73" s="435"/>
      <c r="M73" s="435"/>
      <c r="N73" s="435"/>
      <c r="O73" s="435"/>
      <c r="P73" s="435"/>
      <c r="Q73" s="435"/>
      <c r="R73" s="435"/>
      <c r="S73" s="436"/>
      <c r="T73" s="414" t="s">
        <v>49</v>
      </c>
      <c r="U73" s="414"/>
      <c r="V73" s="434" t="s">
        <v>50</v>
      </c>
      <c r="W73" s="436"/>
      <c r="X73" s="435" t="s">
        <v>51</v>
      </c>
      <c r="Y73" s="435"/>
      <c r="Z73" s="435"/>
      <c r="AA73" s="435"/>
      <c r="AB73" s="435"/>
      <c r="AC73" s="435"/>
      <c r="AD73" s="437"/>
      <c r="AF73" s="50"/>
    </row>
    <row r="74" spans="1:32" ht="33.75" customHeight="1">
      <c r="A74" s="406">
        <v>1</v>
      </c>
      <c r="B74" s="407"/>
      <c r="C74" s="258" t="s">
        <v>114</v>
      </c>
      <c r="D74" s="258"/>
      <c r="E74" s="65" t="s">
        <v>119</v>
      </c>
      <c r="F74" s="421" t="s">
        <v>118</v>
      </c>
      <c r="G74" s="422"/>
      <c r="H74" s="422"/>
      <c r="I74" s="422"/>
      <c r="J74" s="423"/>
      <c r="K74" s="424" t="s">
        <v>120</v>
      </c>
      <c r="L74" s="425"/>
      <c r="M74" s="425"/>
      <c r="N74" s="425"/>
      <c r="O74" s="425"/>
      <c r="P74" s="425"/>
      <c r="Q74" s="425"/>
      <c r="R74" s="425"/>
      <c r="S74" s="426"/>
      <c r="T74" s="427">
        <v>43384</v>
      </c>
      <c r="U74" s="428"/>
      <c r="V74" s="429"/>
      <c r="W74" s="429"/>
      <c r="X74" s="430"/>
      <c r="Y74" s="430"/>
      <c r="Z74" s="430"/>
      <c r="AA74" s="430"/>
      <c r="AB74" s="430"/>
      <c r="AC74" s="430"/>
      <c r="AD74" s="431"/>
      <c r="AF74" s="50"/>
    </row>
    <row r="75" spans="1:32" ht="30" customHeight="1">
      <c r="A75" s="399">
        <f>A74+1</f>
        <v>2</v>
      </c>
      <c r="B75" s="400"/>
      <c r="C75" s="257"/>
      <c r="D75" s="257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ref="A76:A82" si="21">A75+1</f>
        <v>3</v>
      </c>
      <c r="B76" s="400"/>
      <c r="C76" s="257"/>
      <c r="D76" s="257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21"/>
        <v>4</v>
      </c>
      <c r="B77" s="400"/>
      <c r="C77" s="257"/>
      <c r="D77" s="257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21"/>
        <v>5</v>
      </c>
      <c r="B78" s="400"/>
      <c r="C78" s="257"/>
      <c r="D78" s="257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21"/>
        <v>6</v>
      </c>
      <c r="B79" s="400"/>
      <c r="C79" s="257"/>
      <c r="D79" s="257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21"/>
        <v>7</v>
      </c>
      <c r="B80" s="400"/>
      <c r="C80" s="257"/>
      <c r="D80" s="257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21"/>
        <v>8</v>
      </c>
      <c r="B81" s="400"/>
      <c r="C81" s="257"/>
      <c r="D81" s="257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21"/>
        <v>9</v>
      </c>
      <c r="B82" s="400"/>
      <c r="C82" s="257"/>
      <c r="D82" s="257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6" thickBot="1">
      <c r="A83" s="412" t="s">
        <v>402</v>
      </c>
      <c r="B83" s="412"/>
      <c r="C83" s="412"/>
      <c r="D83" s="412"/>
      <c r="E83" s="41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3" t="s">
        <v>113</v>
      </c>
      <c r="B84" s="414"/>
      <c r="C84" s="404" t="s">
        <v>52</v>
      </c>
      <c r="D84" s="404"/>
      <c r="E84" s="404" t="s">
        <v>53</v>
      </c>
      <c r="F84" s="404"/>
      <c r="G84" s="404"/>
      <c r="H84" s="404"/>
      <c r="I84" s="404"/>
      <c r="J84" s="404"/>
      <c r="K84" s="404" t="s">
        <v>54</v>
      </c>
      <c r="L84" s="404"/>
      <c r="M84" s="404"/>
      <c r="N84" s="404"/>
      <c r="O84" s="404"/>
      <c r="P84" s="404"/>
      <c r="Q84" s="404"/>
      <c r="R84" s="404"/>
      <c r="S84" s="404"/>
      <c r="T84" s="404" t="s">
        <v>55</v>
      </c>
      <c r="U84" s="404"/>
      <c r="V84" s="404" t="s">
        <v>56</v>
      </c>
      <c r="W84" s="404"/>
      <c r="X84" s="404"/>
      <c r="Y84" s="404" t="s">
        <v>51</v>
      </c>
      <c r="Z84" s="404"/>
      <c r="AA84" s="404"/>
      <c r="AB84" s="404"/>
      <c r="AC84" s="404"/>
      <c r="AD84" s="405"/>
      <c r="AF84" s="50"/>
    </row>
    <row r="85" spans="1:32" ht="30.75" customHeight="1">
      <c r="A85" s="406">
        <v>1</v>
      </c>
      <c r="B85" s="407"/>
      <c r="C85" s="408"/>
      <c r="D85" s="408"/>
      <c r="E85" s="408"/>
      <c r="F85" s="408"/>
      <c r="G85" s="408"/>
      <c r="H85" s="408"/>
      <c r="I85" s="408"/>
      <c r="J85" s="408"/>
      <c r="K85" s="408"/>
      <c r="L85" s="408"/>
      <c r="M85" s="408"/>
      <c r="N85" s="408"/>
      <c r="O85" s="408"/>
      <c r="P85" s="408"/>
      <c r="Q85" s="408"/>
      <c r="R85" s="408"/>
      <c r="S85" s="408"/>
      <c r="T85" s="408"/>
      <c r="U85" s="408"/>
      <c r="V85" s="409"/>
      <c r="W85" s="409"/>
      <c r="X85" s="409"/>
      <c r="Y85" s="410"/>
      <c r="Z85" s="410"/>
      <c r="AA85" s="410"/>
      <c r="AB85" s="410"/>
      <c r="AC85" s="410"/>
      <c r="AD85" s="411"/>
      <c r="AF85" s="50"/>
    </row>
    <row r="86" spans="1:32" ht="30.75" customHeight="1">
      <c r="A86" s="399">
        <v>2</v>
      </c>
      <c r="B86" s="400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  <c r="Q86" s="401"/>
      <c r="R86" s="401"/>
      <c r="S86" s="401"/>
      <c r="T86" s="402"/>
      <c r="U86" s="402"/>
      <c r="V86" s="403"/>
      <c r="W86" s="403"/>
      <c r="X86" s="403"/>
      <c r="Y86" s="392"/>
      <c r="Z86" s="392"/>
      <c r="AA86" s="392"/>
      <c r="AB86" s="392"/>
      <c r="AC86" s="392"/>
      <c r="AD86" s="393"/>
      <c r="AF86" s="50"/>
    </row>
    <row r="87" spans="1:32" ht="30.75" customHeight="1" thickBot="1">
      <c r="A87" s="394">
        <v>3</v>
      </c>
      <c r="B87" s="395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M87" s="396"/>
      <c r="N87" s="396"/>
      <c r="O87" s="396"/>
      <c r="P87" s="396"/>
      <c r="Q87" s="396"/>
      <c r="R87" s="396"/>
      <c r="S87" s="396"/>
      <c r="T87" s="396"/>
      <c r="U87" s="396"/>
      <c r="V87" s="396"/>
      <c r="W87" s="396"/>
      <c r="X87" s="396"/>
      <c r="Y87" s="397"/>
      <c r="Z87" s="397"/>
      <c r="AA87" s="397"/>
      <c r="AB87" s="397"/>
      <c r="AC87" s="397"/>
      <c r="AD87" s="398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2104-A9FF-487D-9DAF-A4B055D68FD8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403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0.41666666666666674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0.41666666666666674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L8+693+1619</f>
        <v>2312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0.41666666666666674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119</v>
      </c>
      <c r="E9" s="53" t="s">
        <v>379</v>
      </c>
      <c r="F9" s="30" t="s">
        <v>124</v>
      </c>
      <c r="G9" s="33">
        <v>1</v>
      </c>
      <c r="H9" s="35">
        <v>24</v>
      </c>
      <c r="I9" s="7">
        <v>6000</v>
      </c>
      <c r="J9" s="14">
        <v>2915</v>
      </c>
      <c r="K9" s="15">
        <f>L9+4702</f>
        <v>7617</v>
      </c>
      <c r="L9" s="15">
        <f>805+2110</f>
        <v>2915</v>
      </c>
      <c r="M9" s="15">
        <f t="shared" si="1"/>
        <v>2915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/>
      <c r="T9" s="16"/>
      <c r="U9" s="16"/>
      <c r="V9" s="17"/>
      <c r="W9" s="5">
        <v>6</v>
      </c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0.41666666666666674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126</v>
      </c>
      <c r="D10" s="52" t="s">
        <v>222</v>
      </c>
      <c r="E10" s="53" t="s">
        <v>323</v>
      </c>
      <c r="F10" s="30" t="s">
        <v>144</v>
      </c>
      <c r="G10" s="33">
        <v>12</v>
      </c>
      <c r="H10" s="35">
        <v>24</v>
      </c>
      <c r="I10" s="7">
        <v>100000</v>
      </c>
      <c r="J10" s="5">
        <v>108096</v>
      </c>
      <c r="K10" s="15">
        <f>L10+13524+48780+100304+108096</f>
        <v>270704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0.41666666666666674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351</v>
      </c>
      <c r="D11" s="52" t="s">
        <v>123</v>
      </c>
      <c r="E11" s="53" t="s">
        <v>378</v>
      </c>
      <c r="F11" s="30" t="s">
        <v>372</v>
      </c>
      <c r="G11" s="33">
        <v>2</v>
      </c>
      <c r="H11" s="35">
        <v>20</v>
      </c>
      <c r="I11" s="7">
        <v>40000</v>
      </c>
      <c r="J11" s="14">
        <v>12976</v>
      </c>
      <c r="K11" s="15">
        <f>L11+10572</f>
        <v>23548</v>
      </c>
      <c r="L11" s="15">
        <f>3512*2+2976*2</f>
        <v>12976</v>
      </c>
      <c r="M11" s="15">
        <f t="shared" si="1"/>
        <v>12976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si="7"/>
        <v>1</v>
      </c>
      <c r="AE11" s="36">
        <f t="shared" si="8"/>
        <v>0.41666666666666674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351</v>
      </c>
      <c r="D12" s="52" t="s">
        <v>117</v>
      </c>
      <c r="E12" s="53" t="s">
        <v>352</v>
      </c>
      <c r="F12" s="30" t="s">
        <v>372</v>
      </c>
      <c r="G12" s="33">
        <v>2</v>
      </c>
      <c r="H12" s="35">
        <v>20</v>
      </c>
      <c r="I12" s="7">
        <v>40000</v>
      </c>
      <c r="J12" s="14">
        <v>10638</v>
      </c>
      <c r="K12" s="15">
        <f>L12+7450+10334</f>
        <v>28422</v>
      </c>
      <c r="L12" s="15">
        <f>2868*2+2451*2</f>
        <v>10638</v>
      </c>
      <c r="M12" s="15">
        <f t="shared" si="1"/>
        <v>10638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0.41666666666666674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143</v>
      </c>
      <c r="E13" s="53" t="s">
        <v>364</v>
      </c>
      <c r="F13" s="30" t="s">
        <v>373</v>
      </c>
      <c r="G13" s="33">
        <v>1</v>
      </c>
      <c r="H13" s="35">
        <v>24</v>
      </c>
      <c r="I13" s="7">
        <v>1000</v>
      </c>
      <c r="J13" s="14">
        <v>1329</v>
      </c>
      <c r="K13" s="15">
        <f>L13+1329</f>
        <v>1329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0.41666666666666674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404</v>
      </c>
      <c r="F14" s="30" t="s">
        <v>405</v>
      </c>
      <c r="G14" s="33">
        <v>1</v>
      </c>
      <c r="H14" s="35">
        <v>40</v>
      </c>
      <c r="I14" s="7">
        <v>200</v>
      </c>
      <c r="J14" s="5">
        <v>408</v>
      </c>
      <c r="K14" s="15">
        <f>L14</f>
        <v>408</v>
      </c>
      <c r="L14" s="15">
        <v>408</v>
      </c>
      <c r="M14" s="15">
        <f t="shared" si="1"/>
        <v>408</v>
      </c>
      <c r="N14" s="15">
        <v>0</v>
      </c>
      <c r="O14" s="58">
        <f t="shared" si="2"/>
        <v>0</v>
      </c>
      <c r="P14" s="39">
        <f t="shared" si="3"/>
        <v>6</v>
      </c>
      <c r="Q14" s="40">
        <f t="shared" si="4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5"/>
        <v>1</v>
      </c>
      <c r="AC14" s="9">
        <f t="shared" si="6"/>
        <v>0.25</v>
      </c>
      <c r="AD14" s="10">
        <f t="shared" si="7"/>
        <v>0.25</v>
      </c>
      <c r="AE14" s="36">
        <f t="shared" si="8"/>
        <v>0.41666666666666674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391</v>
      </c>
      <c r="D15" s="52"/>
      <c r="E15" s="53" t="s">
        <v>406</v>
      </c>
      <c r="F15" s="12">
        <v>8301</v>
      </c>
      <c r="G15" s="12" t="s">
        <v>145</v>
      </c>
      <c r="H15" s="13">
        <v>24</v>
      </c>
      <c r="I15" s="31">
        <v>2000</v>
      </c>
      <c r="J15" s="14">
        <v>2391</v>
      </c>
      <c r="K15" s="15">
        <f>L15</f>
        <v>2391</v>
      </c>
      <c r="L15" s="15">
        <v>2391</v>
      </c>
      <c r="M15" s="15">
        <f t="shared" si="1"/>
        <v>2391</v>
      </c>
      <c r="N15" s="15">
        <v>0</v>
      </c>
      <c r="O15" s="58">
        <f t="shared" si="2"/>
        <v>0</v>
      </c>
      <c r="P15" s="39">
        <f t="shared" si="3"/>
        <v>11</v>
      </c>
      <c r="Q15" s="40">
        <f t="shared" si="4"/>
        <v>13</v>
      </c>
      <c r="R15" s="7"/>
      <c r="S15" s="6"/>
      <c r="T15" s="16"/>
      <c r="U15" s="16"/>
      <c r="V15" s="17"/>
      <c r="W15" s="5">
        <v>13</v>
      </c>
      <c r="X15" s="16"/>
      <c r="Y15" s="16"/>
      <c r="Z15" s="16"/>
      <c r="AA15" s="18"/>
      <c r="AB15" s="8">
        <f t="shared" si="5"/>
        <v>1</v>
      </c>
      <c r="AC15" s="9">
        <f t="shared" si="6"/>
        <v>0.45833333333333331</v>
      </c>
      <c r="AD15" s="10">
        <f t="shared" si="7"/>
        <v>0.45833333333333331</v>
      </c>
      <c r="AE15" s="36">
        <f t="shared" si="8"/>
        <v>0.41666666666666674</v>
      </c>
      <c r="AF15" s="87">
        <f t="shared" si="9"/>
        <v>10</v>
      </c>
    </row>
    <row r="16" spans="1:32" ht="27" customHeight="1">
      <c r="A16" s="102">
        <v>10</v>
      </c>
      <c r="B16" s="11" t="s">
        <v>57</v>
      </c>
      <c r="C16" s="34" t="s">
        <v>149</v>
      </c>
      <c r="D16" s="52"/>
      <c r="E16" s="53" t="s">
        <v>407</v>
      </c>
      <c r="F16" s="12">
        <v>8301</v>
      </c>
      <c r="G16" s="12">
        <v>1</v>
      </c>
      <c r="H16" s="13">
        <v>24</v>
      </c>
      <c r="I16" s="31">
        <v>1000</v>
      </c>
      <c r="J16" s="14">
        <v>1098</v>
      </c>
      <c r="K16" s="15">
        <f>L16</f>
        <v>1098</v>
      </c>
      <c r="L16" s="15">
        <v>1098</v>
      </c>
      <c r="M16" s="15">
        <f t="shared" ref="M16" si="10">L16-N16</f>
        <v>1098</v>
      </c>
      <c r="N16" s="15">
        <v>0</v>
      </c>
      <c r="O16" s="58">
        <f t="shared" ref="O16" si="11">IF(L16=0,"0",N16/L16)</f>
        <v>0</v>
      </c>
      <c r="P16" s="39">
        <f t="shared" ref="P16" si="12">IF(L16=0,"0",(24-Q16))</f>
        <v>6</v>
      </c>
      <c r="Q16" s="40">
        <f t="shared" ref="Q16" si="13">SUM(R16:AA16)</f>
        <v>18</v>
      </c>
      <c r="R16" s="7"/>
      <c r="S16" s="6"/>
      <c r="T16" s="16"/>
      <c r="U16" s="16"/>
      <c r="V16" s="17"/>
      <c r="W16" s="5">
        <v>18</v>
      </c>
      <c r="X16" s="16"/>
      <c r="Y16" s="16"/>
      <c r="Z16" s="16"/>
      <c r="AA16" s="18"/>
      <c r="AB16" s="8">
        <f t="shared" ref="AB16" si="14">IF(J16=0,"0",(L16/J16))</f>
        <v>1</v>
      </c>
      <c r="AC16" s="9">
        <f t="shared" ref="AC16" si="15">IF(P16=0,"0",(P16/24))</f>
        <v>0.25</v>
      </c>
      <c r="AD16" s="10">
        <f t="shared" ref="AD16" si="16">AC16*AB16*(1-O16)</f>
        <v>0.25</v>
      </c>
      <c r="AE16" s="36">
        <f t="shared" si="8"/>
        <v>0.41666666666666674</v>
      </c>
      <c r="AF16" s="87">
        <f t="shared" ref="AF16" si="17">A16</f>
        <v>10</v>
      </c>
    </row>
    <row r="17" spans="1:32" ht="30" customHeight="1">
      <c r="A17" s="102">
        <v>11</v>
      </c>
      <c r="B17" s="11" t="s">
        <v>57</v>
      </c>
      <c r="C17" s="11" t="s">
        <v>286</v>
      </c>
      <c r="D17" s="52" t="s">
        <v>303</v>
      </c>
      <c r="E17" s="53" t="s">
        <v>285</v>
      </c>
      <c r="F17" s="12">
        <v>7301</v>
      </c>
      <c r="G17" s="12">
        <v>1</v>
      </c>
      <c r="H17" s="13">
        <v>24</v>
      </c>
      <c r="I17" s="7">
        <v>600</v>
      </c>
      <c r="J17" s="14">
        <v>2547</v>
      </c>
      <c r="K17" s="15">
        <f>L17+2547</f>
        <v>2547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0.41666666666666674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339</v>
      </c>
      <c r="D18" s="52"/>
      <c r="E18" s="53" t="s">
        <v>385</v>
      </c>
      <c r="F18" s="12" t="s">
        <v>155</v>
      </c>
      <c r="G18" s="12">
        <v>1</v>
      </c>
      <c r="H18" s="13">
        <v>24</v>
      </c>
      <c r="I18" s="31">
        <v>4750</v>
      </c>
      <c r="J18" s="14">
        <v>5668</v>
      </c>
      <c r="K18" s="15">
        <f>L18+4466</f>
        <v>10134</v>
      </c>
      <c r="L18" s="15">
        <f>2772+2896</f>
        <v>5668</v>
      </c>
      <c r="M18" s="15">
        <f t="shared" si="1"/>
        <v>5668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0.41666666666666674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351</v>
      </c>
      <c r="D19" s="52" t="s">
        <v>320</v>
      </c>
      <c r="E19" s="53" t="s">
        <v>389</v>
      </c>
      <c r="F19" s="30" t="s">
        <v>128</v>
      </c>
      <c r="G19" s="33">
        <v>1</v>
      </c>
      <c r="H19" s="35">
        <v>24</v>
      </c>
      <c r="I19" s="7">
        <v>1000</v>
      </c>
      <c r="J19" s="5">
        <v>1702</v>
      </c>
      <c r="K19" s="15">
        <f>L19</f>
        <v>1702</v>
      </c>
      <c r="L19" s="15">
        <f>982+720</f>
        <v>1702</v>
      </c>
      <c r="M19" s="15">
        <f t="shared" si="1"/>
        <v>1702</v>
      </c>
      <c r="N19" s="15">
        <v>0</v>
      </c>
      <c r="O19" s="58">
        <f t="shared" si="2"/>
        <v>0</v>
      </c>
      <c r="P19" s="39">
        <f t="shared" si="3"/>
        <v>13</v>
      </c>
      <c r="Q19" s="40">
        <f t="shared" si="4"/>
        <v>11</v>
      </c>
      <c r="R19" s="7"/>
      <c r="S19" s="6">
        <v>4</v>
      </c>
      <c r="T19" s="16"/>
      <c r="U19" s="16"/>
      <c r="V19" s="17"/>
      <c r="W19" s="5">
        <v>7</v>
      </c>
      <c r="X19" s="16"/>
      <c r="Y19" s="16"/>
      <c r="Z19" s="16"/>
      <c r="AA19" s="18"/>
      <c r="AB19" s="8">
        <f t="shared" si="5"/>
        <v>1</v>
      </c>
      <c r="AC19" s="9">
        <f t="shared" si="6"/>
        <v>0.54166666666666663</v>
      </c>
      <c r="AD19" s="10">
        <f>AC19*AB19*(1-O19)</f>
        <v>0.54166666666666663</v>
      </c>
      <c r="AE19" s="36">
        <f t="shared" si="8"/>
        <v>0.41666666666666674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117</v>
      </c>
      <c r="E20" s="53" t="s">
        <v>267</v>
      </c>
      <c r="F20" s="30" t="s">
        <v>122</v>
      </c>
      <c r="G20" s="33">
        <v>1</v>
      </c>
      <c r="H20" s="35">
        <v>24</v>
      </c>
      <c r="I20" s="7">
        <v>30000</v>
      </c>
      <c r="J20" s="14">
        <v>4019</v>
      </c>
      <c r="K20" s="15">
        <f>L20+2307+2642+4597+4128+4807+4969+4854+4019</f>
        <v>32323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ref="AD20" si="18">AC20*AB20*(1-O20)</f>
        <v>0</v>
      </c>
      <c r="AE20" s="36">
        <f t="shared" si="8"/>
        <v>0.41666666666666674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133</v>
      </c>
      <c r="F21" s="12" t="s">
        <v>116</v>
      </c>
      <c r="G21" s="12">
        <v>4</v>
      </c>
      <c r="H21" s="35">
        <v>20</v>
      </c>
      <c r="I21" s="7">
        <v>100000</v>
      </c>
      <c r="J21" s="14">
        <v>83080</v>
      </c>
      <c r="K21" s="15">
        <f>L21</f>
        <v>83080</v>
      </c>
      <c r="L21" s="15">
        <f>9812*4+10958*4</f>
        <v>83080</v>
      </c>
      <c r="M21" s="15">
        <f t="shared" si="1"/>
        <v>83080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si="7"/>
        <v>1</v>
      </c>
      <c r="AE21" s="36">
        <f t="shared" si="8"/>
        <v>0.41666666666666674</v>
      </c>
      <c r="AF21" s="87">
        <f t="shared" si="9"/>
        <v>15</v>
      </c>
    </row>
    <row r="22" spans="1:32" ht="31.5" customHeight="1" thickBot="1">
      <c r="A22" s="467" t="s">
        <v>34</v>
      </c>
      <c r="B22" s="468"/>
      <c r="C22" s="468"/>
      <c r="D22" s="468"/>
      <c r="E22" s="468"/>
      <c r="F22" s="468"/>
      <c r="G22" s="468"/>
      <c r="H22" s="469"/>
      <c r="I22" s="22">
        <f t="shared" ref="I22:N22" si="19">SUM(I6:I21)</f>
        <v>327550</v>
      </c>
      <c r="J22" s="19">
        <f t="shared" si="19"/>
        <v>238486</v>
      </c>
      <c r="K22" s="20">
        <f t="shared" si="19"/>
        <v>467615</v>
      </c>
      <c r="L22" s="21">
        <f t="shared" si="19"/>
        <v>120876</v>
      </c>
      <c r="M22" s="20">
        <f t="shared" si="19"/>
        <v>120876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150</v>
      </c>
      <c r="Q22" s="43">
        <f t="shared" si="20"/>
        <v>234</v>
      </c>
      <c r="R22" s="23">
        <f t="shared" si="20"/>
        <v>24</v>
      </c>
      <c r="S22" s="24">
        <f t="shared" si="20"/>
        <v>4</v>
      </c>
      <c r="T22" s="24">
        <f t="shared" si="20"/>
        <v>0</v>
      </c>
      <c r="U22" s="24">
        <f t="shared" si="20"/>
        <v>0</v>
      </c>
      <c r="V22" s="25">
        <f t="shared" si="20"/>
        <v>0</v>
      </c>
      <c r="W22" s="26">
        <f t="shared" si="20"/>
        <v>206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0.6</v>
      </c>
      <c r="AC22" s="4">
        <f>SUM(AC6:AC21)/15</f>
        <v>0.41666666666666674</v>
      </c>
      <c r="AD22" s="4">
        <f>SUM(AD6:AD21)/15</f>
        <v>0.41666666666666674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70" t="s">
        <v>45</v>
      </c>
      <c r="B49" s="470"/>
      <c r="C49" s="470"/>
      <c r="D49" s="470"/>
      <c r="E49" s="47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71" t="s">
        <v>408</v>
      </c>
      <c r="B50" s="472"/>
      <c r="C50" s="472"/>
      <c r="D50" s="472"/>
      <c r="E50" s="472"/>
      <c r="F50" s="472"/>
      <c r="G50" s="472"/>
      <c r="H50" s="472"/>
      <c r="I50" s="472"/>
      <c r="J50" s="472"/>
      <c r="K50" s="472"/>
      <c r="L50" s="472"/>
      <c r="M50" s="473"/>
      <c r="N50" s="474" t="s">
        <v>410</v>
      </c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6"/>
    </row>
    <row r="51" spans="1:32" ht="27" customHeight="1">
      <c r="A51" s="477" t="s">
        <v>2</v>
      </c>
      <c r="B51" s="478"/>
      <c r="C51" s="269" t="s">
        <v>46</v>
      </c>
      <c r="D51" s="269" t="s">
        <v>47</v>
      </c>
      <c r="E51" s="269" t="s">
        <v>108</v>
      </c>
      <c r="F51" s="478" t="s">
        <v>107</v>
      </c>
      <c r="G51" s="478"/>
      <c r="H51" s="478"/>
      <c r="I51" s="478"/>
      <c r="J51" s="478"/>
      <c r="K51" s="478"/>
      <c r="L51" s="478"/>
      <c r="M51" s="479"/>
      <c r="N51" s="67" t="s">
        <v>112</v>
      </c>
      <c r="O51" s="269" t="s">
        <v>46</v>
      </c>
      <c r="P51" s="480" t="s">
        <v>47</v>
      </c>
      <c r="Q51" s="481"/>
      <c r="R51" s="480" t="s">
        <v>38</v>
      </c>
      <c r="S51" s="482"/>
      <c r="T51" s="482"/>
      <c r="U51" s="481"/>
      <c r="V51" s="480" t="s">
        <v>48</v>
      </c>
      <c r="W51" s="482"/>
      <c r="X51" s="482"/>
      <c r="Y51" s="482"/>
      <c r="Z51" s="482"/>
      <c r="AA51" s="482"/>
      <c r="AB51" s="482"/>
      <c r="AC51" s="482"/>
      <c r="AD51" s="483"/>
    </row>
    <row r="52" spans="1:32" ht="27" customHeight="1">
      <c r="A52" s="451" t="s">
        <v>149</v>
      </c>
      <c r="B52" s="452"/>
      <c r="C52" s="266" t="s">
        <v>150</v>
      </c>
      <c r="D52" s="266"/>
      <c r="E52" s="266" t="s">
        <v>409</v>
      </c>
      <c r="F52" s="453" t="s">
        <v>121</v>
      </c>
      <c r="G52" s="454"/>
      <c r="H52" s="454"/>
      <c r="I52" s="454"/>
      <c r="J52" s="454"/>
      <c r="K52" s="454"/>
      <c r="L52" s="454"/>
      <c r="M52" s="455"/>
      <c r="N52" s="265"/>
      <c r="O52" s="263"/>
      <c r="P52" s="463"/>
      <c r="Q52" s="464"/>
      <c r="R52" s="452"/>
      <c r="S52" s="452"/>
      <c r="T52" s="452"/>
      <c r="U52" s="452"/>
      <c r="V52" s="442"/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391</v>
      </c>
      <c r="B53" s="452"/>
      <c r="C53" s="266" t="s">
        <v>150</v>
      </c>
      <c r="D53" s="266"/>
      <c r="E53" s="266" t="s">
        <v>406</v>
      </c>
      <c r="F53" s="453" t="s">
        <v>121</v>
      </c>
      <c r="G53" s="454"/>
      <c r="H53" s="454"/>
      <c r="I53" s="454"/>
      <c r="J53" s="454"/>
      <c r="K53" s="454"/>
      <c r="L53" s="454"/>
      <c r="M53" s="455"/>
      <c r="N53" s="265"/>
      <c r="O53" s="263"/>
      <c r="P53" s="463"/>
      <c r="Q53" s="464"/>
      <c r="R53" s="452"/>
      <c r="S53" s="452"/>
      <c r="T53" s="452"/>
      <c r="U53" s="452"/>
      <c r="V53" s="442"/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351</v>
      </c>
      <c r="B54" s="452"/>
      <c r="C54" s="266" t="s">
        <v>136</v>
      </c>
      <c r="D54" s="266" t="s">
        <v>320</v>
      </c>
      <c r="E54" s="266" t="s">
        <v>389</v>
      </c>
      <c r="F54" s="453" t="s">
        <v>262</v>
      </c>
      <c r="G54" s="454"/>
      <c r="H54" s="454"/>
      <c r="I54" s="454"/>
      <c r="J54" s="454"/>
      <c r="K54" s="454"/>
      <c r="L54" s="454"/>
      <c r="M54" s="455"/>
      <c r="N54" s="265"/>
      <c r="O54" s="263"/>
      <c r="P54" s="463"/>
      <c r="Q54" s="464"/>
      <c r="R54" s="452"/>
      <c r="S54" s="452"/>
      <c r="T54" s="452"/>
      <c r="U54" s="452"/>
      <c r="V54" s="442"/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115</v>
      </c>
      <c r="B55" s="452"/>
      <c r="C55" s="266" t="s">
        <v>186</v>
      </c>
      <c r="D55" s="266"/>
      <c r="E55" s="266" t="s">
        <v>133</v>
      </c>
      <c r="F55" s="453" t="s">
        <v>121</v>
      </c>
      <c r="G55" s="454"/>
      <c r="H55" s="454"/>
      <c r="I55" s="454"/>
      <c r="J55" s="454"/>
      <c r="K55" s="454"/>
      <c r="L55" s="454"/>
      <c r="M55" s="455"/>
      <c r="N55" s="265"/>
      <c r="O55" s="263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114</v>
      </c>
      <c r="B56" s="452"/>
      <c r="C56" s="266" t="s">
        <v>226</v>
      </c>
      <c r="D56" s="266" t="s">
        <v>117</v>
      </c>
      <c r="E56" s="266" t="s">
        <v>404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265"/>
      <c r="O56" s="263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266"/>
      <c r="D57" s="266"/>
      <c r="E57" s="266"/>
      <c r="F57" s="453"/>
      <c r="G57" s="454"/>
      <c r="H57" s="454"/>
      <c r="I57" s="454"/>
      <c r="J57" s="454"/>
      <c r="K57" s="454"/>
      <c r="L57" s="454"/>
      <c r="M57" s="455"/>
      <c r="N57" s="265"/>
      <c r="O57" s="263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266"/>
      <c r="D58" s="266"/>
      <c r="E58" s="266"/>
      <c r="F58" s="453"/>
      <c r="G58" s="454"/>
      <c r="H58" s="454"/>
      <c r="I58" s="454"/>
      <c r="J58" s="454"/>
      <c r="K58" s="454"/>
      <c r="L58" s="454"/>
      <c r="M58" s="455"/>
      <c r="N58" s="265"/>
      <c r="O58" s="263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66"/>
      <c r="D59" s="266"/>
      <c r="E59" s="266"/>
      <c r="F59" s="453"/>
      <c r="G59" s="454"/>
      <c r="H59" s="454"/>
      <c r="I59" s="454"/>
      <c r="J59" s="454"/>
      <c r="K59" s="454"/>
      <c r="L59" s="454"/>
      <c r="M59" s="455"/>
      <c r="N59" s="265"/>
      <c r="O59" s="263"/>
      <c r="P59" s="463"/>
      <c r="Q59" s="464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/>
      <c r="B60" s="452"/>
      <c r="C60" s="266"/>
      <c r="D60" s="266"/>
      <c r="E60" s="266"/>
      <c r="F60" s="453"/>
      <c r="G60" s="454"/>
      <c r="H60" s="454"/>
      <c r="I60" s="454"/>
      <c r="J60" s="454"/>
      <c r="K60" s="454"/>
      <c r="L60" s="454"/>
      <c r="M60" s="455"/>
      <c r="N60" s="265"/>
      <c r="O60" s="263"/>
      <c r="P60" s="452"/>
      <c r="Q60" s="452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  <c r="AF60" s="87">
        <f>8*3000</f>
        <v>24000</v>
      </c>
    </row>
    <row r="61" spans="1:32" ht="27" customHeight="1" thickBot="1">
      <c r="A61" s="457"/>
      <c r="B61" s="458"/>
      <c r="C61" s="268"/>
      <c r="D61" s="268"/>
      <c r="E61" s="268"/>
      <c r="F61" s="459"/>
      <c r="G61" s="459"/>
      <c r="H61" s="459"/>
      <c r="I61" s="459"/>
      <c r="J61" s="459"/>
      <c r="K61" s="459"/>
      <c r="L61" s="459"/>
      <c r="M61" s="460"/>
      <c r="N61" s="267"/>
      <c r="O61" s="114"/>
      <c r="P61" s="458"/>
      <c r="Q61" s="458"/>
      <c r="R61" s="458"/>
      <c r="S61" s="458"/>
      <c r="T61" s="458"/>
      <c r="U61" s="458"/>
      <c r="V61" s="461"/>
      <c r="W61" s="461"/>
      <c r="X61" s="461"/>
      <c r="Y61" s="461"/>
      <c r="Z61" s="461"/>
      <c r="AA61" s="461"/>
      <c r="AB61" s="461"/>
      <c r="AC61" s="461"/>
      <c r="AD61" s="462"/>
      <c r="AF61" s="87">
        <f>16*3000</f>
        <v>48000</v>
      </c>
    </row>
    <row r="62" spans="1:32" ht="27.75" thickBot="1">
      <c r="A62" s="449" t="s">
        <v>411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50" t="s">
        <v>113</v>
      </c>
      <c r="B63" s="447"/>
      <c r="C63" s="264" t="s">
        <v>2</v>
      </c>
      <c r="D63" s="264" t="s">
        <v>37</v>
      </c>
      <c r="E63" s="264" t="s">
        <v>3</v>
      </c>
      <c r="F63" s="447" t="s">
        <v>110</v>
      </c>
      <c r="G63" s="447"/>
      <c r="H63" s="447"/>
      <c r="I63" s="447"/>
      <c r="J63" s="447"/>
      <c r="K63" s="447" t="s">
        <v>39</v>
      </c>
      <c r="L63" s="447"/>
      <c r="M63" s="264" t="s">
        <v>40</v>
      </c>
      <c r="N63" s="447" t="s">
        <v>41</v>
      </c>
      <c r="O63" s="447"/>
      <c r="P63" s="444" t="s">
        <v>42</v>
      </c>
      <c r="Q63" s="446"/>
      <c r="R63" s="444" t="s">
        <v>43</v>
      </c>
      <c r="S63" s="445"/>
      <c r="T63" s="445"/>
      <c r="U63" s="445"/>
      <c r="V63" s="445"/>
      <c r="W63" s="445"/>
      <c r="X63" s="445"/>
      <c r="Y63" s="445"/>
      <c r="Z63" s="445"/>
      <c r="AA63" s="446"/>
      <c r="AB63" s="447" t="s">
        <v>44</v>
      </c>
      <c r="AC63" s="447"/>
      <c r="AD63" s="448"/>
      <c r="AF63" s="87">
        <f>SUM(AF60:AF62)</f>
        <v>96000</v>
      </c>
    </row>
    <row r="64" spans="1:32" ht="25.5" customHeight="1">
      <c r="A64" s="438">
        <v>1</v>
      </c>
      <c r="B64" s="439"/>
      <c r="C64" s="117" t="s">
        <v>114</v>
      </c>
      <c r="D64" s="259"/>
      <c r="E64" s="262" t="s">
        <v>146</v>
      </c>
      <c r="F64" s="440" t="s">
        <v>412</v>
      </c>
      <c r="G64" s="432"/>
      <c r="H64" s="432"/>
      <c r="I64" s="432"/>
      <c r="J64" s="432"/>
      <c r="K64" s="432" t="s">
        <v>144</v>
      </c>
      <c r="L64" s="432"/>
      <c r="M64" s="51" t="s">
        <v>299</v>
      </c>
      <c r="N64" s="443" t="s">
        <v>147</v>
      </c>
      <c r="O64" s="443"/>
      <c r="P64" s="441">
        <v>100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2</v>
      </c>
      <c r="B65" s="439"/>
      <c r="C65" s="117" t="s">
        <v>114</v>
      </c>
      <c r="D65" s="259"/>
      <c r="E65" s="262" t="s">
        <v>119</v>
      </c>
      <c r="F65" s="440" t="s">
        <v>413</v>
      </c>
      <c r="G65" s="432"/>
      <c r="H65" s="432"/>
      <c r="I65" s="432"/>
      <c r="J65" s="432"/>
      <c r="K65" s="432" t="s">
        <v>156</v>
      </c>
      <c r="L65" s="432"/>
      <c r="M65" s="51" t="s">
        <v>417</v>
      </c>
      <c r="N65" s="443" t="s">
        <v>182</v>
      </c>
      <c r="O65" s="443"/>
      <c r="P65" s="441">
        <v>200</v>
      </c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3</v>
      </c>
      <c r="B66" s="439"/>
      <c r="C66" s="117" t="s">
        <v>295</v>
      </c>
      <c r="D66" s="259"/>
      <c r="E66" s="262" t="s">
        <v>117</v>
      </c>
      <c r="F66" s="440" t="s">
        <v>414</v>
      </c>
      <c r="G66" s="432"/>
      <c r="H66" s="432"/>
      <c r="I66" s="432"/>
      <c r="J66" s="432"/>
      <c r="K66" s="432" t="s">
        <v>242</v>
      </c>
      <c r="L66" s="432"/>
      <c r="M66" s="51" t="s">
        <v>417</v>
      </c>
      <c r="N66" s="443" t="s">
        <v>226</v>
      </c>
      <c r="O66" s="443"/>
      <c r="P66" s="441">
        <v>40</v>
      </c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4</v>
      </c>
      <c r="B67" s="439"/>
      <c r="C67" s="117" t="s">
        <v>114</v>
      </c>
      <c r="D67" s="259"/>
      <c r="E67" s="262" t="s">
        <v>143</v>
      </c>
      <c r="F67" s="440" t="s">
        <v>415</v>
      </c>
      <c r="G67" s="432"/>
      <c r="H67" s="432"/>
      <c r="I67" s="432"/>
      <c r="J67" s="432"/>
      <c r="K67" s="432" t="s">
        <v>144</v>
      </c>
      <c r="L67" s="432"/>
      <c r="M67" s="51" t="s">
        <v>299</v>
      </c>
      <c r="N67" s="443" t="s">
        <v>138</v>
      </c>
      <c r="O67" s="443"/>
      <c r="P67" s="441">
        <v>50</v>
      </c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5</v>
      </c>
      <c r="B68" s="439"/>
      <c r="C68" s="117" t="s">
        <v>418</v>
      </c>
      <c r="D68" s="259"/>
      <c r="E68" s="262"/>
      <c r="F68" s="440" t="s">
        <v>416</v>
      </c>
      <c r="G68" s="432"/>
      <c r="H68" s="432"/>
      <c r="I68" s="432"/>
      <c r="J68" s="432"/>
      <c r="K68" s="432" t="s">
        <v>162</v>
      </c>
      <c r="L68" s="432"/>
      <c r="M68" s="51" t="s">
        <v>231</v>
      </c>
      <c r="N68" s="443" t="s">
        <v>138</v>
      </c>
      <c r="O68" s="443"/>
      <c r="P68" s="441">
        <v>40</v>
      </c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6</v>
      </c>
      <c r="B69" s="439"/>
      <c r="C69" s="117"/>
      <c r="D69" s="259"/>
      <c r="E69" s="262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7</v>
      </c>
      <c r="B70" s="439"/>
      <c r="C70" s="117"/>
      <c r="D70" s="259"/>
      <c r="E70" s="262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8</v>
      </c>
      <c r="B71" s="439"/>
      <c r="C71" s="117"/>
      <c r="D71" s="259"/>
      <c r="E71" s="262"/>
      <c r="F71" s="440"/>
      <c r="G71" s="432"/>
      <c r="H71" s="432"/>
      <c r="I71" s="432"/>
      <c r="J71" s="432"/>
      <c r="K71" s="432"/>
      <c r="L71" s="432"/>
      <c r="M71" s="51"/>
      <c r="N71" s="432"/>
      <c r="O71" s="432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6.25" customHeight="1" thickBot="1">
      <c r="A72" s="412" t="s">
        <v>419</v>
      </c>
      <c r="B72" s="412"/>
      <c r="C72" s="412"/>
      <c r="D72" s="412"/>
      <c r="E72" s="41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3" t="s">
        <v>113</v>
      </c>
      <c r="B73" s="414"/>
      <c r="C73" s="261" t="s">
        <v>2</v>
      </c>
      <c r="D73" s="261" t="s">
        <v>37</v>
      </c>
      <c r="E73" s="261" t="s">
        <v>3</v>
      </c>
      <c r="F73" s="414" t="s">
        <v>38</v>
      </c>
      <c r="G73" s="414"/>
      <c r="H73" s="414"/>
      <c r="I73" s="414"/>
      <c r="J73" s="414"/>
      <c r="K73" s="434" t="s">
        <v>58</v>
      </c>
      <c r="L73" s="435"/>
      <c r="M73" s="435"/>
      <c r="N73" s="435"/>
      <c r="O73" s="435"/>
      <c r="P73" s="435"/>
      <c r="Q73" s="435"/>
      <c r="R73" s="435"/>
      <c r="S73" s="436"/>
      <c r="T73" s="414" t="s">
        <v>49</v>
      </c>
      <c r="U73" s="414"/>
      <c r="V73" s="434" t="s">
        <v>50</v>
      </c>
      <c r="W73" s="436"/>
      <c r="X73" s="435" t="s">
        <v>51</v>
      </c>
      <c r="Y73" s="435"/>
      <c r="Z73" s="435"/>
      <c r="AA73" s="435"/>
      <c r="AB73" s="435"/>
      <c r="AC73" s="435"/>
      <c r="AD73" s="437"/>
      <c r="AF73" s="50"/>
    </row>
    <row r="74" spans="1:32" ht="33.75" customHeight="1">
      <c r="A74" s="406">
        <v>1</v>
      </c>
      <c r="B74" s="407"/>
      <c r="C74" s="260" t="s">
        <v>114</v>
      </c>
      <c r="D74" s="260"/>
      <c r="E74" s="65" t="s">
        <v>119</v>
      </c>
      <c r="F74" s="421" t="s">
        <v>118</v>
      </c>
      <c r="G74" s="422"/>
      <c r="H74" s="422"/>
      <c r="I74" s="422"/>
      <c r="J74" s="423"/>
      <c r="K74" s="424" t="s">
        <v>120</v>
      </c>
      <c r="L74" s="425"/>
      <c r="M74" s="425"/>
      <c r="N74" s="425"/>
      <c r="O74" s="425"/>
      <c r="P74" s="425"/>
      <c r="Q74" s="425"/>
      <c r="R74" s="425"/>
      <c r="S74" s="426"/>
      <c r="T74" s="427">
        <v>43384</v>
      </c>
      <c r="U74" s="428"/>
      <c r="V74" s="429"/>
      <c r="W74" s="429"/>
      <c r="X74" s="430"/>
      <c r="Y74" s="430"/>
      <c r="Z74" s="430"/>
      <c r="AA74" s="430"/>
      <c r="AB74" s="430"/>
      <c r="AC74" s="430"/>
      <c r="AD74" s="431"/>
      <c r="AF74" s="50"/>
    </row>
    <row r="75" spans="1:32" ht="30" customHeight="1">
      <c r="A75" s="399">
        <f>A74+1</f>
        <v>2</v>
      </c>
      <c r="B75" s="400"/>
      <c r="C75" s="259"/>
      <c r="D75" s="259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ref="A76:A82" si="21">A75+1</f>
        <v>3</v>
      </c>
      <c r="B76" s="400"/>
      <c r="C76" s="259"/>
      <c r="D76" s="259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21"/>
        <v>4</v>
      </c>
      <c r="B77" s="400"/>
      <c r="C77" s="259"/>
      <c r="D77" s="259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21"/>
        <v>5</v>
      </c>
      <c r="B78" s="400"/>
      <c r="C78" s="259"/>
      <c r="D78" s="259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21"/>
        <v>6</v>
      </c>
      <c r="B79" s="400"/>
      <c r="C79" s="259"/>
      <c r="D79" s="259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21"/>
        <v>7</v>
      </c>
      <c r="B80" s="400"/>
      <c r="C80" s="259"/>
      <c r="D80" s="259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21"/>
        <v>8</v>
      </c>
      <c r="B81" s="400"/>
      <c r="C81" s="259"/>
      <c r="D81" s="259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21"/>
        <v>9</v>
      </c>
      <c r="B82" s="400"/>
      <c r="C82" s="259"/>
      <c r="D82" s="259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6" thickBot="1">
      <c r="A83" s="412" t="s">
        <v>420</v>
      </c>
      <c r="B83" s="412"/>
      <c r="C83" s="412"/>
      <c r="D83" s="412"/>
      <c r="E83" s="41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3" t="s">
        <v>113</v>
      </c>
      <c r="B84" s="414"/>
      <c r="C84" s="404" t="s">
        <v>52</v>
      </c>
      <c r="D84" s="404"/>
      <c r="E84" s="404" t="s">
        <v>53</v>
      </c>
      <c r="F84" s="404"/>
      <c r="G84" s="404"/>
      <c r="H84" s="404"/>
      <c r="I84" s="404"/>
      <c r="J84" s="404"/>
      <c r="K84" s="404" t="s">
        <v>54</v>
      </c>
      <c r="L84" s="404"/>
      <c r="M84" s="404"/>
      <c r="N84" s="404"/>
      <c r="O84" s="404"/>
      <c r="P84" s="404"/>
      <c r="Q84" s="404"/>
      <c r="R84" s="404"/>
      <c r="S84" s="404"/>
      <c r="T84" s="404" t="s">
        <v>55</v>
      </c>
      <c r="U84" s="404"/>
      <c r="V84" s="404" t="s">
        <v>56</v>
      </c>
      <c r="W84" s="404"/>
      <c r="X84" s="404"/>
      <c r="Y84" s="404" t="s">
        <v>51</v>
      </c>
      <c r="Z84" s="404"/>
      <c r="AA84" s="404"/>
      <c r="AB84" s="404"/>
      <c r="AC84" s="404"/>
      <c r="AD84" s="405"/>
      <c r="AF84" s="50"/>
    </row>
    <row r="85" spans="1:32" ht="30.75" customHeight="1">
      <c r="A85" s="406">
        <v>1</v>
      </c>
      <c r="B85" s="407"/>
      <c r="C85" s="408"/>
      <c r="D85" s="408"/>
      <c r="E85" s="408"/>
      <c r="F85" s="408"/>
      <c r="G85" s="408"/>
      <c r="H85" s="408"/>
      <c r="I85" s="408"/>
      <c r="J85" s="408"/>
      <c r="K85" s="408"/>
      <c r="L85" s="408"/>
      <c r="M85" s="408"/>
      <c r="N85" s="408"/>
      <c r="O85" s="408"/>
      <c r="P85" s="408"/>
      <c r="Q85" s="408"/>
      <c r="R85" s="408"/>
      <c r="S85" s="408"/>
      <c r="T85" s="408"/>
      <c r="U85" s="408"/>
      <c r="V85" s="409"/>
      <c r="W85" s="409"/>
      <c r="X85" s="409"/>
      <c r="Y85" s="410"/>
      <c r="Z85" s="410"/>
      <c r="AA85" s="410"/>
      <c r="AB85" s="410"/>
      <c r="AC85" s="410"/>
      <c r="AD85" s="411"/>
      <c r="AF85" s="50"/>
    </row>
    <row r="86" spans="1:32" ht="30.75" customHeight="1">
      <c r="A86" s="399">
        <v>2</v>
      </c>
      <c r="B86" s="400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  <c r="Q86" s="401"/>
      <c r="R86" s="401"/>
      <c r="S86" s="401"/>
      <c r="T86" s="402"/>
      <c r="U86" s="402"/>
      <c r="V86" s="403"/>
      <c r="W86" s="403"/>
      <c r="X86" s="403"/>
      <c r="Y86" s="392"/>
      <c r="Z86" s="392"/>
      <c r="AA86" s="392"/>
      <c r="AB86" s="392"/>
      <c r="AC86" s="392"/>
      <c r="AD86" s="393"/>
      <c r="AF86" s="50"/>
    </row>
    <row r="87" spans="1:32" ht="30.75" customHeight="1" thickBot="1">
      <c r="A87" s="394">
        <v>3</v>
      </c>
      <c r="B87" s="395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M87" s="396"/>
      <c r="N87" s="396"/>
      <c r="O87" s="396"/>
      <c r="P87" s="396"/>
      <c r="Q87" s="396"/>
      <c r="R87" s="396"/>
      <c r="S87" s="396"/>
      <c r="T87" s="396"/>
      <c r="U87" s="396"/>
      <c r="V87" s="396"/>
      <c r="W87" s="396"/>
      <c r="X87" s="396"/>
      <c r="Y87" s="397"/>
      <c r="Z87" s="397"/>
      <c r="AA87" s="397"/>
      <c r="AB87" s="397"/>
      <c r="AC87" s="397"/>
      <c r="AD87" s="398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56B9-70D6-4FF9-B72B-80A90360AC30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421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271" t="s">
        <v>17</v>
      </c>
      <c r="L5" s="271" t="s">
        <v>18</v>
      </c>
      <c r="M5" s="271" t="s">
        <v>19</v>
      </c>
      <c r="N5" s="27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0.11388888888888889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0.11388888888888889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L8+693+1619</f>
        <v>2312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0.11388888888888889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119</v>
      </c>
      <c r="E9" s="53" t="s">
        <v>379</v>
      </c>
      <c r="F9" s="30" t="s">
        <v>124</v>
      </c>
      <c r="G9" s="33">
        <v>1</v>
      </c>
      <c r="H9" s="35">
        <v>24</v>
      </c>
      <c r="I9" s="7">
        <v>6000</v>
      </c>
      <c r="J9" s="14">
        <v>2915</v>
      </c>
      <c r="K9" s="15">
        <f>L9+4702+2915</f>
        <v>7617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0.11388888888888889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126</v>
      </c>
      <c r="D10" s="52" t="s">
        <v>222</v>
      </c>
      <c r="E10" s="53" t="s">
        <v>323</v>
      </c>
      <c r="F10" s="30" t="s">
        <v>144</v>
      </c>
      <c r="G10" s="33">
        <v>12</v>
      </c>
      <c r="H10" s="35">
        <v>24</v>
      </c>
      <c r="I10" s="7">
        <v>100000</v>
      </c>
      <c r="J10" s="5">
        <v>108096</v>
      </c>
      <c r="K10" s="15">
        <f>L10+13524+48780+100304+108096</f>
        <v>270704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0.11388888888888889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351</v>
      </c>
      <c r="D11" s="52" t="s">
        <v>123</v>
      </c>
      <c r="E11" s="53" t="s">
        <v>378</v>
      </c>
      <c r="F11" s="30" t="s">
        <v>372</v>
      </c>
      <c r="G11" s="33">
        <v>2</v>
      </c>
      <c r="H11" s="35">
        <v>20</v>
      </c>
      <c r="I11" s="7">
        <v>40000</v>
      </c>
      <c r="J11" s="14">
        <v>5704</v>
      </c>
      <c r="K11" s="15">
        <f>L11+10572+12976</f>
        <v>29252</v>
      </c>
      <c r="L11" s="15">
        <f>2852*2</f>
        <v>5704</v>
      </c>
      <c r="M11" s="15">
        <f t="shared" si="1"/>
        <v>5704</v>
      </c>
      <c r="N11" s="15">
        <v>0</v>
      </c>
      <c r="O11" s="58">
        <f t="shared" si="2"/>
        <v>0</v>
      </c>
      <c r="P11" s="39">
        <f t="shared" si="3"/>
        <v>11</v>
      </c>
      <c r="Q11" s="40">
        <f t="shared" si="4"/>
        <v>13</v>
      </c>
      <c r="R11" s="7"/>
      <c r="S11" s="6"/>
      <c r="T11" s="16"/>
      <c r="U11" s="16"/>
      <c r="V11" s="17">
        <v>13</v>
      </c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0.45833333333333331</v>
      </c>
      <c r="AD11" s="10">
        <f t="shared" si="7"/>
        <v>0.45833333333333331</v>
      </c>
      <c r="AE11" s="36">
        <f t="shared" si="8"/>
        <v>0.11388888888888889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351</v>
      </c>
      <c r="D12" s="52" t="s">
        <v>117</v>
      </c>
      <c r="E12" s="53" t="s">
        <v>352</v>
      </c>
      <c r="F12" s="30" t="s">
        <v>372</v>
      </c>
      <c r="G12" s="33">
        <v>2</v>
      </c>
      <c r="H12" s="35">
        <v>20</v>
      </c>
      <c r="I12" s="7">
        <v>40000</v>
      </c>
      <c r="J12" s="14">
        <v>4872</v>
      </c>
      <c r="K12" s="15">
        <f>L12+7450+10334+10638</f>
        <v>33294</v>
      </c>
      <c r="L12" s="15">
        <f>2436*2</f>
        <v>4872</v>
      </c>
      <c r="M12" s="15">
        <f t="shared" si="1"/>
        <v>4872</v>
      </c>
      <c r="N12" s="15">
        <v>0</v>
      </c>
      <c r="O12" s="58">
        <f t="shared" si="2"/>
        <v>0</v>
      </c>
      <c r="P12" s="39">
        <f t="shared" si="3"/>
        <v>11</v>
      </c>
      <c r="Q12" s="40">
        <f t="shared" si="4"/>
        <v>13</v>
      </c>
      <c r="R12" s="7"/>
      <c r="S12" s="6"/>
      <c r="T12" s="16"/>
      <c r="U12" s="16"/>
      <c r="V12" s="17">
        <v>13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0.45833333333333331</v>
      </c>
      <c r="AD12" s="10">
        <f t="shared" si="7"/>
        <v>0.45833333333333331</v>
      </c>
      <c r="AE12" s="36">
        <f t="shared" si="8"/>
        <v>0.11388888888888889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126</v>
      </c>
      <c r="D13" s="52" t="s">
        <v>143</v>
      </c>
      <c r="E13" s="53" t="s">
        <v>364</v>
      </c>
      <c r="F13" s="30" t="s">
        <v>373</v>
      </c>
      <c r="G13" s="33">
        <v>1</v>
      </c>
      <c r="H13" s="35">
        <v>24</v>
      </c>
      <c r="I13" s="7">
        <v>1000</v>
      </c>
      <c r="J13" s="14">
        <v>1329</v>
      </c>
      <c r="K13" s="15">
        <f>L13+1329</f>
        <v>1329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0.11388888888888889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422</v>
      </c>
      <c r="F14" s="30" t="s">
        <v>405</v>
      </c>
      <c r="G14" s="33">
        <v>1</v>
      </c>
      <c r="H14" s="35">
        <v>40</v>
      </c>
      <c r="I14" s="7">
        <v>500</v>
      </c>
      <c r="J14" s="5">
        <v>1006</v>
      </c>
      <c r="K14" s="15">
        <f>L14</f>
        <v>1006</v>
      </c>
      <c r="L14" s="15">
        <v>1006</v>
      </c>
      <c r="M14" s="15">
        <f t="shared" si="1"/>
        <v>1006</v>
      </c>
      <c r="N14" s="15">
        <v>0</v>
      </c>
      <c r="O14" s="58">
        <f t="shared" si="2"/>
        <v>0</v>
      </c>
      <c r="P14" s="39">
        <f t="shared" si="3"/>
        <v>8</v>
      </c>
      <c r="Q14" s="40">
        <f t="shared" si="4"/>
        <v>16</v>
      </c>
      <c r="R14" s="7"/>
      <c r="S14" s="6"/>
      <c r="T14" s="16"/>
      <c r="U14" s="16"/>
      <c r="V14" s="17"/>
      <c r="W14" s="5">
        <v>16</v>
      </c>
      <c r="X14" s="16"/>
      <c r="Y14" s="16"/>
      <c r="Z14" s="16"/>
      <c r="AA14" s="18"/>
      <c r="AB14" s="8">
        <f t="shared" si="5"/>
        <v>1</v>
      </c>
      <c r="AC14" s="9">
        <f t="shared" si="6"/>
        <v>0.33333333333333331</v>
      </c>
      <c r="AD14" s="10">
        <f t="shared" si="7"/>
        <v>0.33333333333333331</v>
      </c>
      <c r="AE14" s="36">
        <f t="shared" si="8"/>
        <v>0.11388888888888889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407</v>
      </c>
      <c r="F15" s="12">
        <v>8301</v>
      </c>
      <c r="G15" s="12">
        <v>1</v>
      </c>
      <c r="H15" s="13">
        <v>24</v>
      </c>
      <c r="I15" s="31">
        <v>1000</v>
      </c>
      <c r="J15" s="14">
        <v>1098</v>
      </c>
      <c r="K15" s="15">
        <f>L15+1098</f>
        <v>1098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0.11388888888888889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0.11388888888888889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339</v>
      </c>
      <c r="D17" s="52"/>
      <c r="E17" s="53" t="s">
        <v>385</v>
      </c>
      <c r="F17" s="12" t="s">
        <v>155</v>
      </c>
      <c r="G17" s="12">
        <v>1</v>
      </c>
      <c r="H17" s="13">
        <v>24</v>
      </c>
      <c r="I17" s="31">
        <v>4750</v>
      </c>
      <c r="J17" s="14">
        <v>5668</v>
      </c>
      <c r="K17" s="15">
        <f>L17+4466+5668</f>
        <v>10134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0.11388888888888889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351</v>
      </c>
      <c r="D18" s="52" t="s">
        <v>320</v>
      </c>
      <c r="E18" s="53" t="s">
        <v>389</v>
      </c>
      <c r="F18" s="30" t="s">
        <v>128</v>
      </c>
      <c r="G18" s="33">
        <v>1</v>
      </c>
      <c r="H18" s="35">
        <v>24</v>
      </c>
      <c r="I18" s="7">
        <v>1000</v>
      </c>
      <c r="J18" s="5">
        <v>1702</v>
      </c>
      <c r="K18" s="15">
        <f>L18+1702</f>
        <v>1702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0.11388888888888889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117</v>
      </c>
      <c r="E19" s="53" t="s">
        <v>267</v>
      </c>
      <c r="F19" s="30" t="s">
        <v>122</v>
      </c>
      <c r="G19" s="33">
        <v>1</v>
      </c>
      <c r="H19" s="35">
        <v>24</v>
      </c>
      <c r="I19" s="7">
        <v>30000</v>
      </c>
      <c r="J19" s="14">
        <v>4019</v>
      </c>
      <c r="K19" s="15">
        <f>L19+2307+2642+4597+4128+4807+4969+4854+4019</f>
        <v>32323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ref="AD19" si="10">AC19*AB19*(1-O19)</f>
        <v>0</v>
      </c>
      <c r="AE19" s="36">
        <f t="shared" si="8"/>
        <v>0.11388888888888889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133</v>
      </c>
      <c r="F20" s="12" t="s">
        <v>116</v>
      </c>
      <c r="G20" s="12">
        <v>4</v>
      </c>
      <c r="H20" s="35">
        <v>20</v>
      </c>
      <c r="I20" s="7">
        <v>100000</v>
      </c>
      <c r="J20" s="14">
        <v>39132</v>
      </c>
      <c r="K20" s="15">
        <f>L20+83080</f>
        <v>122212</v>
      </c>
      <c r="L20" s="15">
        <f>9783*4</f>
        <v>39132</v>
      </c>
      <c r="M20" s="15">
        <f t="shared" si="1"/>
        <v>39132</v>
      </c>
      <c r="N20" s="15">
        <v>0</v>
      </c>
      <c r="O20" s="58">
        <f t="shared" si="2"/>
        <v>0</v>
      </c>
      <c r="P20" s="39">
        <f t="shared" si="3"/>
        <v>11</v>
      </c>
      <c r="Q20" s="40">
        <f t="shared" si="4"/>
        <v>13</v>
      </c>
      <c r="R20" s="7"/>
      <c r="S20" s="6"/>
      <c r="T20" s="16"/>
      <c r="U20" s="16"/>
      <c r="V20" s="17">
        <v>13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0.45833333333333331</v>
      </c>
      <c r="AD20" s="10">
        <f t="shared" si="7"/>
        <v>0.45833333333333331</v>
      </c>
      <c r="AE20" s="36">
        <f t="shared" si="8"/>
        <v>0.11388888888888889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325850</v>
      </c>
      <c r="J21" s="19">
        <f t="shared" si="11"/>
        <v>179707</v>
      </c>
      <c r="K21" s="20">
        <f t="shared" si="11"/>
        <v>515530</v>
      </c>
      <c r="L21" s="21">
        <f t="shared" si="11"/>
        <v>50714</v>
      </c>
      <c r="M21" s="20">
        <f t="shared" si="11"/>
        <v>50714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41</v>
      </c>
      <c r="Q21" s="43">
        <f t="shared" si="12"/>
        <v>319</v>
      </c>
      <c r="R21" s="23">
        <f t="shared" si="12"/>
        <v>24</v>
      </c>
      <c r="S21" s="24">
        <f t="shared" si="12"/>
        <v>0</v>
      </c>
      <c r="T21" s="24">
        <f t="shared" si="12"/>
        <v>0</v>
      </c>
      <c r="U21" s="24">
        <f t="shared" si="12"/>
        <v>0</v>
      </c>
      <c r="V21" s="25">
        <f t="shared" si="12"/>
        <v>39</v>
      </c>
      <c r="W21" s="26">
        <f t="shared" si="12"/>
        <v>256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0.26666666666666666</v>
      </c>
      <c r="AC21" s="4">
        <f>SUM(AC6:AC20)/15</f>
        <v>0.11388888888888889</v>
      </c>
      <c r="AD21" s="4">
        <f>SUM(AD6:AD20)/15</f>
        <v>0.11388888888888889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423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424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272" t="s">
        <v>46</v>
      </c>
      <c r="D50" s="272" t="s">
        <v>47</v>
      </c>
      <c r="E50" s="272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272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114</v>
      </c>
      <c r="B51" s="452"/>
      <c r="C51" s="274" t="s">
        <v>226</v>
      </c>
      <c r="D51" s="274" t="s">
        <v>117</v>
      </c>
      <c r="E51" s="274" t="s">
        <v>422</v>
      </c>
      <c r="F51" s="453" t="s">
        <v>121</v>
      </c>
      <c r="G51" s="454"/>
      <c r="H51" s="454"/>
      <c r="I51" s="454"/>
      <c r="J51" s="454"/>
      <c r="K51" s="454"/>
      <c r="L51" s="454"/>
      <c r="M51" s="455"/>
      <c r="N51" s="273" t="s">
        <v>154</v>
      </c>
      <c r="O51" s="279" t="s">
        <v>147</v>
      </c>
      <c r="P51" s="463" t="s">
        <v>158</v>
      </c>
      <c r="Q51" s="464"/>
      <c r="R51" s="452" t="s">
        <v>159</v>
      </c>
      <c r="S51" s="452"/>
      <c r="T51" s="452"/>
      <c r="U51" s="452"/>
      <c r="V51" s="442" t="s">
        <v>121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/>
      <c r="B52" s="452"/>
      <c r="C52" s="274"/>
      <c r="D52" s="274"/>
      <c r="E52" s="274"/>
      <c r="F52" s="453"/>
      <c r="G52" s="454"/>
      <c r="H52" s="454"/>
      <c r="I52" s="454"/>
      <c r="J52" s="454"/>
      <c r="K52" s="454"/>
      <c r="L52" s="454"/>
      <c r="M52" s="455"/>
      <c r="N52" s="273" t="s">
        <v>154</v>
      </c>
      <c r="O52" s="279" t="s">
        <v>221</v>
      </c>
      <c r="P52" s="463" t="s">
        <v>425</v>
      </c>
      <c r="Q52" s="464"/>
      <c r="R52" s="452" t="s">
        <v>160</v>
      </c>
      <c r="S52" s="452"/>
      <c r="T52" s="452"/>
      <c r="U52" s="452"/>
      <c r="V52" s="442" t="s">
        <v>121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/>
      <c r="B53" s="452"/>
      <c r="C53" s="274"/>
      <c r="D53" s="274"/>
      <c r="E53" s="274"/>
      <c r="F53" s="453"/>
      <c r="G53" s="454"/>
      <c r="H53" s="454"/>
      <c r="I53" s="454"/>
      <c r="J53" s="454"/>
      <c r="K53" s="454"/>
      <c r="L53" s="454"/>
      <c r="M53" s="455"/>
      <c r="N53" s="273" t="s">
        <v>339</v>
      </c>
      <c r="O53" s="279" t="s">
        <v>263</v>
      </c>
      <c r="P53" s="463"/>
      <c r="Q53" s="464"/>
      <c r="R53" s="452" t="s">
        <v>340</v>
      </c>
      <c r="S53" s="452"/>
      <c r="T53" s="452"/>
      <c r="U53" s="452"/>
      <c r="V53" s="442" t="s">
        <v>121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/>
      <c r="B54" s="452"/>
      <c r="C54" s="274"/>
      <c r="D54" s="274"/>
      <c r="E54" s="274"/>
      <c r="F54" s="453"/>
      <c r="G54" s="454"/>
      <c r="H54" s="454"/>
      <c r="I54" s="454"/>
      <c r="J54" s="454"/>
      <c r="K54" s="454"/>
      <c r="L54" s="454"/>
      <c r="M54" s="455"/>
      <c r="N54" s="273" t="s">
        <v>339</v>
      </c>
      <c r="O54" s="279"/>
      <c r="P54" s="463"/>
      <c r="Q54" s="464"/>
      <c r="R54" s="452"/>
      <c r="S54" s="452"/>
      <c r="T54" s="452"/>
      <c r="U54" s="452"/>
      <c r="V54" s="442" t="s">
        <v>426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/>
      <c r="B55" s="452"/>
      <c r="C55" s="274"/>
      <c r="D55" s="274"/>
      <c r="E55" s="274"/>
      <c r="F55" s="453"/>
      <c r="G55" s="454"/>
      <c r="H55" s="454"/>
      <c r="I55" s="454"/>
      <c r="J55" s="454"/>
      <c r="K55" s="454"/>
      <c r="L55" s="454"/>
      <c r="M55" s="455"/>
      <c r="N55" s="273"/>
      <c r="O55" s="279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/>
      <c r="B56" s="452"/>
      <c r="C56" s="274"/>
      <c r="D56" s="274"/>
      <c r="E56" s="274"/>
      <c r="F56" s="453"/>
      <c r="G56" s="454"/>
      <c r="H56" s="454"/>
      <c r="I56" s="454"/>
      <c r="J56" s="454"/>
      <c r="K56" s="454"/>
      <c r="L56" s="454"/>
      <c r="M56" s="455"/>
      <c r="N56" s="273"/>
      <c r="O56" s="279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274"/>
      <c r="D57" s="274"/>
      <c r="E57" s="274"/>
      <c r="F57" s="453"/>
      <c r="G57" s="454"/>
      <c r="H57" s="454"/>
      <c r="I57" s="454"/>
      <c r="J57" s="454"/>
      <c r="K57" s="454"/>
      <c r="L57" s="454"/>
      <c r="M57" s="455"/>
      <c r="N57" s="273"/>
      <c r="O57" s="279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274"/>
      <c r="D58" s="274"/>
      <c r="E58" s="274"/>
      <c r="F58" s="453"/>
      <c r="G58" s="454"/>
      <c r="H58" s="454"/>
      <c r="I58" s="454"/>
      <c r="J58" s="454"/>
      <c r="K58" s="454"/>
      <c r="L58" s="454"/>
      <c r="M58" s="455"/>
      <c r="N58" s="273"/>
      <c r="O58" s="279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74"/>
      <c r="D59" s="274"/>
      <c r="E59" s="274"/>
      <c r="F59" s="453"/>
      <c r="G59" s="454"/>
      <c r="H59" s="454"/>
      <c r="I59" s="454"/>
      <c r="J59" s="454"/>
      <c r="K59" s="454"/>
      <c r="L59" s="454"/>
      <c r="M59" s="455"/>
      <c r="N59" s="273"/>
      <c r="O59" s="279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276"/>
      <c r="D60" s="276"/>
      <c r="E60" s="276"/>
      <c r="F60" s="459"/>
      <c r="G60" s="459"/>
      <c r="H60" s="459"/>
      <c r="I60" s="459"/>
      <c r="J60" s="459"/>
      <c r="K60" s="459"/>
      <c r="L60" s="459"/>
      <c r="M60" s="460"/>
      <c r="N60" s="275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427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277" t="s">
        <v>2</v>
      </c>
      <c r="D62" s="277" t="s">
        <v>37</v>
      </c>
      <c r="E62" s="277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277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 t="s">
        <v>339</v>
      </c>
      <c r="D63" s="281"/>
      <c r="E63" s="278"/>
      <c r="F63" s="440" t="s">
        <v>428</v>
      </c>
      <c r="G63" s="432"/>
      <c r="H63" s="432"/>
      <c r="I63" s="432"/>
      <c r="J63" s="432"/>
      <c r="K63" s="432" t="s">
        <v>162</v>
      </c>
      <c r="L63" s="432"/>
      <c r="M63" s="51" t="s">
        <v>231</v>
      </c>
      <c r="N63" s="443" t="s">
        <v>135</v>
      </c>
      <c r="O63" s="443"/>
      <c r="P63" s="441">
        <v>50</v>
      </c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 t="s">
        <v>114</v>
      </c>
      <c r="D64" s="281"/>
      <c r="E64" s="278" t="s">
        <v>435</v>
      </c>
      <c r="F64" s="440" t="s">
        <v>429</v>
      </c>
      <c r="G64" s="432"/>
      <c r="H64" s="432"/>
      <c r="I64" s="432"/>
      <c r="J64" s="432"/>
      <c r="K64" s="432" t="s">
        <v>144</v>
      </c>
      <c r="L64" s="432"/>
      <c r="M64" s="51" t="s">
        <v>299</v>
      </c>
      <c r="N64" s="443" t="s">
        <v>147</v>
      </c>
      <c r="O64" s="443"/>
      <c r="P64" s="441">
        <v>100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 t="s">
        <v>339</v>
      </c>
      <c r="D65" s="281"/>
      <c r="E65" s="278"/>
      <c r="F65" s="440" t="s">
        <v>430</v>
      </c>
      <c r="G65" s="432"/>
      <c r="H65" s="432"/>
      <c r="I65" s="432"/>
      <c r="J65" s="432"/>
      <c r="K65" s="432" t="s">
        <v>162</v>
      </c>
      <c r="L65" s="432"/>
      <c r="M65" s="51" t="s">
        <v>231</v>
      </c>
      <c r="N65" s="443" t="s">
        <v>182</v>
      </c>
      <c r="O65" s="443"/>
      <c r="P65" s="441">
        <v>50</v>
      </c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 t="s">
        <v>154</v>
      </c>
      <c r="D66" s="281"/>
      <c r="E66" s="278" t="s">
        <v>125</v>
      </c>
      <c r="F66" s="440" t="s">
        <v>367</v>
      </c>
      <c r="G66" s="432"/>
      <c r="H66" s="432"/>
      <c r="I66" s="432"/>
      <c r="J66" s="432"/>
      <c r="K66" s="432" t="s">
        <v>368</v>
      </c>
      <c r="L66" s="432"/>
      <c r="M66" s="51" t="s">
        <v>293</v>
      </c>
      <c r="N66" s="443" t="s">
        <v>150</v>
      </c>
      <c r="O66" s="443"/>
      <c r="P66" s="441">
        <v>50</v>
      </c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 t="s">
        <v>114</v>
      </c>
      <c r="D67" s="281"/>
      <c r="E67" s="278" t="s">
        <v>125</v>
      </c>
      <c r="F67" s="440" t="s">
        <v>431</v>
      </c>
      <c r="G67" s="432"/>
      <c r="H67" s="432"/>
      <c r="I67" s="432"/>
      <c r="J67" s="432"/>
      <c r="K67" s="432" t="s">
        <v>132</v>
      </c>
      <c r="L67" s="432"/>
      <c r="M67" s="51" t="s">
        <v>299</v>
      </c>
      <c r="N67" s="443" t="s">
        <v>263</v>
      </c>
      <c r="O67" s="443"/>
      <c r="P67" s="441">
        <v>50</v>
      </c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 t="s">
        <v>114</v>
      </c>
      <c r="D68" s="281"/>
      <c r="E68" s="278" t="s">
        <v>125</v>
      </c>
      <c r="F68" s="440" t="s">
        <v>432</v>
      </c>
      <c r="G68" s="432"/>
      <c r="H68" s="432"/>
      <c r="I68" s="432"/>
      <c r="J68" s="432"/>
      <c r="K68" s="432">
        <v>8301</v>
      </c>
      <c r="L68" s="432"/>
      <c r="M68" s="51" t="s">
        <v>293</v>
      </c>
      <c r="N68" s="432">
        <v>12</v>
      </c>
      <c r="O68" s="432"/>
      <c r="P68" s="441">
        <v>20</v>
      </c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 t="s">
        <v>114</v>
      </c>
      <c r="D69" s="281"/>
      <c r="E69" s="278" t="s">
        <v>125</v>
      </c>
      <c r="F69" s="440" t="s">
        <v>433</v>
      </c>
      <c r="G69" s="432"/>
      <c r="H69" s="432"/>
      <c r="I69" s="432"/>
      <c r="J69" s="432"/>
      <c r="K69" s="432" t="s">
        <v>254</v>
      </c>
      <c r="L69" s="432"/>
      <c r="M69" s="51" t="s">
        <v>293</v>
      </c>
      <c r="N69" s="432">
        <v>12</v>
      </c>
      <c r="O69" s="432"/>
      <c r="P69" s="441">
        <v>20</v>
      </c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 t="s">
        <v>339</v>
      </c>
      <c r="D70" s="281"/>
      <c r="E70" s="278"/>
      <c r="F70" s="440" t="s">
        <v>434</v>
      </c>
      <c r="G70" s="432"/>
      <c r="H70" s="432"/>
      <c r="I70" s="432"/>
      <c r="J70" s="432"/>
      <c r="K70" s="432" t="s">
        <v>162</v>
      </c>
      <c r="L70" s="432"/>
      <c r="M70" s="51" t="s">
        <v>231</v>
      </c>
      <c r="N70" s="432">
        <v>13</v>
      </c>
      <c r="O70" s="432"/>
      <c r="P70" s="441">
        <v>50</v>
      </c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436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280" t="s">
        <v>2</v>
      </c>
      <c r="D72" s="280" t="s">
        <v>37</v>
      </c>
      <c r="E72" s="280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282" t="s">
        <v>114</v>
      </c>
      <c r="D73" s="282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281"/>
      <c r="D74" s="281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281"/>
      <c r="D75" s="281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281"/>
      <c r="D76" s="281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281"/>
      <c r="D77" s="281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281"/>
      <c r="D78" s="281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281"/>
      <c r="D79" s="281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281"/>
      <c r="D80" s="281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281"/>
      <c r="D81" s="281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437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C52F-5260-4258-BACB-3F386EE8F86C}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438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0.40953382852340231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0.40953382852340231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L8+693+1619</f>
        <v>2312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0.40953382852340231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119</v>
      </c>
      <c r="E9" s="53" t="s">
        <v>379</v>
      </c>
      <c r="F9" s="30" t="s">
        <v>124</v>
      </c>
      <c r="G9" s="33">
        <v>1</v>
      </c>
      <c r="H9" s="35">
        <v>24</v>
      </c>
      <c r="I9" s="7">
        <v>6000</v>
      </c>
      <c r="J9" s="14">
        <v>2915</v>
      </c>
      <c r="K9" s="15">
        <f>L9+4702+2915</f>
        <v>7617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0.40953382852340231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154</v>
      </c>
      <c r="D10" s="52" t="s">
        <v>158</v>
      </c>
      <c r="E10" s="53" t="s">
        <v>159</v>
      </c>
      <c r="F10" s="30" t="s">
        <v>122</v>
      </c>
      <c r="G10" s="33">
        <v>2</v>
      </c>
      <c r="H10" s="35">
        <v>24</v>
      </c>
      <c r="I10" s="7">
        <v>20000</v>
      </c>
      <c r="J10" s="5">
        <v>10344</v>
      </c>
      <c r="K10" s="15">
        <f>L10</f>
        <v>10344</v>
      </c>
      <c r="L10" s="15">
        <f>1440*2+3732*2</f>
        <v>10344</v>
      </c>
      <c r="M10" s="15">
        <f t="shared" si="1"/>
        <v>10344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/>
      <c r="S10" s="6">
        <v>6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0.40953382852340231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154</v>
      </c>
      <c r="D11" s="52" t="s">
        <v>163</v>
      </c>
      <c r="E11" s="53" t="s">
        <v>160</v>
      </c>
      <c r="F11" s="30" t="s">
        <v>122</v>
      </c>
      <c r="G11" s="33" t="s">
        <v>145</v>
      </c>
      <c r="H11" s="35">
        <v>20</v>
      </c>
      <c r="I11" s="7">
        <v>8000</v>
      </c>
      <c r="J11" s="14">
        <v>5603</v>
      </c>
      <c r="K11" s="15">
        <f>L11</f>
        <v>5603</v>
      </c>
      <c r="L11" s="15">
        <f>2175+3428</f>
        <v>5603</v>
      </c>
      <c r="M11" s="15">
        <f t="shared" si="1"/>
        <v>5603</v>
      </c>
      <c r="N11" s="15">
        <v>0</v>
      </c>
      <c r="O11" s="58">
        <f t="shared" si="2"/>
        <v>0</v>
      </c>
      <c r="P11" s="39">
        <f t="shared" si="3"/>
        <v>23</v>
      </c>
      <c r="Q11" s="40">
        <f t="shared" si="4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0.95833333333333337</v>
      </c>
      <c r="AD11" s="10">
        <f t="shared" si="7"/>
        <v>0.95833333333333337</v>
      </c>
      <c r="AE11" s="36">
        <f t="shared" si="8"/>
        <v>0.40953382852340231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351</v>
      </c>
      <c r="D12" s="52" t="s">
        <v>117</v>
      </c>
      <c r="E12" s="53" t="s">
        <v>352</v>
      </c>
      <c r="F12" s="30" t="s">
        <v>372</v>
      </c>
      <c r="G12" s="33">
        <v>2</v>
      </c>
      <c r="H12" s="35">
        <v>20</v>
      </c>
      <c r="I12" s="7">
        <v>40000</v>
      </c>
      <c r="J12" s="14">
        <v>9738</v>
      </c>
      <c r="K12" s="15">
        <f>L12+7450+10334+10638+4872</f>
        <v>43032</v>
      </c>
      <c r="L12" s="15">
        <f>2291*2+2578*2</f>
        <v>9738</v>
      </c>
      <c r="M12" s="15">
        <f t="shared" si="1"/>
        <v>9738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0.40953382852340231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339</v>
      </c>
      <c r="D13" s="52" t="s">
        <v>143</v>
      </c>
      <c r="E13" s="53" t="s">
        <v>439</v>
      </c>
      <c r="F13" s="30" t="s">
        <v>162</v>
      </c>
      <c r="G13" s="33">
        <v>1</v>
      </c>
      <c r="H13" s="35">
        <v>24</v>
      </c>
      <c r="I13" s="7">
        <v>5100</v>
      </c>
      <c r="J13" s="14">
        <v>1832</v>
      </c>
      <c r="K13" s="15">
        <f>L13</f>
        <v>1832</v>
      </c>
      <c r="L13" s="15">
        <f>1832</f>
        <v>1832</v>
      </c>
      <c r="M13" s="15">
        <f t="shared" si="1"/>
        <v>1832</v>
      </c>
      <c r="N13" s="15">
        <v>0</v>
      </c>
      <c r="O13" s="58">
        <f t="shared" si="2"/>
        <v>0</v>
      </c>
      <c r="P13" s="39">
        <f t="shared" si="3"/>
        <v>18</v>
      </c>
      <c r="Q13" s="40">
        <f t="shared" si="4"/>
        <v>6</v>
      </c>
      <c r="R13" s="7"/>
      <c r="S13" s="6"/>
      <c r="T13" s="16"/>
      <c r="U13" s="16"/>
      <c r="V13" s="17">
        <v>6</v>
      </c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0.75</v>
      </c>
      <c r="AD13" s="10">
        <f t="shared" si="7"/>
        <v>0.75</v>
      </c>
      <c r="AE13" s="36">
        <f t="shared" si="8"/>
        <v>0.40953382852340231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422</v>
      </c>
      <c r="F14" s="30" t="s">
        <v>405</v>
      </c>
      <c r="G14" s="33">
        <v>1</v>
      </c>
      <c r="H14" s="35">
        <v>40</v>
      </c>
      <c r="I14" s="7">
        <v>500</v>
      </c>
      <c r="J14" s="5">
        <v>1006</v>
      </c>
      <c r="K14" s="15">
        <f>L14+1006</f>
        <v>1006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0.40953382852340231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407</v>
      </c>
      <c r="F15" s="12">
        <v>8301</v>
      </c>
      <c r="G15" s="12">
        <v>1</v>
      </c>
      <c r="H15" s="13">
        <v>24</v>
      </c>
      <c r="I15" s="31">
        <v>1000</v>
      </c>
      <c r="J15" s="14">
        <v>1098</v>
      </c>
      <c r="K15" s="15">
        <f>L15+1098</f>
        <v>1098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0.40953382852340231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0.40953382852340231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339</v>
      </c>
      <c r="D17" s="52"/>
      <c r="E17" s="53" t="s">
        <v>374</v>
      </c>
      <c r="F17" s="12" t="s">
        <v>155</v>
      </c>
      <c r="G17" s="12">
        <v>1</v>
      </c>
      <c r="H17" s="13">
        <v>24</v>
      </c>
      <c r="I17" s="31">
        <v>3300</v>
      </c>
      <c r="J17" s="14">
        <v>3409</v>
      </c>
      <c r="K17" s="15">
        <f>L17</f>
        <v>3409</v>
      </c>
      <c r="L17" s="15">
        <f>2535+874</f>
        <v>3409</v>
      </c>
      <c r="M17" s="15">
        <f t="shared" si="1"/>
        <v>3409</v>
      </c>
      <c r="N17" s="15">
        <v>0</v>
      </c>
      <c r="O17" s="58">
        <f t="shared" si="2"/>
        <v>0</v>
      </c>
      <c r="P17" s="39">
        <f t="shared" si="3"/>
        <v>17</v>
      </c>
      <c r="Q17" s="40">
        <f t="shared" si="4"/>
        <v>7</v>
      </c>
      <c r="R17" s="7"/>
      <c r="S17" s="6"/>
      <c r="T17" s="16"/>
      <c r="U17" s="16"/>
      <c r="V17" s="17"/>
      <c r="W17" s="5">
        <v>7</v>
      </c>
      <c r="X17" s="16"/>
      <c r="Y17" s="16"/>
      <c r="Z17" s="16"/>
      <c r="AA17" s="18"/>
      <c r="AB17" s="8">
        <f t="shared" si="5"/>
        <v>1</v>
      </c>
      <c r="AC17" s="9">
        <f t="shared" si="6"/>
        <v>0.70833333333333337</v>
      </c>
      <c r="AD17" s="10">
        <f t="shared" si="7"/>
        <v>0.70833333333333337</v>
      </c>
      <c r="AE17" s="36">
        <f t="shared" si="8"/>
        <v>0.40953382852340231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154</v>
      </c>
      <c r="D18" s="52" t="s">
        <v>119</v>
      </c>
      <c r="E18" s="53" t="s">
        <v>441</v>
      </c>
      <c r="F18" s="30" t="s">
        <v>230</v>
      </c>
      <c r="G18" s="33">
        <v>1</v>
      </c>
      <c r="H18" s="35">
        <v>24</v>
      </c>
      <c r="I18" s="7">
        <v>4000</v>
      </c>
      <c r="J18" s="5">
        <v>3109</v>
      </c>
      <c r="K18" s="15">
        <f>L18</f>
        <v>3109</v>
      </c>
      <c r="L18" s="15">
        <f>3109</f>
        <v>3109</v>
      </c>
      <c r="M18" s="15">
        <f t="shared" si="1"/>
        <v>3109</v>
      </c>
      <c r="N18" s="15">
        <v>0</v>
      </c>
      <c r="O18" s="58">
        <f t="shared" si="2"/>
        <v>0</v>
      </c>
      <c r="P18" s="39">
        <f t="shared" si="3"/>
        <v>20</v>
      </c>
      <c r="Q18" s="40">
        <f t="shared" si="4"/>
        <v>4</v>
      </c>
      <c r="R18" s="7"/>
      <c r="S18" s="6"/>
      <c r="T18" s="16">
        <v>4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0.83333333333333337</v>
      </c>
      <c r="AD18" s="10">
        <f>AC18*AB18*(1-O18)</f>
        <v>0.83333333333333337</v>
      </c>
      <c r="AE18" s="36">
        <f t="shared" si="8"/>
        <v>0.40953382852340231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339</v>
      </c>
      <c r="D19" s="52" t="s">
        <v>143</v>
      </c>
      <c r="E19" s="53" t="s">
        <v>440</v>
      </c>
      <c r="F19" s="30" t="s">
        <v>162</v>
      </c>
      <c r="G19" s="33">
        <v>1</v>
      </c>
      <c r="H19" s="35">
        <v>24</v>
      </c>
      <c r="I19" s="7">
        <v>3450</v>
      </c>
      <c r="J19" s="14">
        <v>1456</v>
      </c>
      <c r="K19" s="15">
        <f>L19</f>
        <v>1456</v>
      </c>
      <c r="L19" s="15">
        <f>1456</f>
        <v>1456</v>
      </c>
      <c r="M19" s="15">
        <f t="shared" si="1"/>
        <v>1456</v>
      </c>
      <c r="N19" s="15">
        <v>0</v>
      </c>
      <c r="O19" s="58">
        <f t="shared" si="2"/>
        <v>0</v>
      </c>
      <c r="P19" s="39">
        <f t="shared" si="3"/>
        <v>13</v>
      </c>
      <c r="Q19" s="40">
        <f t="shared" si="4"/>
        <v>11</v>
      </c>
      <c r="R19" s="7"/>
      <c r="S19" s="6">
        <v>11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0.54166666666666663</v>
      </c>
      <c r="AD19" s="10">
        <f t="shared" ref="AD19" si="10">AC19*AB19*(1-O19)</f>
        <v>0.54166666666666663</v>
      </c>
      <c r="AE19" s="36">
        <f t="shared" si="8"/>
        <v>0.40953382852340231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133</v>
      </c>
      <c r="F20" s="12" t="s">
        <v>116</v>
      </c>
      <c r="G20" s="12">
        <v>4</v>
      </c>
      <c r="H20" s="35">
        <v>20</v>
      </c>
      <c r="I20" s="7">
        <v>100000</v>
      </c>
      <c r="J20" s="14">
        <v>39132</v>
      </c>
      <c r="K20" s="15">
        <f>L20+83080+39132</f>
        <v>162552</v>
      </c>
      <c r="L20" s="15">
        <f>10085*4</f>
        <v>40340</v>
      </c>
      <c r="M20" s="15">
        <f t="shared" si="1"/>
        <v>40340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1.0308698763160584</v>
      </c>
      <c r="AC20" s="9">
        <f t="shared" si="6"/>
        <v>0.58333333333333337</v>
      </c>
      <c r="AD20" s="10">
        <f t="shared" si="7"/>
        <v>0.60134076118436741</v>
      </c>
      <c r="AE20" s="36">
        <f t="shared" si="8"/>
        <v>0.40953382852340231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192950</v>
      </c>
      <c r="J21" s="19">
        <f t="shared" si="11"/>
        <v>83808</v>
      </c>
      <c r="K21" s="20">
        <f t="shared" si="11"/>
        <v>245917</v>
      </c>
      <c r="L21" s="21">
        <f t="shared" si="11"/>
        <v>75831</v>
      </c>
      <c r="M21" s="20">
        <f t="shared" si="11"/>
        <v>75831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147</v>
      </c>
      <c r="Q21" s="43">
        <f t="shared" si="12"/>
        <v>213</v>
      </c>
      <c r="R21" s="23">
        <f t="shared" si="12"/>
        <v>24</v>
      </c>
      <c r="S21" s="24">
        <f t="shared" si="12"/>
        <v>17</v>
      </c>
      <c r="T21" s="24">
        <f t="shared" si="12"/>
        <v>5</v>
      </c>
      <c r="U21" s="24">
        <f t="shared" si="12"/>
        <v>0</v>
      </c>
      <c r="V21" s="25">
        <f t="shared" si="12"/>
        <v>16</v>
      </c>
      <c r="W21" s="26">
        <f t="shared" si="12"/>
        <v>151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0.53539132508773724</v>
      </c>
      <c r="AC21" s="4">
        <f>SUM(AC6:AC20)/15</f>
        <v>0.40833333333333333</v>
      </c>
      <c r="AD21" s="4">
        <f>SUM(AD6:AD20)/15</f>
        <v>0.40953382852340231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442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444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293" t="s">
        <v>46</v>
      </c>
      <c r="D50" s="293" t="s">
        <v>47</v>
      </c>
      <c r="E50" s="293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293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154</v>
      </c>
      <c r="B51" s="452"/>
      <c r="C51" s="290" t="s">
        <v>147</v>
      </c>
      <c r="D51" s="290" t="s">
        <v>168</v>
      </c>
      <c r="E51" s="290" t="s">
        <v>159</v>
      </c>
      <c r="F51" s="453" t="s">
        <v>443</v>
      </c>
      <c r="G51" s="454"/>
      <c r="H51" s="454"/>
      <c r="I51" s="454"/>
      <c r="J51" s="454"/>
      <c r="K51" s="454"/>
      <c r="L51" s="454"/>
      <c r="M51" s="455"/>
      <c r="N51" s="289" t="s">
        <v>339</v>
      </c>
      <c r="O51" s="287" t="s">
        <v>138</v>
      </c>
      <c r="P51" s="463" t="s">
        <v>143</v>
      </c>
      <c r="Q51" s="464"/>
      <c r="R51" s="452" t="s">
        <v>416</v>
      </c>
      <c r="S51" s="452"/>
      <c r="T51" s="452"/>
      <c r="U51" s="452"/>
      <c r="V51" s="442" t="s">
        <v>137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154</v>
      </c>
      <c r="B52" s="452"/>
      <c r="C52" s="290" t="s">
        <v>221</v>
      </c>
      <c r="D52" s="290" t="s">
        <v>425</v>
      </c>
      <c r="E52" s="290" t="s">
        <v>160</v>
      </c>
      <c r="F52" s="453" t="s">
        <v>121</v>
      </c>
      <c r="G52" s="454"/>
      <c r="H52" s="454"/>
      <c r="I52" s="454"/>
      <c r="J52" s="454"/>
      <c r="K52" s="454"/>
      <c r="L52" s="454"/>
      <c r="M52" s="455"/>
      <c r="N52" s="289" t="s">
        <v>126</v>
      </c>
      <c r="O52" s="287" t="s">
        <v>204</v>
      </c>
      <c r="P52" s="463"/>
      <c r="Q52" s="464"/>
      <c r="R52" s="452" t="s">
        <v>445</v>
      </c>
      <c r="S52" s="452"/>
      <c r="T52" s="452"/>
      <c r="U52" s="452"/>
      <c r="V52" s="442" t="s">
        <v>121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339</v>
      </c>
      <c r="B53" s="452"/>
      <c r="C53" s="290" t="s">
        <v>182</v>
      </c>
      <c r="D53" s="290" t="s">
        <v>143</v>
      </c>
      <c r="E53" s="290" t="s">
        <v>430</v>
      </c>
      <c r="F53" s="453" t="s">
        <v>121</v>
      </c>
      <c r="G53" s="454"/>
      <c r="H53" s="454"/>
      <c r="I53" s="454"/>
      <c r="J53" s="454"/>
      <c r="K53" s="454"/>
      <c r="L53" s="454"/>
      <c r="M53" s="455"/>
      <c r="N53" s="289"/>
      <c r="O53" s="287"/>
      <c r="P53" s="463"/>
      <c r="Q53" s="464"/>
      <c r="R53" s="452"/>
      <c r="S53" s="452"/>
      <c r="T53" s="452"/>
      <c r="U53" s="452"/>
      <c r="V53" s="442"/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339</v>
      </c>
      <c r="B54" s="452"/>
      <c r="C54" s="290" t="s">
        <v>138</v>
      </c>
      <c r="D54" s="290" t="s">
        <v>143</v>
      </c>
      <c r="E54" s="290" t="s">
        <v>416</v>
      </c>
      <c r="F54" s="453" t="s">
        <v>245</v>
      </c>
      <c r="G54" s="454"/>
      <c r="H54" s="454"/>
      <c r="I54" s="454"/>
      <c r="J54" s="454"/>
      <c r="K54" s="454"/>
      <c r="L54" s="454"/>
      <c r="M54" s="455"/>
      <c r="N54" s="289"/>
      <c r="O54" s="287"/>
      <c r="P54" s="463"/>
      <c r="Q54" s="464"/>
      <c r="R54" s="452"/>
      <c r="S54" s="452"/>
      <c r="T54" s="452"/>
      <c r="U54" s="452"/>
      <c r="V54" s="442"/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154</v>
      </c>
      <c r="B55" s="452"/>
      <c r="C55" s="290" t="s">
        <v>136</v>
      </c>
      <c r="D55" s="290" t="s">
        <v>119</v>
      </c>
      <c r="E55" s="290" t="s">
        <v>441</v>
      </c>
      <c r="F55" s="453" t="s">
        <v>121</v>
      </c>
      <c r="G55" s="454"/>
      <c r="H55" s="454"/>
      <c r="I55" s="454"/>
      <c r="J55" s="454"/>
      <c r="K55" s="454"/>
      <c r="L55" s="454"/>
      <c r="M55" s="455"/>
      <c r="N55" s="289"/>
      <c r="O55" s="287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339</v>
      </c>
      <c r="B56" s="452"/>
      <c r="C56" s="290" t="s">
        <v>263</v>
      </c>
      <c r="D56" s="290"/>
      <c r="E56" s="290" t="s">
        <v>374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289"/>
      <c r="O56" s="287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290"/>
      <c r="D57" s="290"/>
      <c r="E57" s="290"/>
      <c r="F57" s="453"/>
      <c r="G57" s="454"/>
      <c r="H57" s="454"/>
      <c r="I57" s="454"/>
      <c r="J57" s="454"/>
      <c r="K57" s="454"/>
      <c r="L57" s="454"/>
      <c r="M57" s="455"/>
      <c r="N57" s="289"/>
      <c r="O57" s="287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290"/>
      <c r="D58" s="290"/>
      <c r="E58" s="290"/>
      <c r="F58" s="453"/>
      <c r="G58" s="454"/>
      <c r="H58" s="454"/>
      <c r="I58" s="454"/>
      <c r="J58" s="454"/>
      <c r="K58" s="454"/>
      <c r="L58" s="454"/>
      <c r="M58" s="455"/>
      <c r="N58" s="289"/>
      <c r="O58" s="287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90"/>
      <c r="D59" s="290"/>
      <c r="E59" s="290"/>
      <c r="F59" s="453"/>
      <c r="G59" s="454"/>
      <c r="H59" s="454"/>
      <c r="I59" s="454"/>
      <c r="J59" s="454"/>
      <c r="K59" s="454"/>
      <c r="L59" s="454"/>
      <c r="M59" s="455"/>
      <c r="N59" s="289"/>
      <c r="O59" s="287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292"/>
      <c r="D60" s="292"/>
      <c r="E60" s="292"/>
      <c r="F60" s="459"/>
      <c r="G60" s="459"/>
      <c r="H60" s="459"/>
      <c r="I60" s="459"/>
      <c r="J60" s="459"/>
      <c r="K60" s="459"/>
      <c r="L60" s="459"/>
      <c r="M60" s="460"/>
      <c r="N60" s="291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446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288" t="s">
        <v>2</v>
      </c>
      <c r="D62" s="288" t="s">
        <v>37</v>
      </c>
      <c r="E62" s="288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288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/>
      <c r="D63" s="283"/>
      <c r="E63" s="286"/>
      <c r="F63" s="440"/>
      <c r="G63" s="432"/>
      <c r="H63" s="432"/>
      <c r="I63" s="432"/>
      <c r="J63" s="432"/>
      <c r="K63" s="432"/>
      <c r="L63" s="432"/>
      <c r="M63" s="51"/>
      <c r="N63" s="443"/>
      <c r="O63" s="443"/>
      <c r="P63" s="441"/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/>
      <c r="D64" s="283"/>
      <c r="E64" s="286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283"/>
      <c r="E65" s="286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283"/>
      <c r="E66" s="286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283"/>
      <c r="E67" s="286"/>
      <c r="F67" s="440"/>
      <c r="G67" s="432"/>
      <c r="H67" s="432"/>
      <c r="I67" s="432"/>
      <c r="J67" s="432"/>
      <c r="K67" s="432"/>
      <c r="L67" s="432"/>
      <c r="M67" s="51"/>
      <c r="N67" s="443"/>
      <c r="O67" s="443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283"/>
      <c r="E68" s="286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283"/>
      <c r="E69" s="286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283"/>
      <c r="E70" s="286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447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285" t="s">
        <v>2</v>
      </c>
      <c r="D72" s="285" t="s">
        <v>37</v>
      </c>
      <c r="E72" s="285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284" t="s">
        <v>114</v>
      </c>
      <c r="D73" s="284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283"/>
      <c r="D74" s="283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283"/>
      <c r="D75" s="283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283"/>
      <c r="D76" s="283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283"/>
      <c r="D77" s="283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283"/>
      <c r="D78" s="283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283"/>
      <c r="D79" s="283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283"/>
      <c r="D80" s="283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283"/>
      <c r="D81" s="283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448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A71B-8DCE-448F-A97A-27BB8144D6BA}">
  <sheetPr>
    <pageSetUpPr fitToPage="1"/>
  </sheetPr>
  <dimension ref="A1:AF86"/>
  <sheetViews>
    <sheetView zoomScale="72" zoomScaleNormal="72" zoomScaleSheetLayoutView="70" workbookViewId="0">
      <selection activeCell="L16" sqref="L16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449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295" t="s">
        <v>17</v>
      </c>
      <c r="L5" s="295" t="s">
        <v>18</v>
      </c>
      <c r="M5" s="295" t="s">
        <v>19</v>
      </c>
      <c r="N5" s="29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0.30833333333333335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0.30833333333333335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L8+693+1619</f>
        <v>2312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0.30833333333333335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119</v>
      </c>
      <c r="E9" s="53" t="s">
        <v>379</v>
      </c>
      <c r="F9" s="30" t="s">
        <v>124</v>
      </c>
      <c r="G9" s="33">
        <v>1</v>
      </c>
      <c r="H9" s="35">
        <v>24</v>
      </c>
      <c r="I9" s="7">
        <v>6000</v>
      </c>
      <c r="J9" s="14">
        <v>2915</v>
      </c>
      <c r="K9" s="15">
        <f>L9+4702+2915</f>
        <v>7617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/>
      <c r="T9" s="16"/>
      <c r="U9" s="16"/>
      <c r="V9" s="17"/>
      <c r="W9" s="5">
        <v>24</v>
      </c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0.30833333333333335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154</v>
      </c>
      <c r="D10" s="52" t="s">
        <v>158</v>
      </c>
      <c r="E10" s="53" t="s">
        <v>159</v>
      </c>
      <c r="F10" s="30" t="s">
        <v>122</v>
      </c>
      <c r="G10" s="33">
        <v>2</v>
      </c>
      <c r="H10" s="35">
        <v>24</v>
      </c>
      <c r="I10" s="7">
        <v>20000</v>
      </c>
      <c r="J10" s="5">
        <v>15286</v>
      </c>
      <c r="K10" s="15">
        <f>L10+10344</f>
        <v>25630</v>
      </c>
      <c r="L10" s="15">
        <f>3820*2+3823*2</f>
        <v>15286</v>
      </c>
      <c r="M10" s="15">
        <f t="shared" si="1"/>
        <v>15286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0.30833333333333335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154</v>
      </c>
      <c r="D11" s="52" t="s">
        <v>163</v>
      </c>
      <c r="E11" s="53" t="s">
        <v>160</v>
      </c>
      <c r="F11" s="30" t="s">
        <v>122</v>
      </c>
      <c r="G11" s="33" t="s">
        <v>145</v>
      </c>
      <c r="H11" s="35">
        <v>20</v>
      </c>
      <c r="I11" s="7">
        <v>8000</v>
      </c>
      <c r="J11" s="14">
        <v>6438</v>
      </c>
      <c r="K11" s="15">
        <f>L11+5603</f>
        <v>12041</v>
      </c>
      <c r="L11" s="15">
        <f>3195+3243</f>
        <v>6438</v>
      </c>
      <c r="M11" s="15">
        <f t="shared" si="1"/>
        <v>6438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si="7"/>
        <v>1</v>
      </c>
      <c r="AE11" s="36">
        <f t="shared" si="8"/>
        <v>0.30833333333333335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126</v>
      </c>
      <c r="D12" s="52" t="s">
        <v>450</v>
      </c>
      <c r="E12" s="53" t="s">
        <v>445</v>
      </c>
      <c r="F12" s="30" t="s">
        <v>156</v>
      </c>
      <c r="G12" s="33">
        <v>1</v>
      </c>
      <c r="H12" s="35">
        <v>20</v>
      </c>
      <c r="I12" s="7">
        <v>1000</v>
      </c>
      <c r="J12" s="14">
        <v>2854</v>
      </c>
      <c r="K12" s="15">
        <f>L12</f>
        <v>2854</v>
      </c>
      <c r="L12" s="15">
        <f>2386+468</f>
        <v>2854</v>
      </c>
      <c r="M12" s="15">
        <f t="shared" si="1"/>
        <v>2854</v>
      </c>
      <c r="N12" s="15">
        <v>0</v>
      </c>
      <c r="O12" s="58">
        <f t="shared" si="2"/>
        <v>0</v>
      </c>
      <c r="P12" s="39">
        <f t="shared" si="3"/>
        <v>15</v>
      </c>
      <c r="Q12" s="40">
        <f t="shared" si="4"/>
        <v>9</v>
      </c>
      <c r="R12" s="7"/>
      <c r="S12" s="6">
        <v>9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0.625</v>
      </c>
      <c r="AD12" s="10">
        <f t="shared" si="7"/>
        <v>0.625</v>
      </c>
      <c r="AE12" s="36">
        <f t="shared" si="8"/>
        <v>0.30833333333333335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339</v>
      </c>
      <c r="D13" s="52" t="s">
        <v>143</v>
      </c>
      <c r="E13" s="53" t="s">
        <v>439</v>
      </c>
      <c r="F13" s="30" t="s">
        <v>162</v>
      </c>
      <c r="G13" s="33">
        <v>1</v>
      </c>
      <c r="H13" s="35">
        <v>24</v>
      </c>
      <c r="I13" s="7">
        <v>5100</v>
      </c>
      <c r="J13" s="14">
        <v>3463</v>
      </c>
      <c r="K13" s="15">
        <f>L13+1832</f>
        <v>5295</v>
      </c>
      <c r="L13" s="15">
        <f>1677+1786</f>
        <v>3463</v>
      </c>
      <c r="M13" s="15">
        <f t="shared" si="1"/>
        <v>3463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0.30833333333333335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422</v>
      </c>
      <c r="F14" s="30" t="s">
        <v>405</v>
      </c>
      <c r="G14" s="33">
        <v>1</v>
      </c>
      <c r="H14" s="35">
        <v>40</v>
      </c>
      <c r="I14" s="7">
        <v>500</v>
      </c>
      <c r="J14" s="5">
        <v>1006</v>
      </c>
      <c r="K14" s="15">
        <f>L14+1006</f>
        <v>1006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0.30833333333333335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407</v>
      </c>
      <c r="F15" s="12">
        <v>8301</v>
      </c>
      <c r="G15" s="12">
        <v>1</v>
      </c>
      <c r="H15" s="13">
        <v>24</v>
      </c>
      <c r="I15" s="31">
        <v>1000</v>
      </c>
      <c r="J15" s="14">
        <v>1098</v>
      </c>
      <c r="K15" s="15">
        <f>L15+1098</f>
        <v>1098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0.30833333333333335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0.30833333333333335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339</v>
      </c>
      <c r="D17" s="52"/>
      <c r="E17" s="53" t="s">
        <v>374</v>
      </c>
      <c r="F17" s="12" t="s">
        <v>155</v>
      </c>
      <c r="G17" s="12">
        <v>1</v>
      </c>
      <c r="H17" s="13">
        <v>24</v>
      </c>
      <c r="I17" s="31">
        <v>3300</v>
      </c>
      <c r="J17" s="14">
        <v>3409</v>
      </c>
      <c r="K17" s="15">
        <f>L17+3409</f>
        <v>3409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7</v>
      </c>
      <c r="R17" s="7"/>
      <c r="S17" s="6"/>
      <c r="T17" s="16"/>
      <c r="U17" s="16"/>
      <c r="V17" s="17"/>
      <c r="W17" s="5">
        <v>7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0.30833333333333335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154</v>
      </c>
      <c r="D18" s="52" t="s">
        <v>119</v>
      </c>
      <c r="E18" s="53" t="s">
        <v>441</v>
      </c>
      <c r="F18" s="30" t="s">
        <v>230</v>
      </c>
      <c r="G18" s="33">
        <v>1</v>
      </c>
      <c r="H18" s="35">
        <v>24</v>
      </c>
      <c r="I18" s="7">
        <v>4000</v>
      </c>
      <c r="J18" s="5">
        <v>1687</v>
      </c>
      <c r="K18" s="15">
        <f>L18+3109</f>
        <v>4796</v>
      </c>
      <c r="L18" s="15">
        <v>1687</v>
      </c>
      <c r="M18" s="15">
        <f t="shared" si="1"/>
        <v>1687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/>
      <c r="T18" s="16"/>
      <c r="U18" s="16"/>
      <c r="V18" s="17"/>
      <c r="W18" s="5">
        <v>14</v>
      </c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>AC18*AB18*(1-O18)</f>
        <v>0.41666666666666669</v>
      </c>
      <c r="AE18" s="36">
        <f t="shared" si="8"/>
        <v>0.30833333333333335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339</v>
      </c>
      <c r="D19" s="52" t="s">
        <v>143</v>
      </c>
      <c r="E19" s="53" t="s">
        <v>440</v>
      </c>
      <c r="F19" s="30" t="s">
        <v>162</v>
      </c>
      <c r="G19" s="33">
        <v>1</v>
      </c>
      <c r="H19" s="35">
        <v>24</v>
      </c>
      <c r="I19" s="7">
        <v>3450</v>
      </c>
      <c r="J19" s="14">
        <v>1456</v>
      </c>
      <c r="K19" s="15">
        <f>L19+1456</f>
        <v>1456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ref="AD19" si="10">AC19*AB19*(1-O19)</f>
        <v>0</v>
      </c>
      <c r="AE19" s="36">
        <f t="shared" si="8"/>
        <v>0.30833333333333335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359</v>
      </c>
      <c r="F20" s="12" t="s">
        <v>116</v>
      </c>
      <c r="G20" s="12">
        <v>4</v>
      </c>
      <c r="H20" s="35">
        <v>20</v>
      </c>
      <c r="I20" s="7">
        <v>300000</v>
      </c>
      <c r="J20" s="14">
        <v>38252</v>
      </c>
      <c r="K20" s="15">
        <f>L20</f>
        <v>38252</v>
      </c>
      <c r="L20" s="15">
        <f>9563*4</f>
        <v>38252</v>
      </c>
      <c r="M20" s="15">
        <f t="shared" si="1"/>
        <v>38252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0.30833333333333335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353950</v>
      </c>
      <c r="J21" s="19">
        <f t="shared" si="11"/>
        <v>82030</v>
      </c>
      <c r="K21" s="20">
        <f t="shared" si="11"/>
        <v>108313</v>
      </c>
      <c r="L21" s="21">
        <f t="shared" si="11"/>
        <v>67980</v>
      </c>
      <c r="M21" s="20">
        <f t="shared" si="11"/>
        <v>67980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111</v>
      </c>
      <c r="Q21" s="43">
        <f t="shared" si="12"/>
        <v>232</v>
      </c>
      <c r="R21" s="23">
        <f t="shared" si="12"/>
        <v>24</v>
      </c>
      <c r="S21" s="24">
        <f t="shared" si="12"/>
        <v>33</v>
      </c>
      <c r="T21" s="24">
        <f t="shared" si="12"/>
        <v>0</v>
      </c>
      <c r="U21" s="24">
        <f t="shared" si="12"/>
        <v>0</v>
      </c>
      <c r="V21" s="25">
        <f t="shared" si="12"/>
        <v>10</v>
      </c>
      <c r="W21" s="26">
        <f t="shared" si="12"/>
        <v>165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0.4</v>
      </c>
      <c r="AC21" s="4">
        <f>SUM(AC6:AC20)/15</f>
        <v>0.30833333333333335</v>
      </c>
      <c r="AD21" s="4">
        <f>SUM(AD6:AD20)/15</f>
        <v>0.30833333333333335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451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454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296" t="s">
        <v>46</v>
      </c>
      <c r="D50" s="296" t="s">
        <v>47</v>
      </c>
      <c r="E50" s="296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296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298" t="s">
        <v>204</v>
      </c>
      <c r="D51" s="298" t="s">
        <v>452</v>
      </c>
      <c r="E51" s="298" t="s">
        <v>445</v>
      </c>
      <c r="F51" s="453" t="s">
        <v>453</v>
      </c>
      <c r="G51" s="454"/>
      <c r="H51" s="454"/>
      <c r="I51" s="454"/>
      <c r="J51" s="454"/>
      <c r="K51" s="454"/>
      <c r="L51" s="454"/>
      <c r="M51" s="455"/>
      <c r="N51" s="297" t="s">
        <v>339</v>
      </c>
      <c r="O51" s="303" t="s">
        <v>135</v>
      </c>
      <c r="P51" s="463" t="s">
        <v>119</v>
      </c>
      <c r="Q51" s="464"/>
      <c r="R51" s="452" t="s">
        <v>439</v>
      </c>
      <c r="S51" s="452"/>
      <c r="T51" s="452"/>
      <c r="U51" s="452"/>
      <c r="V51" s="442" t="s">
        <v>455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115</v>
      </c>
      <c r="B52" s="452"/>
      <c r="C52" s="298" t="s">
        <v>186</v>
      </c>
      <c r="D52" s="298"/>
      <c r="E52" s="298" t="s">
        <v>359</v>
      </c>
      <c r="F52" s="453" t="s">
        <v>121</v>
      </c>
      <c r="G52" s="454"/>
      <c r="H52" s="454"/>
      <c r="I52" s="454"/>
      <c r="J52" s="454"/>
      <c r="K52" s="454"/>
      <c r="L52" s="454"/>
      <c r="M52" s="455"/>
      <c r="N52" s="297" t="s">
        <v>339</v>
      </c>
      <c r="O52" s="303" t="s">
        <v>136</v>
      </c>
      <c r="P52" s="463" t="s">
        <v>119</v>
      </c>
      <c r="Q52" s="464"/>
      <c r="R52" s="452" t="s">
        <v>440</v>
      </c>
      <c r="S52" s="452"/>
      <c r="T52" s="452"/>
      <c r="U52" s="452"/>
      <c r="V52" s="442" t="s">
        <v>455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/>
      <c r="B53" s="452"/>
      <c r="C53" s="298"/>
      <c r="D53" s="298"/>
      <c r="E53" s="298"/>
      <c r="F53" s="453"/>
      <c r="G53" s="454"/>
      <c r="H53" s="454"/>
      <c r="I53" s="454"/>
      <c r="J53" s="454"/>
      <c r="K53" s="454"/>
      <c r="L53" s="454"/>
      <c r="M53" s="455"/>
      <c r="N53" s="297" t="s">
        <v>339</v>
      </c>
      <c r="O53" s="303" t="s">
        <v>138</v>
      </c>
      <c r="P53" s="463" t="s">
        <v>143</v>
      </c>
      <c r="Q53" s="464"/>
      <c r="R53" s="452" t="s">
        <v>440</v>
      </c>
      <c r="S53" s="452"/>
      <c r="T53" s="452"/>
      <c r="U53" s="452"/>
      <c r="V53" s="442" t="s">
        <v>137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/>
      <c r="B54" s="452"/>
      <c r="C54" s="298"/>
      <c r="D54" s="298"/>
      <c r="E54" s="298"/>
      <c r="F54" s="453"/>
      <c r="G54" s="454"/>
      <c r="H54" s="454"/>
      <c r="I54" s="454"/>
      <c r="J54" s="454"/>
      <c r="K54" s="454"/>
      <c r="L54" s="454"/>
      <c r="M54" s="455"/>
      <c r="N54" s="297" t="s">
        <v>154</v>
      </c>
      <c r="O54" s="303" t="s">
        <v>182</v>
      </c>
      <c r="P54" s="463" t="s">
        <v>119</v>
      </c>
      <c r="Q54" s="464"/>
      <c r="R54" s="452" t="s">
        <v>456</v>
      </c>
      <c r="S54" s="452"/>
      <c r="T54" s="452"/>
      <c r="U54" s="452"/>
      <c r="V54" s="442" t="s">
        <v>121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/>
      <c r="B55" s="452"/>
      <c r="C55" s="298"/>
      <c r="D55" s="298"/>
      <c r="E55" s="298"/>
      <c r="F55" s="453"/>
      <c r="G55" s="454"/>
      <c r="H55" s="454"/>
      <c r="I55" s="454"/>
      <c r="J55" s="454"/>
      <c r="K55" s="454"/>
      <c r="L55" s="454"/>
      <c r="M55" s="455"/>
      <c r="N55" s="297" t="s">
        <v>154</v>
      </c>
      <c r="O55" s="303" t="s">
        <v>204</v>
      </c>
      <c r="P55" s="463" t="s">
        <v>157</v>
      </c>
      <c r="Q55" s="464"/>
      <c r="R55" s="452" t="s">
        <v>169</v>
      </c>
      <c r="S55" s="452"/>
      <c r="T55" s="452"/>
      <c r="U55" s="452"/>
      <c r="V55" s="442" t="s">
        <v>121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/>
      <c r="B56" s="452"/>
      <c r="C56" s="298"/>
      <c r="D56" s="298"/>
      <c r="E56" s="298"/>
      <c r="F56" s="453"/>
      <c r="G56" s="454"/>
      <c r="H56" s="454"/>
      <c r="I56" s="454"/>
      <c r="J56" s="454"/>
      <c r="K56" s="454"/>
      <c r="L56" s="454"/>
      <c r="M56" s="455"/>
      <c r="N56" s="297"/>
      <c r="O56" s="303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298"/>
      <c r="D57" s="298"/>
      <c r="E57" s="298"/>
      <c r="F57" s="453"/>
      <c r="G57" s="454"/>
      <c r="H57" s="454"/>
      <c r="I57" s="454"/>
      <c r="J57" s="454"/>
      <c r="K57" s="454"/>
      <c r="L57" s="454"/>
      <c r="M57" s="455"/>
      <c r="N57" s="297"/>
      <c r="O57" s="303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298"/>
      <c r="D58" s="298"/>
      <c r="E58" s="298"/>
      <c r="F58" s="453"/>
      <c r="G58" s="454"/>
      <c r="H58" s="454"/>
      <c r="I58" s="454"/>
      <c r="J58" s="454"/>
      <c r="K58" s="454"/>
      <c r="L58" s="454"/>
      <c r="M58" s="455"/>
      <c r="N58" s="297"/>
      <c r="O58" s="303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298"/>
      <c r="D59" s="298"/>
      <c r="E59" s="298"/>
      <c r="F59" s="453"/>
      <c r="G59" s="454"/>
      <c r="H59" s="454"/>
      <c r="I59" s="454"/>
      <c r="J59" s="454"/>
      <c r="K59" s="454"/>
      <c r="L59" s="454"/>
      <c r="M59" s="455"/>
      <c r="N59" s="297"/>
      <c r="O59" s="303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300"/>
      <c r="D60" s="300"/>
      <c r="E60" s="300"/>
      <c r="F60" s="459"/>
      <c r="G60" s="459"/>
      <c r="H60" s="459"/>
      <c r="I60" s="459"/>
      <c r="J60" s="459"/>
      <c r="K60" s="459"/>
      <c r="L60" s="459"/>
      <c r="M60" s="460"/>
      <c r="N60" s="299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457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301" t="s">
        <v>2</v>
      </c>
      <c r="D62" s="301" t="s">
        <v>37</v>
      </c>
      <c r="E62" s="301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301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 t="s">
        <v>114</v>
      </c>
      <c r="D63" s="305"/>
      <c r="E63" s="302" t="s">
        <v>458</v>
      </c>
      <c r="F63" s="440" t="s">
        <v>459</v>
      </c>
      <c r="G63" s="432"/>
      <c r="H63" s="432"/>
      <c r="I63" s="432"/>
      <c r="J63" s="432"/>
      <c r="K63" s="432">
        <v>8301</v>
      </c>
      <c r="L63" s="432"/>
      <c r="M63" s="51" t="s">
        <v>460</v>
      </c>
      <c r="N63" s="443" t="s">
        <v>263</v>
      </c>
      <c r="O63" s="443"/>
      <c r="P63" s="441">
        <v>20</v>
      </c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 t="s">
        <v>351</v>
      </c>
      <c r="D64" s="305"/>
      <c r="E64" s="302" t="s">
        <v>461</v>
      </c>
      <c r="F64" s="440" t="s">
        <v>462</v>
      </c>
      <c r="G64" s="432"/>
      <c r="H64" s="432"/>
      <c r="I64" s="432"/>
      <c r="J64" s="432"/>
      <c r="K64" s="432" t="s">
        <v>372</v>
      </c>
      <c r="L64" s="432"/>
      <c r="M64" s="51" t="s">
        <v>293</v>
      </c>
      <c r="N64" s="443" t="s">
        <v>188</v>
      </c>
      <c r="O64" s="443"/>
      <c r="P64" s="441">
        <v>50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305"/>
      <c r="E65" s="302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305"/>
      <c r="E66" s="302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305"/>
      <c r="E67" s="302"/>
      <c r="F67" s="440"/>
      <c r="G67" s="432"/>
      <c r="H67" s="432"/>
      <c r="I67" s="432"/>
      <c r="J67" s="432"/>
      <c r="K67" s="432"/>
      <c r="L67" s="432"/>
      <c r="M67" s="51"/>
      <c r="N67" s="443"/>
      <c r="O67" s="443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305"/>
      <c r="E68" s="302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305"/>
      <c r="E69" s="302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305"/>
      <c r="E70" s="302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463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304" t="s">
        <v>2</v>
      </c>
      <c r="D72" s="304" t="s">
        <v>37</v>
      </c>
      <c r="E72" s="304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306" t="s">
        <v>114</v>
      </c>
      <c r="D73" s="306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305"/>
      <c r="D74" s="305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305"/>
      <c r="D75" s="305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305"/>
      <c r="D76" s="305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305"/>
      <c r="D77" s="305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305"/>
      <c r="D78" s="305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305"/>
      <c r="D79" s="305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305"/>
      <c r="D80" s="305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305"/>
      <c r="D81" s="305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464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41AF-EC9C-4E66-8A93-089619E08CE1}">
  <sheetPr>
    <pageSetUpPr fitToPage="1"/>
  </sheetPr>
  <dimension ref="A1:AF86"/>
  <sheetViews>
    <sheetView zoomScale="72" zoomScaleNormal="72" zoomScaleSheetLayoutView="70" workbookViewId="0">
      <selection activeCell="K77" sqref="K77:S77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465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318" t="s">
        <v>17</v>
      </c>
      <c r="L5" s="318" t="s">
        <v>18</v>
      </c>
      <c r="M5" s="318" t="s">
        <v>19</v>
      </c>
      <c r="N5" s="31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L8+693+1619</f>
        <v>2312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339</v>
      </c>
      <c r="D9" s="52" t="s">
        <v>119</v>
      </c>
      <c r="E9" s="53" t="s">
        <v>440</v>
      </c>
      <c r="F9" s="30" t="s">
        <v>162</v>
      </c>
      <c r="G9" s="33">
        <v>1</v>
      </c>
      <c r="H9" s="35">
        <v>24</v>
      </c>
      <c r="I9" s="7">
        <v>3450</v>
      </c>
      <c r="J9" s="14">
        <v>2441</v>
      </c>
      <c r="K9" s="15">
        <f>L9</f>
        <v>2441</v>
      </c>
      <c r="L9" s="15">
        <f>999+1442</f>
        <v>2441</v>
      </c>
      <c r="M9" s="15">
        <f t="shared" si="1"/>
        <v>2441</v>
      </c>
      <c r="N9" s="15">
        <v>0</v>
      </c>
      <c r="O9" s="58">
        <f t="shared" si="2"/>
        <v>0</v>
      </c>
      <c r="P9" s="39">
        <f t="shared" si="3"/>
        <v>16</v>
      </c>
      <c r="Q9" s="40">
        <f t="shared" si="4"/>
        <v>8</v>
      </c>
      <c r="R9" s="7"/>
      <c r="S9" s="6">
        <v>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0.66666666666666663</v>
      </c>
      <c r="AD9" s="10">
        <f t="shared" si="7"/>
        <v>0.66666666666666663</v>
      </c>
      <c r="AE9" s="36">
        <f t="shared" si="8"/>
        <v>0.4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154</v>
      </c>
      <c r="D10" s="52" t="s">
        <v>158</v>
      </c>
      <c r="E10" s="53" t="s">
        <v>159</v>
      </c>
      <c r="F10" s="30" t="s">
        <v>122</v>
      </c>
      <c r="G10" s="33">
        <v>2</v>
      </c>
      <c r="H10" s="35">
        <v>24</v>
      </c>
      <c r="I10" s="7">
        <v>20000</v>
      </c>
      <c r="J10" s="5">
        <v>16210</v>
      </c>
      <c r="K10" s="15">
        <f>L10+10344+15286</f>
        <v>41840</v>
      </c>
      <c r="L10" s="15">
        <f>4165*2+3940*2</f>
        <v>16210</v>
      </c>
      <c r="M10" s="15">
        <f t="shared" si="1"/>
        <v>16210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154</v>
      </c>
      <c r="D11" s="52" t="s">
        <v>163</v>
      </c>
      <c r="E11" s="53" t="s">
        <v>160</v>
      </c>
      <c r="F11" s="30" t="s">
        <v>122</v>
      </c>
      <c r="G11" s="33" t="s">
        <v>145</v>
      </c>
      <c r="H11" s="35">
        <v>20</v>
      </c>
      <c r="I11" s="7">
        <v>8000</v>
      </c>
      <c r="J11" s="14">
        <v>3775</v>
      </c>
      <c r="K11" s="15">
        <f>L11+5603+6438</f>
        <v>15816</v>
      </c>
      <c r="L11" s="15">
        <f>697+3078</f>
        <v>3775</v>
      </c>
      <c r="M11" s="15">
        <f t="shared" si="1"/>
        <v>3775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/>
      <c r="T11" s="16"/>
      <c r="U11" s="16"/>
      <c r="V11" s="17"/>
      <c r="W11" s="5">
        <v>10</v>
      </c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 t="shared" si="7"/>
        <v>0.58333333333333337</v>
      </c>
      <c r="AE11" s="36">
        <f t="shared" si="8"/>
        <v>0.4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154</v>
      </c>
      <c r="D12" s="52" t="s">
        <v>466</v>
      </c>
      <c r="E12" s="53" t="s">
        <v>169</v>
      </c>
      <c r="F12" s="30" t="s">
        <v>122</v>
      </c>
      <c r="G12" s="33">
        <v>1</v>
      </c>
      <c r="H12" s="35">
        <v>20</v>
      </c>
      <c r="I12" s="7">
        <v>5000</v>
      </c>
      <c r="J12" s="14">
        <v>4206</v>
      </c>
      <c r="K12" s="15">
        <f>L12</f>
        <v>4206</v>
      </c>
      <c r="L12" s="15">
        <f>1500+2706</f>
        <v>4206</v>
      </c>
      <c r="M12" s="15">
        <f t="shared" si="1"/>
        <v>4206</v>
      </c>
      <c r="N12" s="15">
        <v>0</v>
      </c>
      <c r="O12" s="58">
        <f t="shared" si="2"/>
        <v>0</v>
      </c>
      <c r="P12" s="39">
        <f t="shared" si="3"/>
        <v>21</v>
      </c>
      <c r="Q12" s="40">
        <f t="shared" si="4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0.875</v>
      </c>
      <c r="AD12" s="10">
        <f t="shared" si="7"/>
        <v>0.875</v>
      </c>
      <c r="AE12" s="36">
        <f t="shared" si="8"/>
        <v>0.4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154</v>
      </c>
      <c r="D13" s="52" t="s">
        <v>467</v>
      </c>
      <c r="E13" s="53" t="s">
        <v>468</v>
      </c>
      <c r="F13" s="30" t="s">
        <v>153</v>
      </c>
      <c r="G13" s="33">
        <v>1</v>
      </c>
      <c r="H13" s="35">
        <v>24</v>
      </c>
      <c r="I13" s="7">
        <v>5000</v>
      </c>
      <c r="J13" s="14">
        <v>4024</v>
      </c>
      <c r="K13" s="15">
        <f>L13</f>
        <v>4024</v>
      </c>
      <c r="L13" s="15">
        <f>1167+2857</f>
        <v>4024</v>
      </c>
      <c r="M13" s="15">
        <f t="shared" si="1"/>
        <v>4024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/>
      <c r="T13" s="16">
        <v>2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7"/>
        <v>0.91666666666666663</v>
      </c>
      <c r="AE13" s="36">
        <f t="shared" si="8"/>
        <v>0.4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422</v>
      </c>
      <c r="F14" s="30" t="s">
        <v>405</v>
      </c>
      <c r="G14" s="33">
        <v>1</v>
      </c>
      <c r="H14" s="35">
        <v>40</v>
      </c>
      <c r="I14" s="7">
        <v>500</v>
      </c>
      <c r="J14" s="5">
        <v>1006</v>
      </c>
      <c r="K14" s="15">
        <f>L14+1006</f>
        <v>1006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149</v>
      </c>
      <c r="D15" s="52"/>
      <c r="E15" s="53" t="s">
        <v>407</v>
      </c>
      <c r="F15" s="12">
        <v>8301</v>
      </c>
      <c r="G15" s="12">
        <v>1</v>
      </c>
      <c r="H15" s="13">
        <v>24</v>
      </c>
      <c r="I15" s="31">
        <v>1000</v>
      </c>
      <c r="J15" s="14">
        <v>1098</v>
      </c>
      <c r="K15" s="15">
        <f>L15+1098</f>
        <v>1098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339</v>
      </c>
      <c r="D17" s="52"/>
      <c r="E17" s="53" t="s">
        <v>374</v>
      </c>
      <c r="F17" s="12" t="s">
        <v>155</v>
      </c>
      <c r="G17" s="12">
        <v>1</v>
      </c>
      <c r="H17" s="13">
        <v>24</v>
      </c>
      <c r="I17" s="31">
        <v>3300</v>
      </c>
      <c r="J17" s="14">
        <v>3409</v>
      </c>
      <c r="K17" s="15">
        <f>L17+3409</f>
        <v>3409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7</v>
      </c>
      <c r="R17" s="7"/>
      <c r="S17" s="6"/>
      <c r="T17" s="16"/>
      <c r="U17" s="16"/>
      <c r="V17" s="17"/>
      <c r="W17" s="5">
        <v>7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339</v>
      </c>
      <c r="D18" s="52" t="s">
        <v>119</v>
      </c>
      <c r="E18" s="53" t="s">
        <v>439</v>
      </c>
      <c r="F18" s="30" t="s">
        <v>162</v>
      </c>
      <c r="G18" s="33">
        <v>1</v>
      </c>
      <c r="H18" s="35">
        <v>24</v>
      </c>
      <c r="I18" s="7">
        <v>5100</v>
      </c>
      <c r="J18" s="5">
        <v>2212</v>
      </c>
      <c r="K18" s="15">
        <f>L18</f>
        <v>2212</v>
      </c>
      <c r="L18" s="15">
        <f>1193+1019</f>
        <v>2212</v>
      </c>
      <c r="M18" s="15">
        <f t="shared" si="1"/>
        <v>2212</v>
      </c>
      <c r="N18" s="15">
        <v>0</v>
      </c>
      <c r="O18" s="58">
        <f t="shared" si="2"/>
        <v>0</v>
      </c>
      <c r="P18" s="39">
        <f t="shared" si="3"/>
        <v>16</v>
      </c>
      <c r="Q18" s="40">
        <f t="shared" si="4"/>
        <v>8</v>
      </c>
      <c r="R18" s="7"/>
      <c r="S18" s="6">
        <v>8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0.66666666666666663</v>
      </c>
      <c r="AD18" s="10">
        <f>AC18*AB18*(1-O18)</f>
        <v>0.66666666666666663</v>
      </c>
      <c r="AE18" s="36">
        <f t="shared" si="8"/>
        <v>0.4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339</v>
      </c>
      <c r="D19" s="52" t="s">
        <v>143</v>
      </c>
      <c r="E19" s="53" t="s">
        <v>440</v>
      </c>
      <c r="F19" s="30" t="s">
        <v>162</v>
      </c>
      <c r="G19" s="33">
        <v>1</v>
      </c>
      <c r="H19" s="35">
        <v>24</v>
      </c>
      <c r="I19" s="7">
        <v>3450</v>
      </c>
      <c r="J19" s="14">
        <v>2603</v>
      </c>
      <c r="K19" s="15">
        <f>L19+1456</f>
        <v>4059</v>
      </c>
      <c r="L19" s="15">
        <f>1892+711</f>
        <v>2603</v>
      </c>
      <c r="M19" s="15">
        <f t="shared" si="1"/>
        <v>2603</v>
      </c>
      <c r="N19" s="15">
        <v>0</v>
      </c>
      <c r="O19" s="58">
        <f t="shared" si="2"/>
        <v>0</v>
      </c>
      <c r="P19" s="39">
        <f t="shared" si="3"/>
        <v>17</v>
      </c>
      <c r="Q19" s="40">
        <f t="shared" si="4"/>
        <v>7</v>
      </c>
      <c r="R19" s="7"/>
      <c r="S19" s="6">
        <v>2</v>
      </c>
      <c r="T19" s="16"/>
      <c r="U19" s="16"/>
      <c r="V19" s="17"/>
      <c r="W19" s="5">
        <v>5</v>
      </c>
      <c r="X19" s="16"/>
      <c r="Y19" s="16"/>
      <c r="Z19" s="16"/>
      <c r="AA19" s="18"/>
      <c r="AB19" s="8">
        <f t="shared" si="5"/>
        <v>1</v>
      </c>
      <c r="AC19" s="9">
        <f t="shared" si="6"/>
        <v>0.70833333333333337</v>
      </c>
      <c r="AD19" s="10">
        <f t="shared" ref="AD19" si="10">AC19*AB19*(1-O19)</f>
        <v>0.70833333333333337</v>
      </c>
      <c r="AE19" s="36">
        <f t="shared" si="8"/>
        <v>0.4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359</v>
      </c>
      <c r="F20" s="12" t="s">
        <v>116</v>
      </c>
      <c r="G20" s="12">
        <v>4</v>
      </c>
      <c r="H20" s="35">
        <v>20</v>
      </c>
      <c r="I20" s="7">
        <v>300000</v>
      </c>
      <c r="J20" s="14">
        <v>40960</v>
      </c>
      <c r="K20" s="15">
        <f>L20+38252</f>
        <v>79212</v>
      </c>
      <c r="L20" s="15">
        <f>10240*4</f>
        <v>40960</v>
      </c>
      <c r="M20" s="15">
        <f t="shared" si="1"/>
        <v>40960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0.4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356400</v>
      </c>
      <c r="J21" s="19">
        <f t="shared" si="11"/>
        <v>86110</v>
      </c>
      <c r="K21" s="20">
        <f t="shared" si="11"/>
        <v>164182</v>
      </c>
      <c r="L21" s="21">
        <f t="shared" si="11"/>
        <v>76431</v>
      </c>
      <c r="M21" s="20">
        <f t="shared" si="11"/>
        <v>76431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144</v>
      </c>
      <c r="Q21" s="43">
        <f t="shared" si="12"/>
        <v>199</v>
      </c>
      <c r="R21" s="23">
        <f t="shared" si="12"/>
        <v>24</v>
      </c>
      <c r="S21" s="24">
        <f t="shared" si="12"/>
        <v>21</v>
      </c>
      <c r="T21" s="24">
        <f t="shared" si="12"/>
        <v>2</v>
      </c>
      <c r="U21" s="24">
        <f t="shared" si="12"/>
        <v>0</v>
      </c>
      <c r="V21" s="25">
        <f t="shared" si="12"/>
        <v>10</v>
      </c>
      <c r="W21" s="26">
        <f t="shared" si="12"/>
        <v>142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0.53333333333333333</v>
      </c>
      <c r="AC21" s="4">
        <f>SUM(AC6:AC20)/15</f>
        <v>0.4</v>
      </c>
      <c r="AD21" s="4">
        <f>SUM(AD6:AD20)/15</f>
        <v>0.4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469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471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317" t="s">
        <v>46</v>
      </c>
      <c r="D50" s="317" t="s">
        <v>47</v>
      </c>
      <c r="E50" s="317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317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339</v>
      </c>
      <c r="B51" s="452"/>
      <c r="C51" s="314" t="s">
        <v>135</v>
      </c>
      <c r="D51" s="314" t="s">
        <v>119</v>
      </c>
      <c r="E51" s="314" t="s">
        <v>440</v>
      </c>
      <c r="F51" s="453" t="s">
        <v>470</v>
      </c>
      <c r="G51" s="454"/>
      <c r="H51" s="454"/>
      <c r="I51" s="454"/>
      <c r="J51" s="454"/>
      <c r="K51" s="454"/>
      <c r="L51" s="454"/>
      <c r="M51" s="455"/>
      <c r="N51" s="313" t="s">
        <v>339</v>
      </c>
      <c r="O51" s="311" t="s">
        <v>135</v>
      </c>
      <c r="P51" s="463" t="s">
        <v>119</v>
      </c>
      <c r="Q51" s="464"/>
      <c r="R51" s="452" t="s">
        <v>440</v>
      </c>
      <c r="S51" s="452"/>
      <c r="T51" s="452"/>
      <c r="U51" s="452"/>
      <c r="V51" s="442" t="s">
        <v>472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339</v>
      </c>
      <c r="B52" s="452"/>
      <c r="C52" s="314" t="s">
        <v>136</v>
      </c>
      <c r="D52" s="314" t="s">
        <v>119</v>
      </c>
      <c r="E52" s="314" t="s">
        <v>439</v>
      </c>
      <c r="F52" s="453" t="s">
        <v>470</v>
      </c>
      <c r="G52" s="454"/>
      <c r="H52" s="454"/>
      <c r="I52" s="454"/>
      <c r="J52" s="454"/>
      <c r="K52" s="454"/>
      <c r="L52" s="454"/>
      <c r="M52" s="455"/>
      <c r="N52" s="313" t="s">
        <v>339</v>
      </c>
      <c r="O52" s="311" t="s">
        <v>136</v>
      </c>
      <c r="P52" s="463" t="s">
        <v>119</v>
      </c>
      <c r="Q52" s="464"/>
      <c r="R52" s="452" t="s">
        <v>439</v>
      </c>
      <c r="S52" s="452"/>
      <c r="T52" s="452"/>
      <c r="U52" s="452"/>
      <c r="V52" s="442" t="s">
        <v>472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339</v>
      </c>
      <c r="B53" s="452"/>
      <c r="C53" s="314" t="s">
        <v>138</v>
      </c>
      <c r="D53" s="314" t="s">
        <v>143</v>
      </c>
      <c r="E53" s="314" t="s">
        <v>440</v>
      </c>
      <c r="F53" s="453" t="s">
        <v>137</v>
      </c>
      <c r="G53" s="454"/>
      <c r="H53" s="454"/>
      <c r="I53" s="454"/>
      <c r="J53" s="454"/>
      <c r="K53" s="454"/>
      <c r="L53" s="454"/>
      <c r="M53" s="455"/>
      <c r="N53" s="313" t="s">
        <v>114</v>
      </c>
      <c r="O53" s="311" t="s">
        <v>147</v>
      </c>
      <c r="P53" s="463" t="s">
        <v>123</v>
      </c>
      <c r="Q53" s="464"/>
      <c r="R53" s="452" t="s">
        <v>473</v>
      </c>
      <c r="S53" s="452"/>
      <c r="T53" s="452"/>
      <c r="U53" s="452"/>
      <c r="V53" s="442" t="s">
        <v>121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154</v>
      </c>
      <c r="B54" s="452"/>
      <c r="C54" s="314" t="s">
        <v>204</v>
      </c>
      <c r="D54" s="314" t="s">
        <v>466</v>
      </c>
      <c r="E54" s="314" t="s">
        <v>169</v>
      </c>
      <c r="F54" s="453" t="s">
        <v>121</v>
      </c>
      <c r="G54" s="454"/>
      <c r="H54" s="454"/>
      <c r="I54" s="454"/>
      <c r="J54" s="454"/>
      <c r="K54" s="454"/>
      <c r="L54" s="454"/>
      <c r="M54" s="455"/>
      <c r="N54" s="313"/>
      <c r="O54" s="311"/>
      <c r="P54" s="463"/>
      <c r="Q54" s="464"/>
      <c r="R54" s="452"/>
      <c r="S54" s="452"/>
      <c r="T54" s="452"/>
      <c r="U54" s="452"/>
      <c r="V54" s="442"/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154</v>
      </c>
      <c r="B55" s="452"/>
      <c r="C55" s="314" t="s">
        <v>182</v>
      </c>
      <c r="D55" s="314" t="s">
        <v>467</v>
      </c>
      <c r="E55" s="314" t="s">
        <v>468</v>
      </c>
      <c r="F55" s="453" t="s">
        <v>121</v>
      </c>
      <c r="G55" s="454"/>
      <c r="H55" s="454"/>
      <c r="I55" s="454"/>
      <c r="J55" s="454"/>
      <c r="K55" s="454"/>
      <c r="L55" s="454"/>
      <c r="M55" s="455"/>
      <c r="N55" s="313"/>
      <c r="O55" s="311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/>
      <c r="B56" s="452"/>
      <c r="C56" s="314"/>
      <c r="D56" s="314"/>
      <c r="E56" s="314"/>
      <c r="F56" s="453"/>
      <c r="G56" s="454"/>
      <c r="H56" s="454"/>
      <c r="I56" s="454"/>
      <c r="J56" s="454"/>
      <c r="K56" s="454"/>
      <c r="L56" s="454"/>
      <c r="M56" s="455"/>
      <c r="N56" s="313"/>
      <c r="O56" s="311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314"/>
      <c r="D57" s="314"/>
      <c r="E57" s="314"/>
      <c r="F57" s="453"/>
      <c r="G57" s="454"/>
      <c r="H57" s="454"/>
      <c r="I57" s="454"/>
      <c r="J57" s="454"/>
      <c r="K57" s="454"/>
      <c r="L57" s="454"/>
      <c r="M57" s="455"/>
      <c r="N57" s="313"/>
      <c r="O57" s="311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314"/>
      <c r="D58" s="314"/>
      <c r="E58" s="314"/>
      <c r="F58" s="453"/>
      <c r="G58" s="454"/>
      <c r="H58" s="454"/>
      <c r="I58" s="454"/>
      <c r="J58" s="454"/>
      <c r="K58" s="454"/>
      <c r="L58" s="454"/>
      <c r="M58" s="455"/>
      <c r="N58" s="313"/>
      <c r="O58" s="311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314"/>
      <c r="D59" s="314"/>
      <c r="E59" s="314"/>
      <c r="F59" s="453"/>
      <c r="G59" s="454"/>
      <c r="H59" s="454"/>
      <c r="I59" s="454"/>
      <c r="J59" s="454"/>
      <c r="K59" s="454"/>
      <c r="L59" s="454"/>
      <c r="M59" s="455"/>
      <c r="N59" s="313"/>
      <c r="O59" s="311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457"/>
      <c r="B60" s="458"/>
      <c r="C60" s="316"/>
      <c r="D60" s="316"/>
      <c r="E60" s="316"/>
      <c r="F60" s="459"/>
      <c r="G60" s="459"/>
      <c r="H60" s="459"/>
      <c r="I60" s="459"/>
      <c r="J60" s="459"/>
      <c r="K60" s="459"/>
      <c r="L60" s="459"/>
      <c r="M60" s="460"/>
      <c r="N60" s="315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474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312" t="s">
        <v>2</v>
      </c>
      <c r="D62" s="312" t="s">
        <v>37</v>
      </c>
      <c r="E62" s="312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312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/>
      <c r="D63" s="307"/>
      <c r="E63" s="310"/>
      <c r="F63" s="440"/>
      <c r="G63" s="432"/>
      <c r="H63" s="432"/>
      <c r="I63" s="432"/>
      <c r="J63" s="432"/>
      <c r="K63" s="432"/>
      <c r="L63" s="432"/>
      <c r="M63" s="51"/>
      <c r="N63" s="443"/>
      <c r="O63" s="443"/>
      <c r="P63" s="441"/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/>
      <c r="D64" s="307"/>
      <c r="E64" s="310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307"/>
      <c r="E65" s="310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307"/>
      <c r="E66" s="310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307"/>
      <c r="E67" s="310"/>
      <c r="F67" s="440"/>
      <c r="G67" s="432"/>
      <c r="H67" s="432"/>
      <c r="I67" s="432"/>
      <c r="J67" s="432"/>
      <c r="K67" s="432"/>
      <c r="L67" s="432"/>
      <c r="M67" s="51"/>
      <c r="N67" s="443"/>
      <c r="O67" s="443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307"/>
      <c r="E68" s="310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307"/>
      <c r="E69" s="310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307"/>
      <c r="E70" s="310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475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309" t="s">
        <v>2</v>
      </c>
      <c r="D72" s="309" t="s">
        <v>37</v>
      </c>
      <c r="E72" s="309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308" t="s">
        <v>114</v>
      </c>
      <c r="D73" s="308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307"/>
      <c r="D74" s="307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307"/>
      <c r="D75" s="307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307"/>
      <c r="D76" s="307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307"/>
      <c r="D77" s="307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307"/>
      <c r="D78" s="307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307"/>
      <c r="D79" s="307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307"/>
      <c r="D80" s="307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307"/>
      <c r="D81" s="307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476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520D-BC21-4E31-8E92-2ED4EB07825D}">
  <sheetPr>
    <pageSetUpPr fitToPage="1"/>
  </sheetPr>
  <dimension ref="A1:AF91"/>
  <sheetViews>
    <sheetView zoomScale="72" zoomScaleNormal="72" zoomScaleSheetLayoutView="70" workbookViewId="0">
      <selection activeCell="A20" sqref="A20:XFD20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477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5" si="1">L6-N6</f>
        <v>0</v>
      </c>
      <c r="N6" s="15">
        <v>0</v>
      </c>
      <c r="O6" s="58" t="str">
        <f t="shared" ref="O6:O26" si="2">IF(L6=0,"0",N6/L6)</f>
        <v>0</v>
      </c>
      <c r="P6" s="39" t="str">
        <f t="shared" ref="P6:P25" si="3">IF(L6=0,"0",(24-Q6))</f>
        <v>0</v>
      </c>
      <c r="Q6" s="40">
        <f t="shared" ref="Q6:Q25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5" si="5">IF(J6=0,"0",(L6/J6))</f>
        <v>0</v>
      </c>
      <c r="AC6" s="9">
        <f t="shared" ref="AC6:AC25" si="6">IF(P6=0,"0",(P6/24))</f>
        <v>0</v>
      </c>
      <c r="AD6" s="10">
        <f t="shared" ref="AD6:AD25" si="7">AC6*AB6*(1-O6)</f>
        <v>0</v>
      </c>
      <c r="AE6" s="36">
        <f t="shared" ref="AE6:AE20" si="8">$AD$26</f>
        <v>0.38055555555555559</v>
      </c>
      <c r="AF6" s="87">
        <f t="shared" ref="AF6:AF25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0.38055555555555559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L8+693+1619</f>
        <v>2312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0.38055555555555559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339</v>
      </c>
      <c r="D9" s="52" t="s">
        <v>119</v>
      </c>
      <c r="E9" s="53" t="s">
        <v>440</v>
      </c>
      <c r="F9" s="30" t="s">
        <v>162</v>
      </c>
      <c r="G9" s="33">
        <v>1</v>
      </c>
      <c r="H9" s="35">
        <v>24</v>
      </c>
      <c r="I9" s="7">
        <v>3450</v>
      </c>
      <c r="J9" s="14">
        <v>1158</v>
      </c>
      <c r="K9" s="15">
        <f>L9+2441</f>
        <v>3599</v>
      </c>
      <c r="L9" s="15">
        <v>1158</v>
      </c>
      <c r="M9" s="15">
        <f t="shared" si="1"/>
        <v>1158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/>
      <c r="T9" s="16"/>
      <c r="U9" s="16"/>
      <c r="V9" s="17"/>
      <c r="W9" s="5">
        <v>14</v>
      </c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0.38055555555555559</v>
      </c>
      <c r="AF9" s="87">
        <f t="shared" si="9"/>
        <v>4</v>
      </c>
    </row>
    <row r="10" spans="1:32" ht="27" customHeight="1">
      <c r="A10" s="103">
        <v>4</v>
      </c>
      <c r="B10" s="11" t="s">
        <v>57</v>
      </c>
      <c r="C10" s="11" t="s">
        <v>339</v>
      </c>
      <c r="D10" s="52" t="s">
        <v>143</v>
      </c>
      <c r="E10" s="53" t="s">
        <v>439</v>
      </c>
      <c r="F10" s="30" t="s">
        <v>162</v>
      </c>
      <c r="G10" s="33">
        <v>1</v>
      </c>
      <c r="H10" s="35">
        <v>24</v>
      </c>
      <c r="I10" s="7">
        <v>500</v>
      </c>
      <c r="J10" s="14">
        <v>527</v>
      </c>
      <c r="K10" s="15">
        <f>L10</f>
        <v>527</v>
      </c>
      <c r="L10" s="15">
        <v>527</v>
      </c>
      <c r="M10" s="15">
        <f t="shared" ref="M10" si="10">L10-N10</f>
        <v>527</v>
      </c>
      <c r="N10" s="15">
        <v>0</v>
      </c>
      <c r="O10" s="58">
        <f t="shared" ref="O10" si="11">IF(L10=0,"0",N10/L10)</f>
        <v>0</v>
      </c>
      <c r="P10" s="39">
        <f t="shared" ref="P10" si="12">IF(L10=0,"0",(24-Q10))</f>
        <v>6</v>
      </c>
      <c r="Q10" s="40">
        <f t="shared" ref="Q10" si="13">SUM(R10:AA10)</f>
        <v>18</v>
      </c>
      <c r="R10" s="7"/>
      <c r="S10" s="6"/>
      <c r="T10" s="16"/>
      <c r="U10" s="16"/>
      <c r="V10" s="17"/>
      <c r="W10" s="5">
        <v>18</v>
      </c>
      <c r="X10" s="16"/>
      <c r="Y10" s="16"/>
      <c r="Z10" s="16"/>
      <c r="AA10" s="18"/>
      <c r="AB10" s="8">
        <f t="shared" ref="AB10" si="14">IF(J10=0,"0",(L10/J10))</f>
        <v>1</v>
      </c>
      <c r="AC10" s="9">
        <f t="shared" ref="AC10" si="15">IF(P10=0,"0",(P10/24))</f>
        <v>0.25</v>
      </c>
      <c r="AD10" s="10">
        <f t="shared" ref="AD10" si="16">AC10*AB10*(1-O10)</f>
        <v>0.25</v>
      </c>
      <c r="AE10" s="36">
        <f t="shared" si="8"/>
        <v>0.38055555555555559</v>
      </c>
      <c r="AF10" s="87">
        <f t="shared" ref="AF10" si="17">A10</f>
        <v>4</v>
      </c>
    </row>
    <row r="11" spans="1:32" ht="27" customHeight="1">
      <c r="A11" s="103">
        <v>5</v>
      </c>
      <c r="B11" s="11" t="s">
        <v>57</v>
      </c>
      <c r="C11" s="34" t="s">
        <v>114</v>
      </c>
      <c r="D11" s="52" t="s">
        <v>123</v>
      </c>
      <c r="E11" s="53" t="s">
        <v>473</v>
      </c>
      <c r="F11" s="30" t="s">
        <v>124</v>
      </c>
      <c r="G11" s="33">
        <v>1</v>
      </c>
      <c r="H11" s="35">
        <v>24</v>
      </c>
      <c r="I11" s="7">
        <v>66000</v>
      </c>
      <c r="J11" s="5">
        <v>5412</v>
      </c>
      <c r="K11" s="15">
        <f>L11</f>
        <v>5412</v>
      </c>
      <c r="L11" s="15">
        <f>3144+2268</f>
        <v>5412</v>
      </c>
      <c r="M11" s="15">
        <f t="shared" si="1"/>
        <v>5412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0.38055555555555559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11" t="s">
        <v>114</v>
      </c>
      <c r="D12" s="52" t="s">
        <v>129</v>
      </c>
      <c r="E12" s="53" t="s">
        <v>478</v>
      </c>
      <c r="F12" s="30" t="s">
        <v>162</v>
      </c>
      <c r="G12" s="33">
        <v>1</v>
      </c>
      <c r="H12" s="35">
        <v>20</v>
      </c>
      <c r="I12" s="7">
        <v>250</v>
      </c>
      <c r="J12" s="14">
        <v>380</v>
      </c>
      <c r="K12" s="15">
        <f>L12</f>
        <v>380</v>
      </c>
      <c r="L12" s="15">
        <v>380</v>
      </c>
      <c r="M12" s="15">
        <f t="shared" ref="M12" si="18">L12-N12</f>
        <v>380</v>
      </c>
      <c r="N12" s="15">
        <v>0</v>
      </c>
      <c r="O12" s="58">
        <f t="shared" ref="O12" si="19">IF(L12=0,"0",N12/L12)</f>
        <v>0</v>
      </c>
      <c r="P12" s="39">
        <f t="shared" ref="P12" si="20">IF(L12=0,"0",(24-Q12))</f>
        <v>4</v>
      </c>
      <c r="Q12" s="40">
        <f t="shared" ref="Q12" si="21">SUM(R12:AA12)</f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ref="AB12" si="22">IF(J12=0,"0",(L12/J12))</f>
        <v>1</v>
      </c>
      <c r="AC12" s="9">
        <f t="shared" ref="AC12" si="23">IF(P12=0,"0",(P12/24))</f>
        <v>0.16666666666666666</v>
      </c>
      <c r="AD12" s="10">
        <f t="shared" ref="AD12" si="24">AC12*AB12*(1-O12)</f>
        <v>0.16666666666666666</v>
      </c>
      <c r="AE12" s="36">
        <f t="shared" si="8"/>
        <v>0.38055555555555559</v>
      </c>
      <c r="AF12" s="87">
        <f t="shared" ref="AF12" si="25">A12</f>
        <v>6</v>
      </c>
    </row>
    <row r="13" spans="1:32" ht="27" customHeight="1">
      <c r="A13" s="103">
        <v>6</v>
      </c>
      <c r="B13" s="11" t="s">
        <v>57</v>
      </c>
      <c r="C13" s="11" t="s">
        <v>114</v>
      </c>
      <c r="D13" s="52" t="s">
        <v>123</v>
      </c>
      <c r="E13" s="53" t="s">
        <v>482</v>
      </c>
      <c r="F13" s="30" t="s">
        <v>124</v>
      </c>
      <c r="G13" s="33">
        <v>1</v>
      </c>
      <c r="H13" s="35">
        <v>20</v>
      </c>
      <c r="I13" s="7">
        <v>250</v>
      </c>
      <c r="J13" s="14">
        <v>352</v>
      </c>
      <c r="K13" s="15">
        <f>L13</f>
        <v>352</v>
      </c>
      <c r="L13" s="15">
        <v>352</v>
      </c>
      <c r="M13" s="15">
        <f t="shared" si="1"/>
        <v>352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si="7"/>
        <v>0.16666666666666666</v>
      </c>
      <c r="AE13" s="36">
        <f t="shared" si="8"/>
        <v>0.38055555555555559</v>
      </c>
      <c r="AF13" s="87">
        <f t="shared" si="9"/>
        <v>6</v>
      </c>
    </row>
    <row r="14" spans="1:32" ht="27" customHeight="1">
      <c r="A14" s="103">
        <v>7</v>
      </c>
      <c r="B14" s="11" t="s">
        <v>57</v>
      </c>
      <c r="C14" s="11" t="s">
        <v>154</v>
      </c>
      <c r="D14" s="52" t="s">
        <v>466</v>
      </c>
      <c r="E14" s="53" t="s">
        <v>169</v>
      </c>
      <c r="F14" s="30" t="s">
        <v>122</v>
      </c>
      <c r="G14" s="33">
        <v>1</v>
      </c>
      <c r="H14" s="35">
        <v>20</v>
      </c>
      <c r="I14" s="7">
        <v>5000</v>
      </c>
      <c r="J14" s="14">
        <v>3191</v>
      </c>
      <c r="K14" s="15">
        <f>L14+4206</f>
        <v>7397</v>
      </c>
      <c r="L14" s="15">
        <f>2415+776</f>
        <v>3191</v>
      </c>
      <c r="M14" s="15">
        <f t="shared" si="1"/>
        <v>3191</v>
      </c>
      <c r="N14" s="15">
        <v>0</v>
      </c>
      <c r="O14" s="58">
        <f t="shared" si="2"/>
        <v>0</v>
      </c>
      <c r="P14" s="39">
        <f t="shared" si="3"/>
        <v>18</v>
      </c>
      <c r="Q14" s="40">
        <f t="shared" si="4"/>
        <v>6</v>
      </c>
      <c r="R14" s="7"/>
      <c r="S14" s="6"/>
      <c r="T14" s="16"/>
      <c r="U14" s="16"/>
      <c r="V14" s="17"/>
      <c r="W14" s="5">
        <v>6</v>
      </c>
      <c r="X14" s="16"/>
      <c r="Y14" s="16"/>
      <c r="Z14" s="16"/>
      <c r="AA14" s="18"/>
      <c r="AB14" s="8">
        <f t="shared" si="5"/>
        <v>1</v>
      </c>
      <c r="AC14" s="9">
        <f t="shared" si="6"/>
        <v>0.75</v>
      </c>
      <c r="AD14" s="10">
        <f t="shared" si="7"/>
        <v>0.75</v>
      </c>
      <c r="AE14" s="36">
        <f t="shared" si="8"/>
        <v>0.38055555555555559</v>
      </c>
      <c r="AF14" s="87">
        <f t="shared" si="9"/>
        <v>7</v>
      </c>
    </row>
    <row r="15" spans="1:32" ht="27" customHeight="1">
      <c r="A15" s="103">
        <v>8</v>
      </c>
      <c r="B15" s="11" t="s">
        <v>57</v>
      </c>
      <c r="C15" s="11" t="s">
        <v>154</v>
      </c>
      <c r="D15" s="52" t="s">
        <v>467</v>
      </c>
      <c r="E15" s="53" t="s">
        <v>468</v>
      </c>
      <c r="F15" s="30" t="s">
        <v>153</v>
      </c>
      <c r="G15" s="33">
        <v>1</v>
      </c>
      <c r="H15" s="35">
        <v>24</v>
      </c>
      <c r="I15" s="7">
        <v>5000</v>
      </c>
      <c r="J15" s="14">
        <v>2196</v>
      </c>
      <c r="K15" s="15">
        <f>L15+4024</f>
        <v>6220</v>
      </c>
      <c r="L15" s="15">
        <f>1185+1011</f>
        <v>2196</v>
      </c>
      <c r="M15" s="15">
        <f t="shared" si="1"/>
        <v>2196</v>
      </c>
      <c r="N15" s="15">
        <v>0</v>
      </c>
      <c r="O15" s="58">
        <f t="shared" si="2"/>
        <v>0</v>
      </c>
      <c r="P15" s="39">
        <f t="shared" si="3"/>
        <v>13</v>
      </c>
      <c r="Q15" s="40">
        <f t="shared" si="4"/>
        <v>11</v>
      </c>
      <c r="R15" s="7"/>
      <c r="S15" s="6"/>
      <c r="T15" s="16"/>
      <c r="U15" s="16"/>
      <c r="V15" s="17"/>
      <c r="W15" s="5">
        <v>11</v>
      </c>
      <c r="X15" s="16"/>
      <c r="Y15" s="16"/>
      <c r="Z15" s="16"/>
      <c r="AA15" s="18"/>
      <c r="AB15" s="8">
        <f t="shared" si="5"/>
        <v>1</v>
      </c>
      <c r="AC15" s="9">
        <f t="shared" si="6"/>
        <v>0.54166666666666663</v>
      </c>
      <c r="AD15" s="10">
        <f t="shared" si="7"/>
        <v>0.54166666666666663</v>
      </c>
      <c r="AE15" s="36">
        <f t="shared" si="8"/>
        <v>0.38055555555555559</v>
      </c>
      <c r="AF15" s="87">
        <f t="shared" si="9"/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117</v>
      </c>
      <c r="E16" s="53" t="s">
        <v>422</v>
      </c>
      <c r="F16" s="30" t="s">
        <v>405</v>
      </c>
      <c r="G16" s="33">
        <v>1</v>
      </c>
      <c r="H16" s="35">
        <v>40</v>
      </c>
      <c r="I16" s="7">
        <v>500</v>
      </c>
      <c r="J16" s="5">
        <v>1006</v>
      </c>
      <c r="K16" s="15">
        <f>L16+1006</f>
        <v>1006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0.38055555555555559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149</v>
      </c>
      <c r="D17" s="52"/>
      <c r="E17" s="53" t="s">
        <v>407</v>
      </c>
      <c r="F17" s="12">
        <v>8301</v>
      </c>
      <c r="G17" s="12">
        <v>1</v>
      </c>
      <c r="H17" s="13">
        <v>24</v>
      </c>
      <c r="I17" s="31">
        <v>1000</v>
      </c>
      <c r="J17" s="14">
        <v>1098</v>
      </c>
      <c r="K17" s="15">
        <f>L17+1098</f>
        <v>1098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0.38055555555555559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11" t="s">
        <v>286</v>
      </c>
      <c r="D18" s="52" t="s">
        <v>303</v>
      </c>
      <c r="E18" s="53" t="s">
        <v>285</v>
      </c>
      <c r="F18" s="12">
        <v>7301</v>
      </c>
      <c r="G18" s="12">
        <v>1</v>
      </c>
      <c r="H18" s="13">
        <v>24</v>
      </c>
      <c r="I18" s="7">
        <v>600</v>
      </c>
      <c r="J18" s="14">
        <v>2547</v>
      </c>
      <c r="K18" s="15">
        <f>L18+2547</f>
        <v>2547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0.38055555555555559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34" t="s">
        <v>114</v>
      </c>
      <c r="D19" s="52" t="s">
        <v>125</v>
      </c>
      <c r="E19" s="53" t="s">
        <v>479</v>
      </c>
      <c r="F19" s="12" t="s">
        <v>132</v>
      </c>
      <c r="G19" s="12">
        <v>1</v>
      </c>
      <c r="H19" s="13">
        <v>24</v>
      </c>
      <c r="I19" s="31">
        <v>250</v>
      </c>
      <c r="J19" s="14">
        <v>257</v>
      </c>
      <c r="K19" s="15">
        <f>L19</f>
        <v>257</v>
      </c>
      <c r="L19" s="15">
        <v>257</v>
      </c>
      <c r="M19" s="15">
        <f t="shared" si="1"/>
        <v>257</v>
      </c>
      <c r="N19" s="15">
        <v>0</v>
      </c>
      <c r="O19" s="58">
        <f t="shared" si="2"/>
        <v>0</v>
      </c>
      <c r="P19" s="39">
        <f t="shared" si="3"/>
        <v>4</v>
      </c>
      <c r="Q19" s="40">
        <f t="shared" si="4"/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si="5"/>
        <v>1</v>
      </c>
      <c r="AC19" s="9">
        <f t="shared" si="6"/>
        <v>0.16666666666666666</v>
      </c>
      <c r="AD19" s="10">
        <f t="shared" si="7"/>
        <v>0.16666666666666666</v>
      </c>
      <c r="AE19" s="36">
        <f t="shared" si="8"/>
        <v>0.38055555555555559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339</v>
      </c>
      <c r="D20" s="52" t="s">
        <v>119</v>
      </c>
      <c r="E20" s="53" t="s">
        <v>439</v>
      </c>
      <c r="F20" s="30" t="s">
        <v>162</v>
      </c>
      <c r="G20" s="33">
        <v>1</v>
      </c>
      <c r="H20" s="35">
        <v>24</v>
      </c>
      <c r="I20" s="7">
        <v>5100</v>
      </c>
      <c r="J20" s="5">
        <v>1841</v>
      </c>
      <c r="K20" s="15">
        <f>L20+2212</f>
        <v>4053</v>
      </c>
      <c r="L20" s="15">
        <f>1273+568</f>
        <v>1841</v>
      </c>
      <c r="M20" s="15">
        <f t="shared" si="1"/>
        <v>1841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>AC20*AB20*(1-O20)</f>
        <v>0.58333333333333337</v>
      </c>
      <c r="AE20" s="36">
        <f t="shared" si="8"/>
        <v>0.38055555555555559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114</v>
      </c>
      <c r="D21" s="52" t="s">
        <v>210</v>
      </c>
      <c r="E21" s="53" t="s">
        <v>480</v>
      </c>
      <c r="F21" s="30" t="s">
        <v>156</v>
      </c>
      <c r="G21" s="33">
        <v>1</v>
      </c>
      <c r="H21" s="35">
        <v>24</v>
      </c>
      <c r="I21" s="7">
        <v>250</v>
      </c>
      <c r="J21" s="14">
        <v>415</v>
      </c>
      <c r="K21" s="15">
        <f t="shared" ref="K21:K22" si="26">L21</f>
        <v>415</v>
      </c>
      <c r="L21" s="15">
        <v>415</v>
      </c>
      <c r="M21" s="15">
        <f t="shared" ref="M21:M23" si="27">L21-N21</f>
        <v>415</v>
      </c>
      <c r="N21" s="15">
        <v>0</v>
      </c>
      <c r="O21" s="58">
        <f t="shared" ref="O21:O23" si="28">IF(L21=0,"0",N21/L21)</f>
        <v>0</v>
      </c>
      <c r="P21" s="39">
        <f t="shared" ref="P21:P23" si="29">IF(L21=0,"0",(24-Q21))</f>
        <v>4</v>
      </c>
      <c r="Q21" s="40">
        <f t="shared" ref="Q21:Q23" si="30">SUM(R21:AA21)</f>
        <v>20</v>
      </c>
      <c r="R21" s="7"/>
      <c r="S21" s="6"/>
      <c r="T21" s="16"/>
      <c r="U21" s="16"/>
      <c r="V21" s="17"/>
      <c r="W21" s="5">
        <v>20</v>
      </c>
      <c r="X21" s="16"/>
      <c r="Y21" s="16"/>
      <c r="Z21" s="16"/>
      <c r="AA21" s="18"/>
      <c r="AB21" s="8">
        <f t="shared" ref="AB21:AB23" si="31">IF(J21=0,"0",(L21/J21))</f>
        <v>1</v>
      </c>
      <c r="AC21" s="9">
        <f t="shared" ref="AC21:AC23" si="32">IF(P21=0,"0",(P21/24))</f>
        <v>0.16666666666666666</v>
      </c>
      <c r="AD21" s="10">
        <f t="shared" ref="AD21:AD23" si="33">AC21*AB21*(1-O21)</f>
        <v>0.16666666666666666</v>
      </c>
      <c r="AE21" s="36">
        <f t="shared" ref="AE21:AE22" si="34">$AD$26</f>
        <v>0.38055555555555559</v>
      </c>
      <c r="AF21" s="87">
        <f t="shared" ref="AF21:AF23" si="35">A21</f>
        <v>14</v>
      </c>
    </row>
    <row r="22" spans="1:32" ht="27" customHeight="1">
      <c r="A22" s="103">
        <v>14</v>
      </c>
      <c r="B22" s="11" t="s">
        <v>57</v>
      </c>
      <c r="C22" s="11" t="s">
        <v>114</v>
      </c>
      <c r="D22" s="52" t="s">
        <v>143</v>
      </c>
      <c r="E22" s="53" t="s">
        <v>481</v>
      </c>
      <c r="F22" s="30" t="s">
        <v>144</v>
      </c>
      <c r="G22" s="33">
        <v>1</v>
      </c>
      <c r="H22" s="35">
        <v>24</v>
      </c>
      <c r="I22" s="7">
        <v>250</v>
      </c>
      <c r="J22" s="14">
        <v>374</v>
      </c>
      <c r="K22" s="15">
        <f t="shared" si="26"/>
        <v>374</v>
      </c>
      <c r="L22" s="15">
        <v>374</v>
      </c>
      <c r="M22" s="15">
        <f t="shared" si="27"/>
        <v>374</v>
      </c>
      <c r="N22" s="15">
        <v>0</v>
      </c>
      <c r="O22" s="58">
        <f t="shared" si="28"/>
        <v>0</v>
      </c>
      <c r="P22" s="39">
        <f t="shared" si="29"/>
        <v>4</v>
      </c>
      <c r="Q22" s="40">
        <f t="shared" si="30"/>
        <v>20</v>
      </c>
      <c r="R22" s="7"/>
      <c r="S22" s="6"/>
      <c r="T22" s="16"/>
      <c r="U22" s="16"/>
      <c r="V22" s="17"/>
      <c r="W22" s="5">
        <v>20</v>
      </c>
      <c r="X22" s="16"/>
      <c r="Y22" s="16"/>
      <c r="Z22" s="16"/>
      <c r="AA22" s="18"/>
      <c r="AB22" s="8">
        <f t="shared" si="31"/>
        <v>1</v>
      </c>
      <c r="AC22" s="9">
        <f t="shared" si="32"/>
        <v>0.16666666666666666</v>
      </c>
      <c r="AD22" s="10">
        <f t="shared" si="33"/>
        <v>0.16666666666666666</v>
      </c>
      <c r="AE22" s="36">
        <f t="shared" si="34"/>
        <v>0.38055555555555559</v>
      </c>
      <c r="AF22" s="87">
        <f t="shared" si="35"/>
        <v>14</v>
      </c>
    </row>
    <row r="23" spans="1:32" ht="27" customHeight="1">
      <c r="A23" s="103">
        <v>14</v>
      </c>
      <c r="B23" s="11" t="s">
        <v>57</v>
      </c>
      <c r="C23" s="11" t="s">
        <v>114</v>
      </c>
      <c r="D23" s="52" t="s">
        <v>146</v>
      </c>
      <c r="E23" s="53" t="s">
        <v>412</v>
      </c>
      <c r="F23" s="30" t="s">
        <v>144</v>
      </c>
      <c r="G23" s="33">
        <v>2</v>
      </c>
      <c r="H23" s="35">
        <v>24</v>
      </c>
      <c r="I23" s="7">
        <v>500</v>
      </c>
      <c r="J23" s="14">
        <v>594</v>
      </c>
      <c r="K23" s="15">
        <f>L23</f>
        <v>594</v>
      </c>
      <c r="L23" s="15">
        <f>297*2</f>
        <v>594</v>
      </c>
      <c r="M23" s="15">
        <f t="shared" si="27"/>
        <v>594</v>
      </c>
      <c r="N23" s="15">
        <v>0</v>
      </c>
      <c r="O23" s="58">
        <f t="shared" si="28"/>
        <v>0</v>
      </c>
      <c r="P23" s="39">
        <f t="shared" si="29"/>
        <v>4</v>
      </c>
      <c r="Q23" s="40">
        <f t="shared" si="30"/>
        <v>20</v>
      </c>
      <c r="R23" s="7"/>
      <c r="S23" s="6"/>
      <c r="T23" s="16"/>
      <c r="U23" s="16"/>
      <c r="V23" s="17"/>
      <c r="W23" s="5">
        <v>20</v>
      </c>
      <c r="X23" s="16"/>
      <c r="Y23" s="16"/>
      <c r="Z23" s="16"/>
      <c r="AA23" s="18"/>
      <c r="AB23" s="8">
        <f t="shared" si="31"/>
        <v>1</v>
      </c>
      <c r="AC23" s="9">
        <f t="shared" si="32"/>
        <v>0.16666666666666666</v>
      </c>
      <c r="AD23" s="10">
        <f t="shared" si="33"/>
        <v>0.16666666666666666</v>
      </c>
      <c r="AE23" s="36">
        <f>$AD$26</f>
        <v>0.38055555555555559</v>
      </c>
      <c r="AF23" s="87">
        <f t="shared" si="35"/>
        <v>14</v>
      </c>
    </row>
    <row r="24" spans="1:32" ht="27" customHeight="1">
      <c r="A24" s="103">
        <v>14</v>
      </c>
      <c r="B24" s="11" t="s">
        <v>57</v>
      </c>
      <c r="C24" s="11" t="s">
        <v>114</v>
      </c>
      <c r="D24" s="52" t="s">
        <v>435</v>
      </c>
      <c r="E24" s="53" t="s">
        <v>429</v>
      </c>
      <c r="F24" s="30" t="s">
        <v>144</v>
      </c>
      <c r="G24" s="33">
        <v>2</v>
      </c>
      <c r="H24" s="35">
        <v>24</v>
      </c>
      <c r="I24" s="7">
        <v>500</v>
      </c>
      <c r="J24" s="14">
        <v>618</v>
      </c>
      <c r="K24" s="15">
        <f>L24</f>
        <v>618</v>
      </c>
      <c r="L24" s="15">
        <f>309*2</f>
        <v>618</v>
      </c>
      <c r="M24" s="15">
        <f t="shared" si="1"/>
        <v>618</v>
      </c>
      <c r="N24" s="15">
        <v>0</v>
      </c>
      <c r="O24" s="58">
        <f t="shared" si="2"/>
        <v>0</v>
      </c>
      <c r="P24" s="39">
        <f t="shared" si="3"/>
        <v>4</v>
      </c>
      <c r="Q24" s="40">
        <f t="shared" si="4"/>
        <v>20</v>
      </c>
      <c r="R24" s="7"/>
      <c r="S24" s="6"/>
      <c r="T24" s="16"/>
      <c r="U24" s="16"/>
      <c r="V24" s="17"/>
      <c r="W24" s="5">
        <v>20</v>
      </c>
      <c r="X24" s="16"/>
      <c r="Y24" s="16"/>
      <c r="Z24" s="16"/>
      <c r="AA24" s="18"/>
      <c r="AB24" s="8">
        <f t="shared" si="5"/>
        <v>1</v>
      </c>
      <c r="AC24" s="9">
        <f t="shared" si="6"/>
        <v>0.16666666666666666</v>
      </c>
      <c r="AD24" s="10">
        <f t="shared" ref="AD24" si="36">AC24*AB24*(1-O24)</f>
        <v>0.16666666666666666</v>
      </c>
      <c r="AE24" s="36">
        <f>$AD$26</f>
        <v>0.38055555555555559</v>
      </c>
      <c r="AF24" s="87">
        <f t="shared" si="9"/>
        <v>14</v>
      </c>
    </row>
    <row r="25" spans="1:32" ht="27" customHeight="1" thickBot="1">
      <c r="A25" s="103">
        <v>15</v>
      </c>
      <c r="B25" s="11" t="s">
        <v>57</v>
      </c>
      <c r="C25" s="11" t="s">
        <v>115</v>
      </c>
      <c r="D25" s="52"/>
      <c r="E25" s="53" t="s">
        <v>359</v>
      </c>
      <c r="F25" s="12" t="s">
        <v>116</v>
      </c>
      <c r="G25" s="12">
        <v>4</v>
      </c>
      <c r="H25" s="35">
        <v>20</v>
      </c>
      <c r="I25" s="7">
        <v>300000</v>
      </c>
      <c r="J25" s="14">
        <v>86480</v>
      </c>
      <c r="K25" s="15">
        <f>L25+38252+40960</f>
        <v>165692</v>
      </c>
      <c r="L25" s="15">
        <f>10352*4+11268*4</f>
        <v>86480</v>
      </c>
      <c r="M25" s="15">
        <f t="shared" si="1"/>
        <v>86480</v>
      </c>
      <c r="N25" s="15">
        <v>0</v>
      </c>
      <c r="O25" s="58">
        <f t="shared" si="2"/>
        <v>0</v>
      </c>
      <c r="P25" s="39">
        <f t="shared" si="3"/>
        <v>24</v>
      </c>
      <c r="Q25" s="40">
        <f t="shared" si="4"/>
        <v>0</v>
      </c>
      <c r="R25" s="7"/>
      <c r="S25" s="6"/>
      <c r="T25" s="16"/>
      <c r="U25" s="16"/>
      <c r="V25" s="17"/>
      <c r="W25" s="5"/>
      <c r="X25" s="16"/>
      <c r="Y25" s="16"/>
      <c r="Z25" s="16"/>
      <c r="AA25" s="18"/>
      <c r="AB25" s="8">
        <f t="shared" si="5"/>
        <v>1</v>
      </c>
      <c r="AC25" s="9">
        <f t="shared" si="6"/>
        <v>1</v>
      </c>
      <c r="AD25" s="10">
        <f t="shared" si="7"/>
        <v>1</v>
      </c>
      <c r="AE25" s="36">
        <f>$AD$26</f>
        <v>0.38055555555555559</v>
      </c>
      <c r="AF25" s="87">
        <f t="shared" si="9"/>
        <v>15</v>
      </c>
    </row>
    <row r="26" spans="1:32" ht="31.5" customHeight="1" thickBot="1">
      <c r="A26" s="467" t="s">
        <v>34</v>
      </c>
      <c r="B26" s="468"/>
      <c r="C26" s="468"/>
      <c r="D26" s="468"/>
      <c r="E26" s="468"/>
      <c r="F26" s="468"/>
      <c r="G26" s="468"/>
      <c r="H26" s="469"/>
      <c r="I26" s="22">
        <f t="shared" ref="I26:N26" si="37">SUM(I6:I25)</f>
        <v>390400</v>
      </c>
      <c r="J26" s="19">
        <f t="shared" si="37"/>
        <v>110065</v>
      </c>
      <c r="K26" s="20">
        <f t="shared" si="37"/>
        <v>202853</v>
      </c>
      <c r="L26" s="21">
        <f t="shared" si="37"/>
        <v>103795</v>
      </c>
      <c r="M26" s="20">
        <f t="shared" si="37"/>
        <v>103795</v>
      </c>
      <c r="N26" s="21">
        <f t="shared" si="37"/>
        <v>0</v>
      </c>
      <c r="O26" s="41">
        <f t="shared" si="2"/>
        <v>0</v>
      </c>
      <c r="P26" s="42">
        <f t="shared" ref="P26:AA26" si="38">SUM(P6:P25)</f>
        <v>137</v>
      </c>
      <c r="Q26" s="43">
        <f t="shared" si="38"/>
        <v>343</v>
      </c>
      <c r="R26" s="23">
        <f t="shared" si="38"/>
        <v>24</v>
      </c>
      <c r="S26" s="24">
        <f t="shared" si="38"/>
        <v>10</v>
      </c>
      <c r="T26" s="24">
        <f t="shared" si="38"/>
        <v>0</v>
      </c>
      <c r="U26" s="24">
        <f t="shared" si="38"/>
        <v>0</v>
      </c>
      <c r="V26" s="25">
        <f t="shared" si="38"/>
        <v>0</v>
      </c>
      <c r="W26" s="26">
        <f t="shared" si="38"/>
        <v>309</v>
      </c>
      <c r="X26" s="27">
        <f t="shared" si="38"/>
        <v>0</v>
      </c>
      <c r="Y26" s="27">
        <f t="shared" si="38"/>
        <v>0</v>
      </c>
      <c r="Z26" s="27">
        <f t="shared" si="38"/>
        <v>0</v>
      </c>
      <c r="AA26" s="27">
        <f t="shared" si="38"/>
        <v>0</v>
      </c>
      <c r="AB26" s="28">
        <f>SUM(AB6:AB25)/15</f>
        <v>0.93333333333333335</v>
      </c>
      <c r="AC26" s="4">
        <f>SUM(AC6:AC25)/15</f>
        <v>0.38055555555555559</v>
      </c>
      <c r="AD26" s="4">
        <f>SUM(AD6:AD25)/15</f>
        <v>0.38055555555555559</v>
      </c>
      <c r="AE26" s="29"/>
    </row>
    <row r="28" spans="1:32" ht="18.75">
      <c r="A28" s="2"/>
      <c r="B28" s="2" t="s">
        <v>35</v>
      </c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  <c r="N28" s="2" t="s">
        <v>36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1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88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27">
      <c r="A43" s="59"/>
      <c r="B43" s="59"/>
      <c r="C43" s="59"/>
      <c r="D43" s="59"/>
      <c r="E43" s="59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F43" s="50"/>
    </row>
    <row r="44" spans="1:32" ht="29.25" customHeight="1">
      <c r="A44" s="60"/>
      <c r="B44" s="60"/>
      <c r="C44" s="61"/>
      <c r="D44" s="61"/>
      <c r="E44" s="61"/>
      <c r="F44" s="60"/>
      <c r="G44" s="60"/>
      <c r="H44" s="60"/>
      <c r="I44" s="60"/>
      <c r="J44" s="60"/>
      <c r="K44" s="60"/>
      <c r="L44" s="60"/>
      <c r="M44" s="61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36" thickBot="1">
      <c r="A53" s="470" t="s">
        <v>45</v>
      </c>
      <c r="B53" s="470"/>
      <c r="C53" s="470"/>
      <c r="D53" s="470"/>
      <c r="E53" s="470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F53" s="50"/>
    </row>
    <row r="54" spans="1:32" ht="26.25" thickBot="1">
      <c r="A54" s="471" t="s">
        <v>483</v>
      </c>
      <c r="B54" s="472"/>
      <c r="C54" s="472"/>
      <c r="D54" s="472"/>
      <c r="E54" s="472"/>
      <c r="F54" s="472"/>
      <c r="G54" s="472"/>
      <c r="H54" s="472"/>
      <c r="I54" s="472"/>
      <c r="J54" s="472"/>
      <c r="K54" s="472"/>
      <c r="L54" s="472"/>
      <c r="M54" s="473"/>
      <c r="N54" s="474" t="s">
        <v>486</v>
      </c>
      <c r="O54" s="475"/>
      <c r="P54" s="475"/>
      <c r="Q54" s="475"/>
      <c r="R54" s="475"/>
      <c r="S54" s="475"/>
      <c r="T54" s="475"/>
      <c r="U54" s="475"/>
      <c r="V54" s="475"/>
      <c r="W54" s="475"/>
      <c r="X54" s="475"/>
      <c r="Y54" s="475"/>
      <c r="Z54" s="475"/>
      <c r="AA54" s="475"/>
      <c r="AB54" s="475"/>
      <c r="AC54" s="475"/>
      <c r="AD54" s="476"/>
    </row>
    <row r="55" spans="1:32" ht="27" customHeight="1">
      <c r="A55" s="477" t="s">
        <v>2</v>
      </c>
      <c r="B55" s="478"/>
      <c r="C55" s="320" t="s">
        <v>46</v>
      </c>
      <c r="D55" s="320" t="s">
        <v>47</v>
      </c>
      <c r="E55" s="320" t="s">
        <v>108</v>
      </c>
      <c r="F55" s="478" t="s">
        <v>107</v>
      </c>
      <c r="G55" s="478"/>
      <c r="H55" s="478"/>
      <c r="I55" s="478"/>
      <c r="J55" s="478"/>
      <c r="K55" s="478"/>
      <c r="L55" s="478"/>
      <c r="M55" s="479"/>
      <c r="N55" s="67" t="s">
        <v>112</v>
      </c>
      <c r="O55" s="320" t="s">
        <v>46</v>
      </c>
      <c r="P55" s="480" t="s">
        <v>47</v>
      </c>
      <c r="Q55" s="481"/>
      <c r="R55" s="480" t="s">
        <v>38</v>
      </c>
      <c r="S55" s="482"/>
      <c r="T55" s="482"/>
      <c r="U55" s="481"/>
      <c r="V55" s="480" t="s">
        <v>48</v>
      </c>
      <c r="W55" s="482"/>
      <c r="X55" s="482"/>
      <c r="Y55" s="482"/>
      <c r="Z55" s="482"/>
      <c r="AA55" s="482"/>
      <c r="AB55" s="482"/>
      <c r="AC55" s="482"/>
      <c r="AD55" s="483"/>
    </row>
    <row r="56" spans="1:32" ht="27" customHeight="1">
      <c r="A56" s="451" t="s">
        <v>339</v>
      </c>
      <c r="B56" s="452"/>
      <c r="C56" s="322" t="s">
        <v>135</v>
      </c>
      <c r="D56" s="322" t="s">
        <v>119</v>
      </c>
      <c r="E56" s="322" t="s">
        <v>440</v>
      </c>
      <c r="F56" s="453" t="s">
        <v>137</v>
      </c>
      <c r="G56" s="454"/>
      <c r="H56" s="454"/>
      <c r="I56" s="454"/>
      <c r="J56" s="454"/>
      <c r="K56" s="454"/>
      <c r="L56" s="454"/>
      <c r="M56" s="455"/>
      <c r="N56" s="321" t="s">
        <v>114</v>
      </c>
      <c r="O56" s="327" t="s">
        <v>135</v>
      </c>
      <c r="P56" s="463" t="s">
        <v>117</v>
      </c>
      <c r="Q56" s="464"/>
      <c r="R56" s="452" t="s">
        <v>487</v>
      </c>
      <c r="S56" s="452"/>
      <c r="T56" s="452"/>
      <c r="U56" s="452"/>
      <c r="V56" s="442" t="s">
        <v>121</v>
      </c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339</v>
      </c>
      <c r="B57" s="452"/>
      <c r="C57" s="322" t="s">
        <v>136</v>
      </c>
      <c r="D57" s="322" t="s">
        <v>119</v>
      </c>
      <c r="E57" s="322" t="s">
        <v>439</v>
      </c>
      <c r="F57" s="453" t="s">
        <v>484</v>
      </c>
      <c r="G57" s="454"/>
      <c r="H57" s="454"/>
      <c r="I57" s="454"/>
      <c r="J57" s="454"/>
      <c r="K57" s="454"/>
      <c r="L57" s="454"/>
      <c r="M57" s="455"/>
      <c r="N57" s="321" t="s">
        <v>114</v>
      </c>
      <c r="O57" s="327" t="s">
        <v>204</v>
      </c>
      <c r="P57" s="463" t="s">
        <v>117</v>
      </c>
      <c r="Q57" s="464"/>
      <c r="R57" s="452" t="s">
        <v>488</v>
      </c>
      <c r="S57" s="452"/>
      <c r="T57" s="452"/>
      <c r="U57" s="452"/>
      <c r="V57" s="442" t="s">
        <v>121</v>
      </c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 t="s">
        <v>339</v>
      </c>
      <c r="B58" s="452"/>
      <c r="C58" s="322" t="s">
        <v>135</v>
      </c>
      <c r="D58" s="322" t="s">
        <v>143</v>
      </c>
      <c r="E58" s="322" t="s">
        <v>439</v>
      </c>
      <c r="F58" s="453" t="s">
        <v>121</v>
      </c>
      <c r="G58" s="454"/>
      <c r="H58" s="454"/>
      <c r="I58" s="454"/>
      <c r="J58" s="454"/>
      <c r="K58" s="454"/>
      <c r="L58" s="454"/>
      <c r="M58" s="455"/>
      <c r="N58" s="321" t="s">
        <v>114</v>
      </c>
      <c r="O58" s="327" t="s">
        <v>182</v>
      </c>
      <c r="P58" s="463" t="s">
        <v>489</v>
      </c>
      <c r="Q58" s="464"/>
      <c r="R58" s="452" t="s">
        <v>398</v>
      </c>
      <c r="S58" s="452"/>
      <c r="T58" s="452"/>
      <c r="U58" s="452"/>
      <c r="V58" s="442" t="s">
        <v>121</v>
      </c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 t="s">
        <v>114</v>
      </c>
      <c r="B59" s="452"/>
      <c r="C59" s="322" t="s">
        <v>147</v>
      </c>
      <c r="D59" s="322" t="s">
        <v>123</v>
      </c>
      <c r="E59" s="322" t="s">
        <v>473</v>
      </c>
      <c r="F59" s="453" t="s">
        <v>121</v>
      </c>
      <c r="G59" s="454"/>
      <c r="H59" s="454"/>
      <c r="I59" s="454"/>
      <c r="J59" s="454"/>
      <c r="K59" s="454"/>
      <c r="L59" s="454"/>
      <c r="M59" s="455"/>
      <c r="N59" s="321" t="s">
        <v>114</v>
      </c>
      <c r="O59" s="327" t="s">
        <v>182</v>
      </c>
      <c r="P59" s="463" t="s">
        <v>117</v>
      </c>
      <c r="Q59" s="464"/>
      <c r="R59" s="452" t="s">
        <v>396</v>
      </c>
      <c r="S59" s="452"/>
      <c r="T59" s="452"/>
      <c r="U59" s="452"/>
      <c r="V59" s="442" t="s">
        <v>121</v>
      </c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 t="s">
        <v>114</v>
      </c>
      <c r="B60" s="452"/>
      <c r="C60" s="322" t="s">
        <v>221</v>
      </c>
      <c r="D60" s="322" t="s">
        <v>129</v>
      </c>
      <c r="E60" s="322" t="s">
        <v>478</v>
      </c>
      <c r="F60" s="453" t="s">
        <v>121</v>
      </c>
      <c r="G60" s="454"/>
      <c r="H60" s="454"/>
      <c r="I60" s="454"/>
      <c r="J60" s="454"/>
      <c r="K60" s="454"/>
      <c r="L60" s="454"/>
      <c r="M60" s="455"/>
      <c r="N60" s="321" t="s">
        <v>114</v>
      </c>
      <c r="O60" s="327" t="s">
        <v>182</v>
      </c>
      <c r="P60" s="463" t="s">
        <v>168</v>
      </c>
      <c r="Q60" s="464"/>
      <c r="R60" s="452" t="s">
        <v>326</v>
      </c>
      <c r="S60" s="452"/>
      <c r="T60" s="452"/>
      <c r="U60" s="452"/>
      <c r="V60" s="442" t="s">
        <v>121</v>
      </c>
      <c r="W60" s="442"/>
      <c r="X60" s="442"/>
      <c r="Y60" s="442"/>
      <c r="Z60" s="442"/>
      <c r="AA60" s="442"/>
      <c r="AB60" s="442"/>
      <c r="AC60" s="442"/>
      <c r="AD60" s="456"/>
    </row>
    <row r="61" spans="1:32" ht="27" customHeight="1">
      <c r="A61" s="451" t="s">
        <v>114</v>
      </c>
      <c r="B61" s="452"/>
      <c r="C61" s="322" t="s">
        <v>221</v>
      </c>
      <c r="D61" s="322" t="s">
        <v>123</v>
      </c>
      <c r="E61" s="322" t="s">
        <v>482</v>
      </c>
      <c r="F61" s="453" t="s">
        <v>121</v>
      </c>
      <c r="G61" s="454"/>
      <c r="H61" s="454"/>
      <c r="I61" s="454"/>
      <c r="J61" s="454"/>
      <c r="K61" s="454"/>
      <c r="L61" s="454"/>
      <c r="M61" s="455"/>
      <c r="N61" s="321" t="s">
        <v>114</v>
      </c>
      <c r="O61" s="327" t="s">
        <v>138</v>
      </c>
      <c r="P61" s="463" t="s">
        <v>143</v>
      </c>
      <c r="Q61" s="464"/>
      <c r="R61" s="452" t="s">
        <v>415</v>
      </c>
      <c r="S61" s="452"/>
      <c r="T61" s="452"/>
      <c r="U61" s="452"/>
      <c r="V61" s="442" t="s">
        <v>121</v>
      </c>
      <c r="W61" s="442"/>
      <c r="X61" s="442"/>
      <c r="Y61" s="442"/>
      <c r="Z61" s="442"/>
      <c r="AA61" s="442"/>
      <c r="AB61" s="442"/>
      <c r="AC61" s="442"/>
      <c r="AD61" s="456"/>
    </row>
    <row r="62" spans="1:32" ht="27" customHeight="1">
      <c r="A62" s="451" t="s">
        <v>114</v>
      </c>
      <c r="B62" s="452"/>
      <c r="C62" s="322" t="s">
        <v>263</v>
      </c>
      <c r="D62" s="322" t="s">
        <v>125</v>
      </c>
      <c r="E62" s="322" t="s">
        <v>431</v>
      </c>
      <c r="F62" s="453" t="s">
        <v>121</v>
      </c>
      <c r="G62" s="454"/>
      <c r="H62" s="454"/>
      <c r="I62" s="454"/>
      <c r="J62" s="454"/>
      <c r="K62" s="454"/>
      <c r="L62" s="454"/>
      <c r="M62" s="455"/>
      <c r="N62" s="321"/>
      <c r="O62" s="327"/>
      <c r="P62" s="463"/>
      <c r="Q62" s="464"/>
      <c r="R62" s="452"/>
      <c r="S62" s="452"/>
      <c r="T62" s="452"/>
      <c r="U62" s="452"/>
      <c r="V62" s="442"/>
      <c r="W62" s="442"/>
      <c r="X62" s="442"/>
      <c r="Y62" s="442"/>
      <c r="Z62" s="442"/>
      <c r="AA62" s="442"/>
      <c r="AB62" s="442"/>
      <c r="AC62" s="442"/>
      <c r="AD62" s="456"/>
    </row>
    <row r="63" spans="1:32" ht="27" customHeight="1">
      <c r="A63" s="451" t="s">
        <v>114</v>
      </c>
      <c r="B63" s="452"/>
      <c r="C63" s="322" t="s">
        <v>138</v>
      </c>
      <c r="D63" s="322" t="s">
        <v>210</v>
      </c>
      <c r="E63" s="322" t="s">
        <v>480</v>
      </c>
      <c r="F63" s="453" t="s">
        <v>121</v>
      </c>
      <c r="G63" s="454"/>
      <c r="H63" s="454"/>
      <c r="I63" s="454"/>
      <c r="J63" s="454"/>
      <c r="K63" s="454"/>
      <c r="L63" s="454"/>
      <c r="M63" s="455"/>
      <c r="N63" s="321"/>
      <c r="O63" s="327"/>
      <c r="P63" s="463"/>
      <c r="Q63" s="464"/>
      <c r="R63" s="452"/>
      <c r="S63" s="452"/>
      <c r="T63" s="452"/>
      <c r="U63" s="452"/>
      <c r="V63" s="442"/>
      <c r="W63" s="442"/>
      <c r="X63" s="442"/>
      <c r="Y63" s="442"/>
      <c r="Z63" s="442"/>
      <c r="AA63" s="442"/>
      <c r="AB63" s="442"/>
      <c r="AC63" s="442"/>
      <c r="AD63" s="456"/>
    </row>
    <row r="64" spans="1:32" ht="27" customHeight="1">
      <c r="A64" s="451" t="s">
        <v>114</v>
      </c>
      <c r="B64" s="452"/>
      <c r="C64" s="322" t="s">
        <v>138</v>
      </c>
      <c r="D64" s="322" t="s">
        <v>143</v>
      </c>
      <c r="E64" s="322" t="s">
        <v>481</v>
      </c>
      <c r="F64" s="453" t="s">
        <v>121</v>
      </c>
      <c r="G64" s="454"/>
      <c r="H64" s="454"/>
      <c r="I64" s="454"/>
      <c r="J64" s="454"/>
      <c r="K64" s="454"/>
      <c r="L64" s="454"/>
      <c r="M64" s="455"/>
      <c r="N64" s="321"/>
      <c r="O64" s="327"/>
      <c r="P64" s="452"/>
      <c r="Q64" s="452"/>
      <c r="R64" s="452"/>
      <c r="S64" s="452"/>
      <c r="T64" s="452"/>
      <c r="U64" s="452"/>
      <c r="V64" s="442"/>
      <c r="W64" s="442"/>
      <c r="X64" s="442"/>
      <c r="Y64" s="442"/>
      <c r="Z64" s="442"/>
      <c r="AA64" s="442"/>
      <c r="AB64" s="442"/>
      <c r="AC64" s="442"/>
      <c r="AD64" s="456"/>
      <c r="AF64" s="87">
        <f>8*3000</f>
        <v>24000</v>
      </c>
    </row>
    <row r="65" spans="1:32" ht="27" customHeight="1" thickBot="1">
      <c r="A65" s="506" t="s">
        <v>114</v>
      </c>
      <c r="B65" s="507"/>
      <c r="C65" s="324" t="s">
        <v>138</v>
      </c>
      <c r="D65" s="324" t="s">
        <v>146</v>
      </c>
      <c r="E65" s="324" t="s">
        <v>412</v>
      </c>
      <c r="F65" s="508" t="s">
        <v>121</v>
      </c>
      <c r="G65" s="509"/>
      <c r="H65" s="509"/>
      <c r="I65" s="509"/>
      <c r="J65" s="509"/>
      <c r="K65" s="509"/>
      <c r="L65" s="509"/>
      <c r="M65" s="510"/>
      <c r="N65" s="323"/>
      <c r="O65" s="114"/>
      <c r="P65" s="458"/>
      <c r="Q65" s="458"/>
      <c r="R65" s="458"/>
      <c r="S65" s="458"/>
      <c r="T65" s="458"/>
      <c r="U65" s="458"/>
      <c r="V65" s="461"/>
      <c r="W65" s="461"/>
      <c r="X65" s="461"/>
      <c r="Y65" s="461"/>
      <c r="Z65" s="461"/>
      <c r="AA65" s="461"/>
      <c r="AB65" s="461"/>
      <c r="AC65" s="461"/>
      <c r="AD65" s="462"/>
      <c r="AF65" s="87">
        <f>16*3000</f>
        <v>48000</v>
      </c>
    </row>
    <row r="66" spans="1:32" ht="27.75" thickBot="1">
      <c r="A66" s="449" t="s">
        <v>490</v>
      </c>
      <c r="B66" s="449"/>
      <c r="C66" s="449"/>
      <c r="D66" s="449"/>
      <c r="E66" s="449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F66" s="87">
        <v>24000</v>
      </c>
    </row>
    <row r="67" spans="1:32" ht="29.25" customHeight="1" thickBot="1">
      <c r="A67" s="450" t="s">
        <v>113</v>
      </c>
      <c r="B67" s="447"/>
      <c r="C67" s="325" t="s">
        <v>2</v>
      </c>
      <c r="D67" s="325" t="s">
        <v>37</v>
      </c>
      <c r="E67" s="325" t="s">
        <v>3</v>
      </c>
      <c r="F67" s="447" t="s">
        <v>110</v>
      </c>
      <c r="G67" s="447"/>
      <c r="H67" s="447"/>
      <c r="I67" s="447"/>
      <c r="J67" s="447"/>
      <c r="K67" s="447" t="s">
        <v>39</v>
      </c>
      <c r="L67" s="447"/>
      <c r="M67" s="325" t="s">
        <v>40</v>
      </c>
      <c r="N67" s="447" t="s">
        <v>41</v>
      </c>
      <c r="O67" s="447"/>
      <c r="P67" s="444" t="s">
        <v>42</v>
      </c>
      <c r="Q67" s="446"/>
      <c r="R67" s="444" t="s">
        <v>43</v>
      </c>
      <c r="S67" s="445"/>
      <c r="T67" s="445"/>
      <c r="U67" s="445"/>
      <c r="V67" s="445"/>
      <c r="W67" s="445"/>
      <c r="X67" s="445"/>
      <c r="Y67" s="445"/>
      <c r="Z67" s="445"/>
      <c r="AA67" s="446"/>
      <c r="AB67" s="447" t="s">
        <v>44</v>
      </c>
      <c r="AC67" s="447"/>
      <c r="AD67" s="448"/>
      <c r="AF67" s="87">
        <f>SUM(AF64:AF66)</f>
        <v>96000</v>
      </c>
    </row>
    <row r="68" spans="1:32" ht="25.5" customHeight="1">
      <c r="A68" s="438">
        <v>1</v>
      </c>
      <c r="B68" s="439"/>
      <c r="C68" s="117" t="s">
        <v>114</v>
      </c>
      <c r="D68" s="329"/>
      <c r="E68" s="326" t="s">
        <v>125</v>
      </c>
      <c r="F68" s="440" t="s">
        <v>431</v>
      </c>
      <c r="G68" s="432"/>
      <c r="H68" s="432"/>
      <c r="I68" s="432"/>
      <c r="J68" s="432"/>
      <c r="K68" s="432" t="s">
        <v>132</v>
      </c>
      <c r="L68" s="432"/>
      <c r="M68" s="51" t="s">
        <v>293</v>
      </c>
      <c r="N68" s="443" t="s">
        <v>263</v>
      </c>
      <c r="O68" s="443"/>
      <c r="P68" s="441">
        <v>20</v>
      </c>
      <c r="Q68" s="441"/>
      <c r="R68" s="442" t="s">
        <v>491</v>
      </c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2</v>
      </c>
      <c r="B69" s="439"/>
      <c r="C69" s="117"/>
      <c r="D69" s="329"/>
      <c r="E69" s="326"/>
      <c r="F69" s="440"/>
      <c r="G69" s="432"/>
      <c r="H69" s="432"/>
      <c r="I69" s="432"/>
      <c r="J69" s="432"/>
      <c r="K69" s="432"/>
      <c r="L69" s="432"/>
      <c r="M69" s="51"/>
      <c r="N69" s="443"/>
      <c r="O69" s="443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3</v>
      </c>
      <c r="B70" s="439"/>
      <c r="C70" s="117"/>
      <c r="D70" s="329"/>
      <c r="E70" s="326"/>
      <c r="F70" s="440"/>
      <c r="G70" s="432"/>
      <c r="H70" s="432"/>
      <c r="I70" s="432"/>
      <c r="J70" s="432"/>
      <c r="K70" s="432"/>
      <c r="L70" s="432"/>
      <c r="M70" s="51"/>
      <c r="N70" s="443"/>
      <c r="O70" s="443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4</v>
      </c>
      <c r="B71" s="439"/>
      <c r="C71" s="117"/>
      <c r="D71" s="329"/>
      <c r="E71" s="326"/>
      <c r="F71" s="440"/>
      <c r="G71" s="432"/>
      <c r="H71" s="432"/>
      <c r="I71" s="432"/>
      <c r="J71" s="432"/>
      <c r="K71" s="432"/>
      <c r="L71" s="432"/>
      <c r="M71" s="51"/>
      <c r="N71" s="443"/>
      <c r="O71" s="443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5.5" customHeight="1">
      <c r="A72" s="438">
        <v>5</v>
      </c>
      <c r="B72" s="439"/>
      <c r="C72" s="117"/>
      <c r="D72" s="329"/>
      <c r="E72" s="326"/>
      <c r="F72" s="440"/>
      <c r="G72" s="432"/>
      <c r="H72" s="432"/>
      <c r="I72" s="432"/>
      <c r="J72" s="432"/>
      <c r="K72" s="432"/>
      <c r="L72" s="432"/>
      <c r="M72" s="51"/>
      <c r="N72" s="443"/>
      <c r="O72" s="443"/>
      <c r="P72" s="441"/>
      <c r="Q72" s="441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32"/>
      <c r="AC72" s="432"/>
      <c r="AD72" s="433"/>
      <c r="AF72" s="50"/>
    </row>
    <row r="73" spans="1:32" ht="25.5" customHeight="1">
      <c r="A73" s="438">
        <v>6</v>
      </c>
      <c r="B73" s="439"/>
      <c r="C73" s="117"/>
      <c r="D73" s="329"/>
      <c r="E73" s="326"/>
      <c r="F73" s="440"/>
      <c r="G73" s="432"/>
      <c r="H73" s="432"/>
      <c r="I73" s="432"/>
      <c r="J73" s="432"/>
      <c r="K73" s="432"/>
      <c r="L73" s="432"/>
      <c r="M73" s="51"/>
      <c r="N73" s="432"/>
      <c r="O73" s="432"/>
      <c r="P73" s="441"/>
      <c r="Q73" s="441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32"/>
      <c r="AC73" s="432"/>
      <c r="AD73" s="433"/>
      <c r="AF73" s="50"/>
    </row>
    <row r="74" spans="1:32" ht="25.5" customHeight="1">
      <c r="A74" s="438">
        <v>7</v>
      </c>
      <c r="B74" s="439"/>
      <c r="C74" s="117"/>
      <c r="D74" s="329"/>
      <c r="E74" s="326"/>
      <c r="F74" s="440"/>
      <c r="G74" s="432"/>
      <c r="H74" s="432"/>
      <c r="I74" s="432"/>
      <c r="J74" s="432"/>
      <c r="K74" s="432"/>
      <c r="L74" s="432"/>
      <c r="M74" s="51"/>
      <c r="N74" s="432"/>
      <c r="O74" s="432"/>
      <c r="P74" s="441"/>
      <c r="Q74" s="441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32"/>
      <c r="AC74" s="432"/>
      <c r="AD74" s="433"/>
      <c r="AF74" s="50"/>
    </row>
    <row r="75" spans="1:32" ht="25.5" customHeight="1">
      <c r="A75" s="438">
        <v>8</v>
      </c>
      <c r="B75" s="439"/>
      <c r="C75" s="117"/>
      <c r="D75" s="329"/>
      <c r="E75" s="326"/>
      <c r="F75" s="440"/>
      <c r="G75" s="432"/>
      <c r="H75" s="432"/>
      <c r="I75" s="432"/>
      <c r="J75" s="432"/>
      <c r="K75" s="432"/>
      <c r="L75" s="432"/>
      <c r="M75" s="51"/>
      <c r="N75" s="432"/>
      <c r="O75" s="432"/>
      <c r="P75" s="441"/>
      <c r="Q75" s="441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32"/>
      <c r="AC75" s="432"/>
      <c r="AD75" s="433"/>
      <c r="AF75" s="50"/>
    </row>
    <row r="76" spans="1:32" ht="26.25" customHeight="1" thickBot="1">
      <c r="A76" s="412" t="s">
        <v>492</v>
      </c>
      <c r="B76" s="412"/>
      <c r="C76" s="412"/>
      <c r="D76" s="412"/>
      <c r="E76" s="412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13" t="s">
        <v>113</v>
      </c>
      <c r="B77" s="414"/>
      <c r="C77" s="328" t="s">
        <v>2</v>
      </c>
      <c r="D77" s="328" t="s">
        <v>37</v>
      </c>
      <c r="E77" s="328" t="s">
        <v>3</v>
      </c>
      <c r="F77" s="414" t="s">
        <v>38</v>
      </c>
      <c r="G77" s="414"/>
      <c r="H77" s="414"/>
      <c r="I77" s="414"/>
      <c r="J77" s="414"/>
      <c r="K77" s="434" t="s">
        <v>58</v>
      </c>
      <c r="L77" s="435"/>
      <c r="M77" s="435"/>
      <c r="N77" s="435"/>
      <c r="O77" s="435"/>
      <c r="P77" s="435"/>
      <c r="Q77" s="435"/>
      <c r="R77" s="435"/>
      <c r="S77" s="436"/>
      <c r="T77" s="414" t="s">
        <v>49</v>
      </c>
      <c r="U77" s="414"/>
      <c r="V77" s="434" t="s">
        <v>50</v>
      </c>
      <c r="W77" s="436"/>
      <c r="X77" s="435" t="s">
        <v>51</v>
      </c>
      <c r="Y77" s="435"/>
      <c r="Z77" s="435"/>
      <c r="AA77" s="435"/>
      <c r="AB77" s="435"/>
      <c r="AC77" s="435"/>
      <c r="AD77" s="437"/>
      <c r="AF77" s="50"/>
    </row>
    <row r="78" spans="1:32" ht="33.75" customHeight="1">
      <c r="A78" s="406">
        <v>1</v>
      </c>
      <c r="B78" s="407"/>
      <c r="C78" s="330" t="s">
        <v>114</v>
      </c>
      <c r="D78" s="330"/>
      <c r="E78" s="65" t="s">
        <v>119</v>
      </c>
      <c r="F78" s="421" t="s">
        <v>118</v>
      </c>
      <c r="G78" s="422"/>
      <c r="H78" s="422"/>
      <c r="I78" s="422"/>
      <c r="J78" s="423"/>
      <c r="K78" s="424" t="s">
        <v>120</v>
      </c>
      <c r="L78" s="425"/>
      <c r="M78" s="425"/>
      <c r="N78" s="425"/>
      <c r="O78" s="425"/>
      <c r="P78" s="425"/>
      <c r="Q78" s="425"/>
      <c r="R78" s="425"/>
      <c r="S78" s="426"/>
      <c r="T78" s="427">
        <v>43384</v>
      </c>
      <c r="U78" s="428"/>
      <c r="V78" s="429"/>
      <c r="W78" s="429"/>
      <c r="X78" s="430"/>
      <c r="Y78" s="430"/>
      <c r="Z78" s="430"/>
      <c r="AA78" s="430"/>
      <c r="AB78" s="430"/>
      <c r="AC78" s="430"/>
      <c r="AD78" s="431"/>
      <c r="AF78" s="50"/>
    </row>
    <row r="79" spans="1:32" ht="30" customHeight="1">
      <c r="A79" s="399">
        <f>A78+1</f>
        <v>2</v>
      </c>
      <c r="B79" s="400"/>
      <c r="C79" s="329"/>
      <c r="D79" s="329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ref="A80:A86" si="39">A79+1</f>
        <v>3</v>
      </c>
      <c r="B80" s="400"/>
      <c r="C80" s="329"/>
      <c r="D80" s="329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39"/>
        <v>4</v>
      </c>
      <c r="B81" s="400"/>
      <c r="C81" s="329"/>
      <c r="D81" s="329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39"/>
        <v>5</v>
      </c>
      <c r="B82" s="400"/>
      <c r="C82" s="329"/>
      <c r="D82" s="329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0" customHeight="1">
      <c r="A83" s="399">
        <f t="shared" si="39"/>
        <v>6</v>
      </c>
      <c r="B83" s="400"/>
      <c r="C83" s="329"/>
      <c r="D83" s="329"/>
      <c r="E83" s="32"/>
      <c r="F83" s="400"/>
      <c r="G83" s="400"/>
      <c r="H83" s="400"/>
      <c r="I83" s="400"/>
      <c r="J83" s="400"/>
      <c r="K83" s="415"/>
      <c r="L83" s="416"/>
      <c r="M83" s="416"/>
      <c r="N83" s="416"/>
      <c r="O83" s="416"/>
      <c r="P83" s="416"/>
      <c r="Q83" s="416"/>
      <c r="R83" s="416"/>
      <c r="S83" s="417"/>
      <c r="T83" s="418"/>
      <c r="U83" s="418"/>
      <c r="V83" s="418"/>
      <c r="W83" s="418"/>
      <c r="X83" s="419"/>
      <c r="Y83" s="419"/>
      <c r="Z83" s="419"/>
      <c r="AA83" s="419"/>
      <c r="AB83" s="419"/>
      <c r="AC83" s="419"/>
      <c r="AD83" s="420"/>
      <c r="AF83" s="50"/>
    </row>
    <row r="84" spans="1:32" ht="30" customHeight="1">
      <c r="A84" s="399">
        <f t="shared" si="39"/>
        <v>7</v>
      </c>
      <c r="B84" s="400"/>
      <c r="C84" s="329"/>
      <c r="D84" s="329"/>
      <c r="E84" s="32"/>
      <c r="F84" s="400"/>
      <c r="G84" s="400"/>
      <c r="H84" s="400"/>
      <c r="I84" s="400"/>
      <c r="J84" s="400"/>
      <c r="K84" s="415"/>
      <c r="L84" s="416"/>
      <c r="M84" s="416"/>
      <c r="N84" s="416"/>
      <c r="O84" s="416"/>
      <c r="P84" s="416"/>
      <c r="Q84" s="416"/>
      <c r="R84" s="416"/>
      <c r="S84" s="417"/>
      <c r="T84" s="418"/>
      <c r="U84" s="418"/>
      <c r="V84" s="418"/>
      <c r="W84" s="418"/>
      <c r="X84" s="419"/>
      <c r="Y84" s="419"/>
      <c r="Z84" s="419"/>
      <c r="AA84" s="419"/>
      <c r="AB84" s="419"/>
      <c r="AC84" s="419"/>
      <c r="AD84" s="420"/>
      <c r="AF84" s="50"/>
    </row>
    <row r="85" spans="1:32" ht="30" customHeight="1">
      <c r="A85" s="399">
        <f t="shared" si="39"/>
        <v>8</v>
      </c>
      <c r="B85" s="400"/>
      <c r="C85" s="329"/>
      <c r="D85" s="329"/>
      <c r="E85" s="32"/>
      <c r="F85" s="400"/>
      <c r="G85" s="400"/>
      <c r="H85" s="400"/>
      <c r="I85" s="400"/>
      <c r="J85" s="400"/>
      <c r="K85" s="415"/>
      <c r="L85" s="416"/>
      <c r="M85" s="416"/>
      <c r="N85" s="416"/>
      <c r="O85" s="416"/>
      <c r="P85" s="416"/>
      <c r="Q85" s="416"/>
      <c r="R85" s="416"/>
      <c r="S85" s="417"/>
      <c r="T85" s="418"/>
      <c r="U85" s="418"/>
      <c r="V85" s="418"/>
      <c r="W85" s="418"/>
      <c r="X85" s="419"/>
      <c r="Y85" s="419"/>
      <c r="Z85" s="419"/>
      <c r="AA85" s="419"/>
      <c r="AB85" s="419"/>
      <c r="AC85" s="419"/>
      <c r="AD85" s="420"/>
      <c r="AF85" s="50"/>
    </row>
    <row r="86" spans="1:32" ht="30" customHeight="1">
      <c r="A86" s="399">
        <f t="shared" si="39"/>
        <v>9</v>
      </c>
      <c r="B86" s="400"/>
      <c r="C86" s="329"/>
      <c r="D86" s="329"/>
      <c r="E86" s="32"/>
      <c r="F86" s="400"/>
      <c r="G86" s="400"/>
      <c r="H86" s="400"/>
      <c r="I86" s="400"/>
      <c r="J86" s="400"/>
      <c r="K86" s="415"/>
      <c r="L86" s="416"/>
      <c r="M86" s="416"/>
      <c r="N86" s="416"/>
      <c r="O86" s="416"/>
      <c r="P86" s="416"/>
      <c r="Q86" s="416"/>
      <c r="R86" s="416"/>
      <c r="S86" s="417"/>
      <c r="T86" s="418"/>
      <c r="U86" s="418"/>
      <c r="V86" s="418"/>
      <c r="W86" s="418"/>
      <c r="X86" s="419"/>
      <c r="Y86" s="419"/>
      <c r="Z86" s="419"/>
      <c r="AA86" s="419"/>
      <c r="AB86" s="419"/>
      <c r="AC86" s="419"/>
      <c r="AD86" s="420"/>
      <c r="AF86" s="50"/>
    </row>
    <row r="87" spans="1:32" ht="36" thickBot="1">
      <c r="A87" s="412" t="s">
        <v>493</v>
      </c>
      <c r="B87" s="412"/>
      <c r="C87" s="412"/>
      <c r="D87" s="412"/>
      <c r="E87" s="412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F87" s="50"/>
    </row>
    <row r="88" spans="1:32" ht="30.75" customHeight="1" thickBot="1">
      <c r="A88" s="413" t="s">
        <v>113</v>
      </c>
      <c r="B88" s="414"/>
      <c r="C88" s="404" t="s">
        <v>52</v>
      </c>
      <c r="D88" s="404"/>
      <c r="E88" s="404" t="s">
        <v>53</v>
      </c>
      <c r="F88" s="404"/>
      <c r="G88" s="404"/>
      <c r="H88" s="404"/>
      <c r="I88" s="404"/>
      <c r="J88" s="404"/>
      <c r="K88" s="404" t="s">
        <v>54</v>
      </c>
      <c r="L88" s="404"/>
      <c r="M88" s="404"/>
      <c r="N88" s="404"/>
      <c r="O88" s="404"/>
      <c r="P88" s="404"/>
      <c r="Q88" s="404"/>
      <c r="R88" s="404"/>
      <c r="S88" s="404"/>
      <c r="T88" s="404" t="s">
        <v>55</v>
      </c>
      <c r="U88" s="404"/>
      <c r="V88" s="404" t="s">
        <v>56</v>
      </c>
      <c r="W88" s="404"/>
      <c r="X88" s="404"/>
      <c r="Y88" s="404" t="s">
        <v>51</v>
      </c>
      <c r="Z88" s="404"/>
      <c r="AA88" s="404"/>
      <c r="AB88" s="404"/>
      <c r="AC88" s="404"/>
      <c r="AD88" s="405"/>
      <c r="AF88" s="50"/>
    </row>
    <row r="89" spans="1:32" ht="30.75" customHeight="1">
      <c r="A89" s="406">
        <v>1</v>
      </c>
      <c r="B89" s="407"/>
      <c r="C89" s="408"/>
      <c r="D89" s="408"/>
      <c r="E89" s="408"/>
      <c r="F89" s="408"/>
      <c r="G89" s="408"/>
      <c r="H89" s="408"/>
      <c r="I89" s="408"/>
      <c r="J89" s="408"/>
      <c r="K89" s="408"/>
      <c r="L89" s="408"/>
      <c r="M89" s="408"/>
      <c r="N89" s="408"/>
      <c r="O89" s="408"/>
      <c r="P89" s="408"/>
      <c r="Q89" s="408"/>
      <c r="R89" s="408"/>
      <c r="S89" s="408"/>
      <c r="T89" s="408"/>
      <c r="U89" s="408"/>
      <c r="V89" s="409"/>
      <c r="W89" s="409"/>
      <c r="X89" s="409"/>
      <c r="Y89" s="410"/>
      <c r="Z89" s="410"/>
      <c r="AA89" s="410"/>
      <c r="AB89" s="410"/>
      <c r="AC89" s="410"/>
      <c r="AD89" s="411"/>
      <c r="AF89" s="50"/>
    </row>
    <row r="90" spans="1:32" ht="30.75" customHeight="1">
      <c r="A90" s="399">
        <v>2</v>
      </c>
      <c r="B90" s="400"/>
      <c r="C90" s="401"/>
      <c r="D90" s="401"/>
      <c r="E90" s="401"/>
      <c r="F90" s="401"/>
      <c r="G90" s="401"/>
      <c r="H90" s="401"/>
      <c r="I90" s="401"/>
      <c r="J90" s="401"/>
      <c r="K90" s="401"/>
      <c r="L90" s="401"/>
      <c r="M90" s="401"/>
      <c r="N90" s="401"/>
      <c r="O90" s="401"/>
      <c r="P90" s="401"/>
      <c r="Q90" s="401"/>
      <c r="R90" s="401"/>
      <c r="S90" s="401"/>
      <c r="T90" s="402"/>
      <c r="U90" s="402"/>
      <c r="V90" s="403"/>
      <c r="W90" s="403"/>
      <c r="X90" s="403"/>
      <c r="Y90" s="392"/>
      <c r="Z90" s="392"/>
      <c r="AA90" s="392"/>
      <c r="AB90" s="392"/>
      <c r="AC90" s="392"/>
      <c r="AD90" s="393"/>
      <c r="AF90" s="50"/>
    </row>
    <row r="91" spans="1:32" ht="30.75" customHeight="1" thickBot="1">
      <c r="A91" s="394">
        <v>3</v>
      </c>
      <c r="B91" s="395"/>
      <c r="C91" s="396"/>
      <c r="D91" s="396"/>
      <c r="E91" s="396"/>
      <c r="F91" s="396"/>
      <c r="G91" s="396"/>
      <c r="H91" s="396"/>
      <c r="I91" s="396"/>
      <c r="J91" s="396"/>
      <c r="K91" s="396"/>
      <c r="L91" s="396"/>
      <c r="M91" s="396"/>
      <c r="N91" s="396"/>
      <c r="O91" s="396"/>
      <c r="P91" s="396"/>
      <c r="Q91" s="396"/>
      <c r="R91" s="396"/>
      <c r="S91" s="396"/>
      <c r="T91" s="396"/>
      <c r="U91" s="396"/>
      <c r="V91" s="396"/>
      <c r="W91" s="396"/>
      <c r="X91" s="396"/>
      <c r="Y91" s="397"/>
      <c r="Z91" s="397"/>
      <c r="AA91" s="397"/>
      <c r="AB91" s="397"/>
      <c r="AC91" s="397"/>
      <c r="AD91" s="398"/>
      <c r="AF91" s="50"/>
    </row>
  </sheetData>
  <mergeCells count="230">
    <mergeCell ref="Y90:AD90"/>
    <mergeCell ref="A91:B91"/>
    <mergeCell ref="C91:D91"/>
    <mergeCell ref="E91:J91"/>
    <mergeCell ref="K91:S91"/>
    <mergeCell ref="T91:U91"/>
    <mergeCell ref="V91:X91"/>
    <mergeCell ref="Y91:AD91"/>
    <mergeCell ref="A90:B90"/>
    <mergeCell ref="C90:D90"/>
    <mergeCell ref="E90:J90"/>
    <mergeCell ref="K90:S90"/>
    <mergeCell ref="T90:U90"/>
    <mergeCell ref="V90:X90"/>
    <mergeCell ref="V88:X88"/>
    <mergeCell ref="Y88:AD88"/>
    <mergeCell ref="A89:B89"/>
    <mergeCell ref="C89:D89"/>
    <mergeCell ref="E89:J89"/>
    <mergeCell ref="K89:S89"/>
    <mergeCell ref="T89:U89"/>
    <mergeCell ref="V89:X89"/>
    <mergeCell ref="Y89:AD89"/>
    <mergeCell ref="A87:E87"/>
    <mergeCell ref="A88:B88"/>
    <mergeCell ref="C88:D88"/>
    <mergeCell ref="E88:J88"/>
    <mergeCell ref="K88:S88"/>
    <mergeCell ref="T88:U88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R67:AA67"/>
    <mergeCell ref="AB67:AD67"/>
    <mergeCell ref="A68:B68"/>
    <mergeCell ref="F68:J68"/>
    <mergeCell ref="K68:L68"/>
    <mergeCell ref="N68:O68"/>
    <mergeCell ref="P68:Q68"/>
    <mergeCell ref="R68:AA68"/>
    <mergeCell ref="AB68:AD68"/>
    <mergeCell ref="A66:E66"/>
    <mergeCell ref="A67:B67"/>
    <mergeCell ref="F67:J67"/>
    <mergeCell ref="K67:L67"/>
    <mergeCell ref="N67:O67"/>
    <mergeCell ref="P67:Q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D4:AD5"/>
    <mergeCell ref="A26:H26"/>
    <mergeCell ref="A53:E53"/>
    <mergeCell ref="A54:M54"/>
    <mergeCell ref="N54:AD54"/>
    <mergeCell ref="A55:B55"/>
    <mergeCell ref="F55:M55"/>
    <mergeCell ref="P55:Q55"/>
    <mergeCell ref="R55:U55"/>
    <mergeCell ref="V55:AD55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52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4947-F07D-463C-9BA3-07D0CA3F2531}">
  <sheetPr>
    <pageSetUpPr fitToPage="1"/>
  </sheetPr>
  <dimension ref="A1:AF91"/>
  <sheetViews>
    <sheetView zoomScale="72" zoomScaleNormal="72" zoomScaleSheetLayoutView="70" workbookViewId="0">
      <selection activeCell="A88" sqref="A88:B88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498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5" si="1">L6-N6</f>
        <v>0</v>
      </c>
      <c r="N6" s="15">
        <v>0</v>
      </c>
      <c r="O6" s="58" t="str">
        <f t="shared" ref="O6:O26" si="2">IF(L6=0,"0",N6/L6)</f>
        <v>0</v>
      </c>
      <c r="P6" s="39" t="str">
        <f t="shared" ref="P6:P25" si="3">IF(L6=0,"0",(24-Q6))</f>
        <v>0</v>
      </c>
      <c r="Q6" s="40">
        <f t="shared" ref="Q6:Q25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5" si="5">IF(J6=0,"0",(L6/J6))</f>
        <v>0</v>
      </c>
      <c r="AC6" s="9">
        <f t="shared" ref="AC6:AC25" si="6">IF(P6=0,"0",(P6/24))</f>
        <v>0</v>
      </c>
      <c r="AD6" s="10">
        <f t="shared" ref="AD6:AD25" si="7">AC6*AB6*(1-O6)</f>
        <v>0</v>
      </c>
      <c r="AE6" s="36">
        <f t="shared" ref="AE6:AE25" si="8">$AD$26</f>
        <v>0.33573504273504273</v>
      </c>
      <c r="AF6" s="87">
        <f t="shared" ref="AF6:AF25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0.33573504273504273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L8+693+1619</f>
        <v>2312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0.33573504273504273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117</v>
      </c>
      <c r="E9" s="53" t="s">
        <v>487</v>
      </c>
      <c r="F9" s="30" t="s">
        <v>122</v>
      </c>
      <c r="G9" s="33">
        <v>1</v>
      </c>
      <c r="H9" s="35">
        <v>24</v>
      </c>
      <c r="I9" s="7">
        <v>250</v>
      </c>
      <c r="J9" s="14">
        <v>534</v>
      </c>
      <c r="K9" s="15">
        <f>L9</f>
        <v>534</v>
      </c>
      <c r="L9" s="15">
        <v>534</v>
      </c>
      <c r="M9" s="15">
        <f t="shared" si="1"/>
        <v>534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/>
      <c r="T9" s="16"/>
      <c r="U9" s="16"/>
      <c r="V9" s="17"/>
      <c r="W9" s="5">
        <v>14</v>
      </c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0.33573504273504273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123</v>
      </c>
      <c r="E10" s="53" t="s">
        <v>473</v>
      </c>
      <c r="F10" s="30" t="s">
        <v>124</v>
      </c>
      <c r="G10" s="33">
        <v>1</v>
      </c>
      <c r="H10" s="35">
        <v>24</v>
      </c>
      <c r="I10" s="7">
        <v>66000</v>
      </c>
      <c r="J10" s="5">
        <v>6211</v>
      </c>
      <c r="K10" s="15">
        <f>L10+5412</f>
        <v>11623</v>
      </c>
      <c r="L10" s="15">
        <f>3125+3086</f>
        <v>6211</v>
      </c>
      <c r="M10" s="15">
        <f t="shared" si="1"/>
        <v>6211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0.33573504273504273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295</v>
      </c>
      <c r="D11" s="52" t="s">
        <v>117</v>
      </c>
      <c r="E11" s="53" t="s">
        <v>497</v>
      </c>
      <c r="F11" s="30" t="s">
        <v>405</v>
      </c>
      <c r="G11" s="33">
        <v>1</v>
      </c>
      <c r="H11" s="35">
        <v>20</v>
      </c>
      <c r="I11" s="7">
        <v>500</v>
      </c>
      <c r="J11" s="14">
        <v>352</v>
      </c>
      <c r="K11" s="15">
        <f>L11</f>
        <v>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0.33573504273504273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488</v>
      </c>
      <c r="F12" s="30" t="s">
        <v>124</v>
      </c>
      <c r="G12" s="33">
        <v>1</v>
      </c>
      <c r="H12" s="35">
        <v>20</v>
      </c>
      <c r="I12" s="7">
        <v>66000</v>
      </c>
      <c r="J12" s="14">
        <v>4590</v>
      </c>
      <c r="K12" s="15">
        <f>L12</f>
        <v>4590</v>
      </c>
      <c r="L12" s="15">
        <f>2042+2548</f>
        <v>4590</v>
      </c>
      <c r="M12" s="15">
        <f t="shared" si="1"/>
        <v>4590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0.33573504273504273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397</v>
      </c>
      <c r="E13" s="53" t="s">
        <v>494</v>
      </c>
      <c r="F13" s="30" t="s">
        <v>162</v>
      </c>
      <c r="G13" s="33">
        <v>1</v>
      </c>
      <c r="H13" s="35">
        <v>24</v>
      </c>
      <c r="I13" s="7">
        <v>250</v>
      </c>
      <c r="J13" s="14">
        <v>325</v>
      </c>
      <c r="K13" s="15">
        <f>L13</f>
        <v>325</v>
      </c>
      <c r="L13" s="15">
        <v>325</v>
      </c>
      <c r="M13" s="15">
        <f t="shared" ref="M13:M14" si="10">L13-N13</f>
        <v>325</v>
      </c>
      <c r="N13" s="15">
        <v>0</v>
      </c>
      <c r="O13" s="58">
        <f t="shared" ref="O13:O14" si="11">IF(L13=0,"0",N13/L13)</f>
        <v>0</v>
      </c>
      <c r="P13" s="39">
        <f t="shared" ref="P13:P14" si="12">IF(L13=0,"0",(24-Q13))</f>
        <v>4</v>
      </c>
      <c r="Q13" s="40">
        <f t="shared" ref="Q13:Q14" si="13">SUM(R13:AA13)</f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ref="AB13:AB14" si="14">IF(J13=0,"0",(L13/J13))</f>
        <v>1</v>
      </c>
      <c r="AC13" s="9">
        <f t="shared" ref="AC13:AC14" si="15">IF(P13=0,"0",(P13/24))</f>
        <v>0.16666666666666666</v>
      </c>
      <c r="AD13" s="10">
        <f t="shared" ref="AD13:AD14" si="16">AC13*AB13*(1-O13)</f>
        <v>0.16666666666666666</v>
      </c>
      <c r="AE13" s="36">
        <f t="shared" si="8"/>
        <v>0.33573504273504273</v>
      </c>
      <c r="AF13" s="87">
        <f t="shared" ref="AF13:AF14" si="17">A13</f>
        <v>8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117</v>
      </c>
      <c r="E14" s="53" t="s">
        <v>396</v>
      </c>
      <c r="F14" s="30" t="s">
        <v>162</v>
      </c>
      <c r="G14" s="33">
        <v>1</v>
      </c>
      <c r="H14" s="35">
        <v>24</v>
      </c>
      <c r="I14" s="7">
        <v>250</v>
      </c>
      <c r="J14" s="14">
        <v>325</v>
      </c>
      <c r="K14" s="15">
        <f>L14</f>
        <v>314</v>
      </c>
      <c r="L14" s="15">
        <v>314</v>
      </c>
      <c r="M14" s="15">
        <f t="shared" si="10"/>
        <v>314</v>
      </c>
      <c r="N14" s="15">
        <v>0</v>
      </c>
      <c r="O14" s="58">
        <f t="shared" si="11"/>
        <v>0</v>
      </c>
      <c r="P14" s="39">
        <f t="shared" si="12"/>
        <v>4</v>
      </c>
      <c r="Q14" s="40">
        <f t="shared" si="13"/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si="14"/>
        <v>0.96615384615384614</v>
      </c>
      <c r="AC14" s="9">
        <f t="shared" si="15"/>
        <v>0.16666666666666666</v>
      </c>
      <c r="AD14" s="10">
        <f t="shared" si="16"/>
        <v>0.16102564102564101</v>
      </c>
      <c r="AE14" s="36">
        <f t="shared" si="8"/>
        <v>0.33573504273504273</v>
      </c>
      <c r="AF14" s="87">
        <f t="shared" si="17"/>
        <v>8</v>
      </c>
    </row>
    <row r="15" spans="1:32" ht="27" customHeight="1">
      <c r="A15" s="103">
        <v>8</v>
      </c>
      <c r="B15" s="11" t="s">
        <v>57</v>
      </c>
      <c r="C15" s="11" t="s">
        <v>114</v>
      </c>
      <c r="D15" s="52" t="s">
        <v>168</v>
      </c>
      <c r="E15" s="53" t="s">
        <v>326</v>
      </c>
      <c r="F15" s="30" t="s">
        <v>495</v>
      </c>
      <c r="G15" s="33">
        <v>1</v>
      </c>
      <c r="H15" s="35">
        <v>24</v>
      </c>
      <c r="I15" s="7">
        <v>5000</v>
      </c>
      <c r="J15" s="14">
        <v>2170</v>
      </c>
      <c r="K15" s="15">
        <f>L15</f>
        <v>2170</v>
      </c>
      <c r="L15" s="15">
        <f>2170</f>
        <v>2170</v>
      </c>
      <c r="M15" s="15">
        <f t="shared" si="1"/>
        <v>2170</v>
      </c>
      <c r="N15" s="15">
        <v>0</v>
      </c>
      <c r="O15" s="58">
        <f t="shared" si="2"/>
        <v>0</v>
      </c>
      <c r="P15" s="39">
        <f t="shared" si="3"/>
        <v>10</v>
      </c>
      <c r="Q15" s="40">
        <f t="shared" si="4"/>
        <v>14</v>
      </c>
      <c r="R15" s="7"/>
      <c r="S15" s="6">
        <v>14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0.41666666666666669</v>
      </c>
      <c r="AD15" s="10">
        <f t="shared" si="7"/>
        <v>0.41666666666666669</v>
      </c>
      <c r="AE15" s="36">
        <f t="shared" si="8"/>
        <v>0.33573504273504273</v>
      </c>
      <c r="AF15" s="87">
        <f t="shared" si="9"/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117</v>
      </c>
      <c r="E16" s="53" t="s">
        <v>422</v>
      </c>
      <c r="F16" s="30" t="s">
        <v>405</v>
      </c>
      <c r="G16" s="33">
        <v>1</v>
      </c>
      <c r="H16" s="35">
        <v>40</v>
      </c>
      <c r="I16" s="7">
        <v>500</v>
      </c>
      <c r="J16" s="5">
        <v>1006</v>
      </c>
      <c r="K16" s="15">
        <f>L16+1006</f>
        <v>1006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0.33573504273504273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149</v>
      </c>
      <c r="D17" s="52"/>
      <c r="E17" s="53" t="s">
        <v>407</v>
      </c>
      <c r="F17" s="12">
        <v>8301</v>
      </c>
      <c r="G17" s="12">
        <v>1</v>
      </c>
      <c r="H17" s="13">
        <v>24</v>
      </c>
      <c r="I17" s="31">
        <v>1000</v>
      </c>
      <c r="J17" s="14">
        <v>1098</v>
      </c>
      <c r="K17" s="15">
        <f>L17+1098</f>
        <v>1098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0.33573504273504273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11" t="s">
        <v>286</v>
      </c>
      <c r="D18" s="52" t="s">
        <v>303</v>
      </c>
      <c r="E18" s="53" t="s">
        <v>285</v>
      </c>
      <c r="F18" s="12">
        <v>7301</v>
      </c>
      <c r="G18" s="12">
        <v>1</v>
      </c>
      <c r="H18" s="13">
        <v>24</v>
      </c>
      <c r="I18" s="7">
        <v>600</v>
      </c>
      <c r="J18" s="14">
        <v>2547</v>
      </c>
      <c r="K18" s="15">
        <f>L18+2547</f>
        <v>2547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0.33573504273504273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34" t="s">
        <v>114</v>
      </c>
      <c r="D19" s="52" t="s">
        <v>125</v>
      </c>
      <c r="E19" s="53" t="s">
        <v>479</v>
      </c>
      <c r="F19" s="12" t="s">
        <v>132</v>
      </c>
      <c r="G19" s="12">
        <v>1</v>
      </c>
      <c r="H19" s="13">
        <v>24</v>
      </c>
      <c r="I19" s="31">
        <v>250</v>
      </c>
      <c r="J19" s="14">
        <v>257</v>
      </c>
      <c r="K19" s="15">
        <f>L19+257</f>
        <v>257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0.33573504273504273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154</v>
      </c>
      <c r="D20" s="52" t="s">
        <v>210</v>
      </c>
      <c r="E20" s="53" t="s">
        <v>229</v>
      </c>
      <c r="F20" s="30" t="s">
        <v>230</v>
      </c>
      <c r="G20" s="33">
        <v>1</v>
      </c>
      <c r="H20" s="35">
        <v>24</v>
      </c>
      <c r="I20" s="7">
        <v>500</v>
      </c>
      <c r="J20" s="5">
        <v>615</v>
      </c>
      <c r="K20" s="15">
        <f>L20</f>
        <v>615</v>
      </c>
      <c r="L20" s="15">
        <v>615</v>
      </c>
      <c r="M20" s="15">
        <f t="shared" si="1"/>
        <v>615</v>
      </c>
      <c r="N20" s="15">
        <v>0</v>
      </c>
      <c r="O20" s="58">
        <f t="shared" si="2"/>
        <v>0</v>
      </c>
      <c r="P20" s="39">
        <f t="shared" si="3"/>
        <v>5</v>
      </c>
      <c r="Q20" s="40">
        <f t="shared" si="4"/>
        <v>19</v>
      </c>
      <c r="R20" s="7"/>
      <c r="S20" s="6"/>
      <c r="T20" s="16"/>
      <c r="U20" s="16"/>
      <c r="V20" s="17"/>
      <c r="W20" s="5">
        <v>19</v>
      </c>
      <c r="X20" s="16"/>
      <c r="Y20" s="16"/>
      <c r="Z20" s="16"/>
      <c r="AA20" s="18"/>
      <c r="AB20" s="8">
        <f t="shared" si="5"/>
        <v>1</v>
      </c>
      <c r="AC20" s="9">
        <f t="shared" si="6"/>
        <v>0.20833333333333334</v>
      </c>
      <c r="AD20" s="10">
        <f>AC20*AB20*(1-O20)</f>
        <v>0.20833333333333334</v>
      </c>
      <c r="AE20" s="36">
        <f t="shared" si="8"/>
        <v>0.33573504273504273</v>
      </c>
      <c r="AF20" s="87">
        <f t="shared" si="9"/>
        <v>13</v>
      </c>
    </row>
    <row r="21" spans="1:32" ht="27" customHeight="1">
      <c r="A21" s="103">
        <v>13</v>
      </c>
      <c r="B21" s="11" t="s">
        <v>57</v>
      </c>
      <c r="C21" s="11" t="s">
        <v>154</v>
      </c>
      <c r="D21" s="52" t="s">
        <v>233</v>
      </c>
      <c r="E21" s="53" t="s">
        <v>235</v>
      </c>
      <c r="F21" s="30" t="s">
        <v>230</v>
      </c>
      <c r="G21" s="33">
        <v>1</v>
      </c>
      <c r="H21" s="35">
        <v>24</v>
      </c>
      <c r="I21" s="7">
        <v>500</v>
      </c>
      <c r="J21" s="5">
        <v>993</v>
      </c>
      <c r="K21" s="15">
        <f>L21</f>
        <v>993</v>
      </c>
      <c r="L21" s="15">
        <v>993</v>
      </c>
      <c r="M21" s="15">
        <f t="shared" si="1"/>
        <v>993</v>
      </c>
      <c r="N21" s="15">
        <v>0</v>
      </c>
      <c r="O21" s="58">
        <f t="shared" si="2"/>
        <v>0</v>
      </c>
      <c r="P21" s="39">
        <f t="shared" si="3"/>
        <v>4</v>
      </c>
      <c r="Q21" s="40">
        <f t="shared" si="4"/>
        <v>20</v>
      </c>
      <c r="R21" s="7"/>
      <c r="S21" s="6"/>
      <c r="T21" s="16"/>
      <c r="U21" s="16"/>
      <c r="V21" s="17"/>
      <c r="W21" s="5">
        <v>20</v>
      </c>
      <c r="X21" s="16"/>
      <c r="Y21" s="16"/>
      <c r="Z21" s="16"/>
      <c r="AA21" s="18"/>
      <c r="AB21" s="8">
        <f t="shared" si="5"/>
        <v>1</v>
      </c>
      <c r="AC21" s="9">
        <f t="shared" si="6"/>
        <v>0.16666666666666666</v>
      </c>
      <c r="AD21" s="10">
        <f t="shared" ref="AD21" si="18">AC21*AB21*(1-O21)</f>
        <v>0.16666666666666666</v>
      </c>
      <c r="AE21" s="36">
        <f t="shared" si="8"/>
        <v>0.33573504273504273</v>
      </c>
      <c r="AF21" s="87">
        <f t="shared" si="9"/>
        <v>13</v>
      </c>
    </row>
    <row r="22" spans="1:32" ht="27" customHeight="1">
      <c r="A22" s="103">
        <v>14</v>
      </c>
      <c r="B22" s="11" t="s">
        <v>57</v>
      </c>
      <c r="C22" s="11" t="s">
        <v>154</v>
      </c>
      <c r="D22" s="52" t="s">
        <v>232</v>
      </c>
      <c r="E22" s="53" t="s">
        <v>234</v>
      </c>
      <c r="F22" s="30" t="s">
        <v>230</v>
      </c>
      <c r="G22" s="33">
        <v>1</v>
      </c>
      <c r="H22" s="35">
        <v>24</v>
      </c>
      <c r="I22" s="7">
        <v>500</v>
      </c>
      <c r="J22" s="5">
        <v>693</v>
      </c>
      <c r="K22" s="15">
        <f>L22</f>
        <v>693</v>
      </c>
      <c r="L22" s="15">
        <v>693</v>
      </c>
      <c r="M22" s="15">
        <f t="shared" ref="M22" si="19">L22-N22</f>
        <v>693</v>
      </c>
      <c r="N22" s="15">
        <v>0</v>
      </c>
      <c r="O22" s="58">
        <f t="shared" ref="O22" si="20">IF(L22=0,"0",N22/L22)</f>
        <v>0</v>
      </c>
      <c r="P22" s="39">
        <f t="shared" ref="P22" si="21">IF(L22=0,"0",(24-Q22))</f>
        <v>4</v>
      </c>
      <c r="Q22" s="40">
        <f t="shared" ref="Q22" si="22">SUM(R22:AA22)</f>
        <v>20</v>
      </c>
      <c r="R22" s="7"/>
      <c r="S22" s="6"/>
      <c r="T22" s="16"/>
      <c r="U22" s="16"/>
      <c r="V22" s="17"/>
      <c r="W22" s="5">
        <v>20</v>
      </c>
      <c r="X22" s="16"/>
      <c r="Y22" s="16"/>
      <c r="Z22" s="16"/>
      <c r="AA22" s="18"/>
      <c r="AB22" s="8">
        <f t="shared" ref="AB22" si="23">IF(J22=0,"0",(L22/J22))</f>
        <v>1</v>
      </c>
      <c r="AC22" s="9">
        <f t="shared" ref="AC22" si="24">IF(P22=0,"0",(P22/24))</f>
        <v>0.16666666666666666</v>
      </c>
      <c r="AD22" s="10">
        <f t="shared" ref="AD22" si="25">AC22*AB22*(1-O22)</f>
        <v>0.16666666666666666</v>
      </c>
      <c r="AE22" s="36">
        <f t="shared" si="8"/>
        <v>0.33573504273504273</v>
      </c>
      <c r="AF22" s="87">
        <f t="shared" ref="AF22" si="26">A22</f>
        <v>14</v>
      </c>
    </row>
    <row r="23" spans="1:32" ht="27" customHeight="1">
      <c r="A23" s="103">
        <v>14</v>
      </c>
      <c r="B23" s="11" t="s">
        <v>57</v>
      </c>
      <c r="C23" s="11" t="s">
        <v>114</v>
      </c>
      <c r="D23" s="52" t="s">
        <v>143</v>
      </c>
      <c r="E23" s="53" t="s">
        <v>496</v>
      </c>
      <c r="F23" s="30" t="s">
        <v>144</v>
      </c>
      <c r="G23" s="33">
        <v>1</v>
      </c>
      <c r="H23" s="35">
        <v>24</v>
      </c>
      <c r="I23" s="7">
        <v>250</v>
      </c>
      <c r="J23" s="14">
        <v>343</v>
      </c>
      <c r="K23" s="15">
        <f>L23</f>
        <v>343</v>
      </c>
      <c r="L23" s="15">
        <v>343</v>
      </c>
      <c r="M23" s="15">
        <f t="shared" si="1"/>
        <v>343</v>
      </c>
      <c r="N23" s="15">
        <v>0</v>
      </c>
      <c r="O23" s="58">
        <f t="shared" si="2"/>
        <v>0</v>
      </c>
      <c r="P23" s="39">
        <f t="shared" si="3"/>
        <v>4</v>
      </c>
      <c r="Q23" s="40">
        <f t="shared" si="4"/>
        <v>20</v>
      </c>
      <c r="R23" s="7"/>
      <c r="S23" s="6"/>
      <c r="T23" s="16"/>
      <c r="U23" s="16"/>
      <c r="V23" s="17"/>
      <c r="W23" s="5">
        <v>20</v>
      </c>
      <c r="X23" s="16"/>
      <c r="Y23" s="16"/>
      <c r="Z23" s="16"/>
      <c r="AA23" s="18"/>
      <c r="AB23" s="8">
        <f t="shared" si="5"/>
        <v>1</v>
      </c>
      <c r="AC23" s="9">
        <f t="shared" si="6"/>
        <v>0.16666666666666666</v>
      </c>
      <c r="AD23" s="10">
        <f t="shared" ref="AD23:AD24" si="27">AC23*AB23*(1-O23)</f>
        <v>0.16666666666666666</v>
      </c>
      <c r="AE23" s="36">
        <f t="shared" si="8"/>
        <v>0.33573504273504273</v>
      </c>
      <c r="AF23" s="87">
        <f t="shared" si="9"/>
        <v>14</v>
      </c>
    </row>
    <row r="24" spans="1:32" ht="27" customHeight="1">
      <c r="A24" s="103">
        <v>14</v>
      </c>
      <c r="B24" s="11" t="s">
        <v>57</v>
      </c>
      <c r="C24" s="11" t="s">
        <v>114</v>
      </c>
      <c r="D24" s="52" t="s">
        <v>143</v>
      </c>
      <c r="E24" s="53" t="s">
        <v>415</v>
      </c>
      <c r="F24" s="30" t="s">
        <v>144</v>
      </c>
      <c r="G24" s="33">
        <v>1</v>
      </c>
      <c r="H24" s="35">
        <v>24</v>
      </c>
      <c r="I24" s="7">
        <v>250</v>
      </c>
      <c r="J24" s="14">
        <v>302</v>
      </c>
      <c r="K24" s="15">
        <f>L24</f>
        <v>302</v>
      </c>
      <c r="L24" s="15">
        <v>302</v>
      </c>
      <c r="M24" s="15">
        <f t="shared" si="1"/>
        <v>302</v>
      </c>
      <c r="N24" s="15">
        <v>0</v>
      </c>
      <c r="O24" s="58">
        <f t="shared" si="2"/>
        <v>0</v>
      </c>
      <c r="P24" s="39">
        <f t="shared" si="3"/>
        <v>4</v>
      </c>
      <c r="Q24" s="40">
        <f t="shared" si="4"/>
        <v>20</v>
      </c>
      <c r="R24" s="7"/>
      <c r="S24" s="6"/>
      <c r="T24" s="16"/>
      <c r="U24" s="16"/>
      <c r="V24" s="17"/>
      <c r="W24" s="5">
        <v>20</v>
      </c>
      <c r="X24" s="16"/>
      <c r="Y24" s="16"/>
      <c r="Z24" s="16"/>
      <c r="AA24" s="18"/>
      <c r="AB24" s="8">
        <f t="shared" si="5"/>
        <v>1</v>
      </c>
      <c r="AC24" s="9">
        <f t="shared" si="6"/>
        <v>0.16666666666666666</v>
      </c>
      <c r="AD24" s="10">
        <f t="shared" si="27"/>
        <v>0.16666666666666666</v>
      </c>
      <c r="AE24" s="36">
        <f t="shared" si="8"/>
        <v>0.33573504273504273</v>
      </c>
      <c r="AF24" s="87">
        <f t="shared" si="9"/>
        <v>14</v>
      </c>
    </row>
    <row r="25" spans="1:32" ht="27" customHeight="1" thickBot="1">
      <c r="A25" s="103">
        <v>15</v>
      </c>
      <c r="B25" s="11" t="s">
        <v>57</v>
      </c>
      <c r="C25" s="11" t="s">
        <v>115</v>
      </c>
      <c r="D25" s="52"/>
      <c r="E25" s="53" t="s">
        <v>359</v>
      </c>
      <c r="F25" s="12" t="s">
        <v>116</v>
      </c>
      <c r="G25" s="12">
        <v>4</v>
      </c>
      <c r="H25" s="35">
        <v>20</v>
      </c>
      <c r="I25" s="7">
        <v>300000</v>
      </c>
      <c r="J25" s="14">
        <v>92928</v>
      </c>
      <c r="K25" s="15">
        <f>L25+38252+40960+86480</f>
        <v>258620</v>
      </c>
      <c r="L25" s="15">
        <f>11729*4+11503*4</f>
        <v>92928</v>
      </c>
      <c r="M25" s="15">
        <f t="shared" si="1"/>
        <v>92928</v>
      </c>
      <c r="N25" s="15">
        <v>0</v>
      </c>
      <c r="O25" s="58">
        <f t="shared" si="2"/>
        <v>0</v>
      </c>
      <c r="P25" s="39">
        <f t="shared" si="3"/>
        <v>24</v>
      </c>
      <c r="Q25" s="40">
        <f t="shared" si="4"/>
        <v>0</v>
      </c>
      <c r="R25" s="7"/>
      <c r="S25" s="6"/>
      <c r="T25" s="16"/>
      <c r="U25" s="16"/>
      <c r="V25" s="17"/>
      <c r="W25" s="5"/>
      <c r="X25" s="16"/>
      <c r="Y25" s="16"/>
      <c r="Z25" s="16"/>
      <c r="AA25" s="18"/>
      <c r="AB25" s="8">
        <f t="shared" si="5"/>
        <v>1</v>
      </c>
      <c r="AC25" s="9">
        <f t="shared" si="6"/>
        <v>1</v>
      </c>
      <c r="AD25" s="10">
        <f t="shared" si="7"/>
        <v>1</v>
      </c>
      <c r="AE25" s="36">
        <f t="shared" si="8"/>
        <v>0.33573504273504273</v>
      </c>
      <c r="AF25" s="87">
        <f t="shared" si="9"/>
        <v>15</v>
      </c>
    </row>
    <row r="26" spans="1:32" ht="31.5" customHeight="1" thickBot="1">
      <c r="A26" s="467" t="s">
        <v>34</v>
      </c>
      <c r="B26" s="468"/>
      <c r="C26" s="468"/>
      <c r="D26" s="468"/>
      <c r="E26" s="468"/>
      <c r="F26" s="468"/>
      <c r="G26" s="468"/>
      <c r="H26" s="469"/>
      <c r="I26" s="22">
        <f t="shared" ref="I26:N26" si="28">SUM(I6:I25)</f>
        <v>443600</v>
      </c>
      <c r="J26" s="19">
        <f t="shared" si="28"/>
        <v>116908</v>
      </c>
      <c r="K26" s="20">
        <f t="shared" si="28"/>
        <v>288342</v>
      </c>
      <c r="L26" s="21">
        <f t="shared" si="28"/>
        <v>110018</v>
      </c>
      <c r="M26" s="20">
        <f t="shared" si="28"/>
        <v>110018</v>
      </c>
      <c r="N26" s="21">
        <f t="shared" si="28"/>
        <v>0</v>
      </c>
      <c r="O26" s="41">
        <f t="shared" si="2"/>
        <v>0</v>
      </c>
      <c r="P26" s="42">
        <f t="shared" ref="P26:AA26" si="29">SUM(P6:P25)</f>
        <v>121</v>
      </c>
      <c r="Q26" s="43">
        <f t="shared" si="29"/>
        <v>359</v>
      </c>
      <c r="R26" s="23">
        <f t="shared" si="29"/>
        <v>24</v>
      </c>
      <c r="S26" s="24">
        <f t="shared" si="29"/>
        <v>38</v>
      </c>
      <c r="T26" s="24">
        <f t="shared" si="29"/>
        <v>0</v>
      </c>
      <c r="U26" s="24">
        <f t="shared" si="29"/>
        <v>0</v>
      </c>
      <c r="V26" s="25">
        <f t="shared" si="29"/>
        <v>0</v>
      </c>
      <c r="W26" s="26">
        <f t="shared" si="29"/>
        <v>297</v>
      </c>
      <c r="X26" s="27">
        <f t="shared" si="29"/>
        <v>0</v>
      </c>
      <c r="Y26" s="27">
        <f t="shared" si="29"/>
        <v>0</v>
      </c>
      <c r="Z26" s="27">
        <f t="shared" si="29"/>
        <v>0</v>
      </c>
      <c r="AA26" s="27">
        <f t="shared" si="29"/>
        <v>0</v>
      </c>
      <c r="AB26" s="28">
        <f>SUM(AB6:AB25)/15</f>
        <v>0.79774358974358972</v>
      </c>
      <c r="AC26" s="4">
        <f>SUM(AC6:AC25)/15</f>
        <v>0.33611111111111108</v>
      </c>
      <c r="AD26" s="4">
        <f>SUM(AD6:AD25)/15</f>
        <v>0.33573504273504273</v>
      </c>
      <c r="AE26" s="29"/>
    </row>
    <row r="28" spans="1:32" ht="18.75">
      <c r="A28" s="2"/>
      <c r="B28" s="2" t="s">
        <v>35</v>
      </c>
      <c r="C28" s="2"/>
      <c r="D28" s="2"/>
      <c r="E28" s="2"/>
      <c r="F28" s="2"/>
      <c r="G28" s="2"/>
      <c r="H28" s="3"/>
      <c r="I28" s="3"/>
      <c r="J28" s="2"/>
      <c r="K28" s="2"/>
      <c r="L28" s="2"/>
      <c r="M28" s="2"/>
      <c r="N28" s="2" t="s">
        <v>36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1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88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F42" s="50"/>
    </row>
    <row r="43" spans="1:32" ht="27">
      <c r="A43" s="59"/>
      <c r="B43" s="59"/>
      <c r="C43" s="59"/>
      <c r="D43" s="59"/>
      <c r="E43" s="59"/>
      <c r="F43" s="37"/>
      <c r="G43" s="37"/>
      <c r="H43" s="38"/>
      <c r="I43" s="38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F43" s="50"/>
    </row>
    <row r="44" spans="1:32" ht="29.25" customHeight="1">
      <c r="A44" s="60"/>
      <c r="B44" s="60"/>
      <c r="C44" s="61"/>
      <c r="D44" s="61"/>
      <c r="E44" s="61"/>
      <c r="F44" s="60"/>
      <c r="G44" s="60"/>
      <c r="H44" s="60"/>
      <c r="I44" s="60"/>
      <c r="J44" s="60"/>
      <c r="K44" s="60"/>
      <c r="L44" s="60"/>
      <c r="M44" s="61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29.25" customHeight="1">
      <c r="A51" s="60"/>
      <c r="B51" s="60"/>
      <c r="C51" s="62"/>
      <c r="D51" s="61"/>
      <c r="E51" s="61"/>
      <c r="F51" s="60"/>
      <c r="G51" s="60"/>
      <c r="H51" s="60"/>
      <c r="I51" s="60"/>
      <c r="J51" s="60"/>
      <c r="K51" s="60"/>
      <c r="L51" s="60"/>
      <c r="M51" s="62"/>
      <c r="N51" s="60"/>
      <c r="O51" s="60"/>
      <c r="P51" s="63"/>
      <c r="Q51" s="63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0"/>
      <c r="AC51" s="60"/>
      <c r="AD51" s="60"/>
      <c r="AF51" s="50"/>
    </row>
    <row r="52" spans="1:32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36" thickBot="1">
      <c r="A53" s="470" t="s">
        <v>45</v>
      </c>
      <c r="B53" s="470"/>
      <c r="C53" s="470"/>
      <c r="D53" s="470"/>
      <c r="E53" s="470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F53" s="50"/>
    </row>
    <row r="54" spans="1:32" ht="26.25" thickBot="1">
      <c r="A54" s="471" t="s">
        <v>499</v>
      </c>
      <c r="B54" s="472"/>
      <c r="C54" s="472"/>
      <c r="D54" s="472"/>
      <c r="E54" s="472"/>
      <c r="F54" s="472"/>
      <c r="G54" s="472"/>
      <c r="H54" s="472"/>
      <c r="I54" s="472"/>
      <c r="J54" s="472"/>
      <c r="K54" s="472"/>
      <c r="L54" s="472"/>
      <c r="M54" s="473"/>
      <c r="N54" s="474" t="s">
        <v>503</v>
      </c>
      <c r="O54" s="475"/>
      <c r="P54" s="475"/>
      <c r="Q54" s="475"/>
      <c r="R54" s="475"/>
      <c r="S54" s="475"/>
      <c r="T54" s="475"/>
      <c r="U54" s="475"/>
      <c r="V54" s="475"/>
      <c r="W54" s="475"/>
      <c r="X54" s="475"/>
      <c r="Y54" s="475"/>
      <c r="Z54" s="475"/>
      <c r="AA54" s="475"/>
      <c r="AB54" s="475"/>
      <c r="AC54" s="475"/>
      <c r="AD54" s="476"/>
    </row>
    <row r="55" spans="1:32" ht="27" customHeight="1">
      <c r="A55" s="477" t="s">
        <v>2</v>
      </c>
      <c r="B55" s="478"/>
      <c r="C55" s="320" t="s">
        <v>46</v>
      </c>
      <c r="D55" s="320" t="s">
        <v>47</v>
      </c>
      <c r="E55" s="320" t="s">
        <v>108</v>
      </c>
      <c r="F55" s="478" t="s">
        <v>107</v>
      </c>
      <c r="G55" s="478"/>
      <c r="H55" s="478"/>
      <c r="I55" s="478"/>
      <c r="J55" s="478"/>
      <c r="K55" s="478"/>
      <c r="L55" s="478"/>
      <c r="M55" s="479"/>
      <c r="N55" s="67" t="s">
        <v>112</v>
      </c>
      <c r="O55" s="320" t="s">
        <v>46</v>
      </c>
      <c r="P55" s="480" t="s">
        <v>47</v>
      </c>
      <c r="Q55" s="481"/>
      <c r="R55" s="480" t="s">
        <v>38</v>
      </c>
      <c r="S55" s="482"/>
      <c r="T55" s="482"/>
      <c r="U55" s="481"/>
      <c r="V55" s="480" t="s">
        <v>48</v>
      </c>
      <c r="W55" s="482"/>
      <c r="X55" s="482"/>
      <c r="Y55" s="482"/>
      <c r="Z55" s="482"/>
      <c r="AA55" s="482"/>
      <c r="AB55" s="482"/>
      <c r="AC55" s="482"/>
      <c r="AD55" s="483"/>
    </row>
    <row r="56" spans="1:32" ht="27" customHeight="1">
      <c r="A56" s="451" t="s">
        <v>114</v>
      </c>
      <c r="B56" s="452"/>
      <c r="C56" s="322" t="s">
        <v>135</v>
      </c>
      <c r="D56" s="322" t="s">
        <v>117</v>
      </c>
      <c r="E56" s="322" t="s">
        <v>487</v>
      </c>
      <c r="F56" s="453" t="s">
        <v>500</v>
      </c>
      <c r="G56" s="454"/>
      <c r="H56" s="454"/>
      <c r="I56" s="454"/>
      <c r="J56" s="454"/>
      <c r="K56" s="454"/>
      <c r="L56" s="454"/>
      <c r="M56" s="455"/>
      <c r="N56" s="321" t="s">
        <v>508</v>
      </c>
      <c r="O56" s="327" t="s">
        <v>509</v>
      </c>
      <c r="P56" s="463" t="s">
        <v>510</v>
      </c>
      <c r="Q56" s="464"/>
      <c r="R56" s="452" t="s">
        <v>504</v>
      </c>
      <c r="S56" s="452"/>
      <c r="T56" s="452"/>
      <c r="U56" s="452"/>
      <c r="V56" s="442" t="s">
        <v>511</v>
      </c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295</v>
      </c>
      <c r="B57" s="452"/>
      <c r="C57" s="322" t="s">
        <v>221</v>
      </c>
      <c r="D57" s="322" t="s">
        <v>117</v>
      </c>
      <c r="E57" s="322" t="s">
        <v>497</v>
      </c>
      <c r="F57" s="453" t="s">
        <v>501</v>
      </c>
      <c r="G57" s="454"/>
      <c r="H57" s="454"/>
      <c r="I57" s="454"/>
      <c r="J57" s="454"/>
      <c r="K57" s="454"/>
      <c r="L57" s="454"/>
      <c r="M57" s="455"/>
      <c r="N57" s="321" t="s">
        <v>514</v>
      </c>
      <c r="O57" s="327" t="s">
        <v>515</v>
      </c>
      <c r="P57" s="463" t="s">
        <v>513</v>
      </c>
      <c r="Q57" s="464"/>
      <c r="R57" s="452" t="s">
        <v>505</v>
      </c>
      <c r="S57" s="452"/>
      <c r="T57" s="452"/>
      <c r="U57" s="452"/>
      <c r="V57" s="442" t="s">
        <v>512</v>
      </c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 t="s">
        <v>114</v>
      </c>
      <c r="B58" s="452"/>
      <c r="C58" s="322" t="s">
        <v>204</v>
      </c>
      <c r="D58" s="322" t="s">
        <v>117</v>
      </c>
      <c r="E58" s="322" t="s">
        <v>488</v>
      </c>
      <c r="F58" s="453" t="s">
        <v>121</v>
      </c>
      <c r="G58" s="454"/>
      <c r="H58" s="454"/>
      <c r="I58" s="454"/>
      <c r="J58" s="454"/>
      <c r="K58" s="454"/>
      <c r="L58" s="454"/>
      <c r="M58" s="455"/>
      <c r="N58" s="321" t="s">
        <v>508</v>
      </c>
      <c r="O58" s="327" t="s">
        <v>516</v>
      </c>
      <c r="P58" s="463" t="s">
        <v>513</v>
      </c>
      <c r="Q58" s="464"/>
      <c r="R58" s="452" t="s">
        <v>506</v>
      </c>
      <c r="S58" s="452"/>
      <c r="T58" s="452"/>
      <c r="U58" s="452"/>
      <c r="V58" s="442" t="s">
        <v>511</v>
      </c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 t="s">
        <v>114</v>
      </c>
      <c r="B59" s="452"/>
      <c r="C59" s="322" t="s">
        <v>182</v>
      </c>
      <c r="D59" s="322" t="s">
        <v>489</v>
      </c>
      <c r="E59" s="322" t="s">
        <v>398</v>
      </c>
      <c r="F59" s="453" t="s">
        <v>485</v>
      </c>
      <c r="G59" s="454"/>
      <c r="H59" s="454"/>
      <c r="I59" s="454"/>
      <c r="J59" s="454"/>
      <c r="K59" s="454"/>
      <c r="L59" s="454"/>
      <c r="M59" s="455"/>
      <c r="N59" s="321" t="s">
        <v>517</v>
      </c>
      <c r="O59" s="327" t="s">
        <v>518</v>
      </c>
      <c r="P59" s="463" t="s">
        <v>513</v>
      </c>
      <c r="Q59" s="464"/>
      <c r="R59" s="452" t="s">
        <v>507</v>
      </c>
      <c r="S59" s="452"/>
      <c r="T59" s="452"/>
      <c r="U59" s="452"/>
      <c r="V59" s="442" t="s">
        <v>511</v>
      </c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 t="s">
        <v>114</v>
      </c>
      <c r="B60" s="452"/>
      <c r="C60" s="322" t="s">
        <v>182</v>
      </c>
      <c r="D60" s="322" t="s">
        <v>117</v>
      </c>
      <c r="E60" s="322" t="s">
        <v>396</v>
      </c>
      <c r="F60" s="453" t="s">
        <v>485</v>
      </c>
      <c r="G60" s="454"/>
      <c r="H60" s="454"/>
      <c r="I60" s="454"/>
      <c r="J60" s="454"/>
      <c r="K60" s="454"/>
      <c r="L60" s="454"/>
      <c r="M60" s="455"/>
      <c r="N60" s="321"/>
      <c r="O60" s="327"/>
      <c r="P60" s="463"/>
      <c r="Q60" s="464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</row>
    <row r="61" spans="1:32" ht="27" customHeight="1">
      <c r="A61" s="451" t="s">
        <v>114</v>
      </c>
      <c r="B61" s="452"/>
      <c r="C61" s="322" t="s">
        <v>182</v>
      </c>
      <c r="D61" s="322" t="s">
        <v>168</v>
      </c>
      <c r="E61" s="322" t="s">
        <v>326</v>
      </c>
      <c r="F61" s="453" t="s">
        <v>502</v>
      </c>
      <c r="G61" s="454"/>
      <c r="H61" s="454"/>
      <c r="I61" s="454"/>
      <c r="J61" s="454"/>
      <c r="K61" s="454"/>
      <c r="L61" s="454"/>
      <c r="M61" s="455"/>
      <c r="N61" s="321"/>
      <c r="O61" s="327"/>
      <c r="P61" s="463"/>
      <c r="Q61" s="464"/>
      <c r="R61" s="452"/>
      <c r="S61" s="452"/>
      <c r="T61" s="452"/>
      <c r="U61" s="452"/>
      <c r="V61" s="442"/>
      <c r="W61" s="442"/>
      <c r="X61" s="442"/>
      <c r="Y61" s="442"/>
      <c r="Z61" s="442"/>
      <c r="AA61" s="442"/>
      <c r="AB61" s="442"/>
      <c r="AC61" s="442"/>
      <c r="AD61" s="456"/>
    </row>
    <row r="62" spans="1:32" ht="27" customHeight="1">
      <c r="A62" s="451" t="s">
        <v>154</v>
      </c>
      <c r="B62" s="452"/>
      <c r="C62" s="322" t="s">
        <v>136</v>
      </c>
      <c r="D62" s="322" t="s">
        <v>210</v>
      </c>
      <c r="E62" s="322" t="s">
        <v>229</v>
      </c>
      <c r="F62" s="453" t="s">
        <v>485</v>
      </c>
      <c r="G62" s="454"/>
      <c r="H62" s="454"/>
      <c r="I62" s="454"/>
      <c r="J62" s="454"/>
      <c r="K62" s="454"/>
      <c r="L62" s="454"/>
      <c r="M62" s="455"/>
      <c r="N62" s="321"/>
      <c r="O62" s="327"/>
      <c r="P62" s="463"/>
      <c r="Q62" s="464"/>
      <c r="R62" s="452"/>
      <c r="S62" s="452"/>
      <c r="T62" s="452"/>
      <c r="U62" s="452"/>
      <c r="V62" s="442"/>
      <c r="W62" s="442"/>
      <c r="X62" s="442"/>
      <c r="Y62" s="442"/>
      <c r="Z62" s="442"/>
      <c r="AA62" s="442"/>
      <c r="AB62" s="442"/>
      <c r="AC62" s="442"/>
      <c r="AD62" s="456"/>
    </row>
    <row r="63" spans="1:32" ht="27" customHeight="1">
      <c r="A63" s="451" t="s">
        <v>154</v>
      </c>
      <c r="B63" s="452"/>
      <c r="C63" s="322" t="s">
        <v>136</v>
      </c>
      <c r="D63" s="322" t="s">
        <v>233</v>
      </c>
      <c r="E63" s="322" t="s">
        <v>235</v>
      </c>
      <c r="F63" s="453" t="s">
        <v>485</v>
      </c>
      <c r="G63" s="454"/>
      <c r="H63" s="454"/>
      <c r="I63" s="454"/>
      <c r="J63" s="454"/>
      <c r="K63" s="454"/>
      <c r="L63" s="454"/>
      <c r="M63" s="455"/>
      <c r="N63" s="321"/>
      <c r="O63" s="327"/>
      <c r="P63" s="463"/>
      <c r="Q63" s="464"/>
      <c r="R63" s="452"/>
      <c r="S63" s="452"/>
      <c r="T63" s="452"/>
      <c r="U63" s="452"/>
      <c r="V63" s="442"/>
      <c r="W63" s="442"/>
      <c r="X63" s="442"/>
      <c r="Y63" s="442"/>
      <c r="Z63" s="442"/>
      <c r="AA63" s="442"/>
      <c r="AB63" s="442"/>
      <c r="AC63" s="442"/>
      <c r="AD63" s="456"/>
    </row>
    <row r="64" spans="1:32" ht="27" customHeight="1">
      <c r="A64" s="451" t="s">
        <v>154</v>
      </c>
      <c r="B64" s="452"/>
      <c r="C64" s="322" t="s">
        <v>138</v>
      </c>
      <c r="D64" s="322" t="s">
        <v>232</v>
      </c>
      <c r="E64" s="322" t="s">
        <v>234</v>
      </c>
      <c r="F64" s="453" t="s">
        <v>485</v>
      </c>
      <c r="G64" s="454"/>
      <c r="H64" s="454"/>
      <c r="I64" s="454"/>
      <c r="J64" s="454"/>
      <c r="K64" s="454"/>
      <c r="L64" s="454"/>
      <c r="M64" s="455"/>
      <c r="N64" s="321"/>
      <c r="O64" s="327"/>
      <c r="P64" s="452"/>
      <c r="Q64" s="452"/>
      <c r="R64" s="452"/>
      <c r="S64" s="452"/>
      <c r="T64" s="452"/>
      <c r="U64" s="452"/>
      <c r="V64" s="442"/>
      <c r="W64" s="442"/>
      <c r="X64" s="442"/>
      <c r="Y64" s="442"/>
      <c r="Z64" s="442"/>
      <c r="AA64" s="442"/>
      <c r="AB64" s="442"/>
      <c r="AC64" s="442"/>
      <c r="AD64" s="456"/>
      <c r="AF64" s="87">
        <f>8*3000</f>
        <v>24000</v>
      </c>
    </row>
    <row r="65" spans="1:32" ht="27" customHeight="1" thickBot="1">
      <c r="A65" s="506" t="s">
        <v>114</v>
      </c>
      <c r="B65" s="507"/>
      <c r="C65" s="324" t="s">
        <v>138</v>
      </c>
      <c r="D65" s="324" t="s">
        <v>143</v>
      </c>
      <c r="E65" s="324" t="s">
        <v>496</v>
      </c>
      <c r="F65" s="508" t="s">
        <v>485</v>
      </c>
      <c r="G65" s="509"/>
      <c r="H65" s="509"/>
      <c r="I65" s="509"/>
      <c r="J65" s="509"/>
      <c r="K65" s="509"/>
      <c r="L65" s="509"/>
      <c r="M65" s="510"/>
      <c r="N65" s="323"/>
      <c r="O65" s="114"/>
      <c r="P65" s="458"/>
      <c r="Q65" s="458"/>
      <c r="R65" s="458"/>
      <c r="S65" s="458"/>
      <c r="T65" s="458"/>
      <c r="U65" s="458"/>
      <c r="V65" s="461"/>
      <c r="W65" s="461"/>
      <c r="X65" s="461"/>
      <c r="Y65" s="461"/>
      <c r="Z65" s="461"/>
      <c r="AA65" s="461"/>
      <c r="AB65" s="461"/>
      <c r="AC65" s="461"/>
      <c r="AD65" s="462"/>
      <c r="AF65" s="87">
        <f>16*3000</f>
        <v>48000</v>
      </c>
    </row>
    <row r="66" spans="1:32" ht="27.75" thickBot="1">
      <c r="A66" s="449" t="s">
        <v>519</v>
      </c>
      <c r="B66" s="449"/>
      <c r="C66" s="449"/>
      <c r="D66" s="449"/>
      <c r="E66" s="449"/>
      <c r="F66" s="37"/>
      <c r="G66" s="37"/>
      <c r="H66" s="38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F66" s="87">
        <v>24000</v>
      </c>
    </row>
    <row r="67" spans="1:32" ht="29.25" customHeight="1" thickBot="1">
      <c r="A67" s="450" t="s">
        <v>113</v>
      </c>
      <c r="B67" s="447"/>
      <c r="C67" s="325" t="s">
        <v>2</v>
      </c>
      <c r="D67" s="325" t="s">
        <v>37</v>
      </c>
      <c r="E67" s="325" t="s">
        <v>3</v>
      </c>
      <c r="F67" s="447" t="s">
        <v>110</v>
      </c>
      <c r="G67" s="447"/>
      <c r="H67" s="447"/>
      <c r="I67" s="447"/>
      <c r="J67" s="447"/>
      <c r="K67" s="447" t="s">
        <v>39</v>
      </c>
      <c r="L67" s="447"/>
      <c r="M67" s="325" t="s">
        <v>40</v>
      </c>
      <c r="N67" s="447" t="s">
        <v>41</v>
      </c>
      <c r="O67" s="447"/>
      <c r="P67" s="444" t="s">
        <v>42</v>
      </c>
      <c r="Q67" s="446"/>
      <c r="R67" s="444" t="s">
        <v>43</v>
      </c>
      <c r="S67" s="445"/>
      <c r="T67" s="445"/>
      <c r="U67" s="445"/>
      <c r="V67" s="445"/>
      <c r="W67" s="445"/>
      <c r="X67" s="445"/>
      <c r="Y67" s="445"/>
      <c r="Z67" s="445"/>
      <c r="AA67" s="446"/>
      <c r="AB67" s="447" t="s">
        <v>44</v>
      </c>
      <c r="AC67" s="447"/>
      <c r="AD67" s="448"/>
      <c r="AF67" s="87">
        <f>SUM(AF64:AF66)</f>
        <v>96000</v>
      </c>
    </row>
    <row r="68" spans="1:32" ht="25.5" customHeight="1">
      <c r="A68" s="438">
        <v>1</v>
      </c>
      <c r="B68" s="439"/>
      <c r="C68" s="117"/>
      <c r="D68" s="329"/>
      <c r="E68" s="326"/>
      <c r="F68" s="440"/>
      <c r="G68" s="432"/>
      <c r="H68" s="432"/>
      <c r="I68" s="432"/>
      <c r="J68" s="432"/>
      <c r="K68" s="432"/>
      <c r="L68" s="432"/>
      <c r="M68" s="51"/>
      <c r="N68" s="443"/>
      <c r="O68" s="443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2</v>
      </c>
      <c r="B69" s="439"/>
      <c r="C69" s="117"/>
      <c r="D69" s="329"/>
      <c r="E69" s="326"/>
      <c r="F69" s="440"/>
      <c r="G69" s="432"/>
      <c r="H69" s="432"/>
      <c r="I69" s="432"/>
      <c r="J69" s="432"/>
      <c r="K69" s="432"/>
      <c r="L69" s="432"/>
      <c r="M69" s="51"/>
      <c r="N69" s="443"/>
      <c r="O69" s="443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3</v>
      </c>
      <c r="B70" s="439"/>
      <c r="C70" s="117"/>
      <c r="D70" s="329"/>
      <c r="E70" s="326"/>
      <c r="F70" s="440"/>
      <c r="G70" s="432"/>
      <c r="H70" s="432"/>
      <c r="I70" s="432"/>
      <c r="J70" s="432"/>
      <c r="K70" s="432"/>
      <c r="L70" s="432"/>
      <c r="M70" s="51"/>
      <c r="N70" s="443"/>
      <c r="O70" s="443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4</v>
      </c>
      <c r="B71" s="439"/>
      <c r="C71" s="117"/>
      <c r="D71" s="329"/>
      <c r="E71" s="326"/>
      <c r="F71" s="440"/>
      <c r="G71" s="432"/>
      <c r="H71" s="432"/>
      <c r="I71" s="432"/>
      <c r="J71" s="432"/>
      <c r="K71" s="432"/>
      <c r="L71" s="432"/>
      <c r="M71" s="51"/>
      <c r="N71" s="443"/>
      <c r="O71" s="443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5.5" customHeight="1">
      <c r="A72" s="438">
        <v>5</v>
      </c>
      <c r="B72" s="439"/>
      <c r="C72" s="117"/>
      <c r="D72" s="329"/>
      <c r="E72" s="326"/>
      <c r="F72" s="440"/>
      <c r="G72" s="432"/>
      <c r="H72" s="432"/>
      <c r="I72" s="432"/>
      <c r="J72" s="432"/>
      <c r="K72" s="432"/>
      <c r="L72" s="432"/>
      <c r="M72" s="51"/>
      <c r="N72" s="443"/>
      <c r="O72" s="443"/>
      <c r="P72" s="441"/>
      <c r="Q72" s="441"/>
      <c r="R72" s="442"/>
      <c r="S72" s="442"/>
      <c r="T72" s="442"/>
      <c r="U72" s="442"/>
      <c r="V72" s="442"/>
      <c r="W72" s="442"/>
      <c r="X72" s="442"/>
      <c r="Y72" s="442"/>
      <c r="Z72" s="442"/>
      <c r="AA72" s="442"/>
      <c r="AB72" s="432"/>
      <c r="AC72" s="432"/>
      <c r="AD72" s="433"/>
      <c r="AF72" s="50"/>
    </row>
    <row r="73" spans="1:32" ht="25.5" customHeight="1">
      <c r="A73" s="438">
        <v>6</v>
      </c>
      <c r="B73" s="439"/>
      <c r="C73" s="117"/>
      <c r="D73" s="329"/>
      <c r="E73" s="326"/>
      <c r="F73" s="440"/>
      <c r="G73" s="432"/>
      <c r="H73" s="432"/>
      <c r="I73" s="432"/>
      <c r="J73" s="432"/>
      <c r="K73" s="432"/>
      <c r="L73" s="432"/>
      <c r="M73" s="51"/>
      <c r="N73" s="432"/>
      <c r="O73" s="432"/>
      <c r="P73" s="441"/>
      <c r="Q73" s="441"/>
      <c r="R73" s="442"/>
      <c r="S73" s="442"/>
      <c r="T73" s="442"/>
      <c r="U73" s="442"/>
      <c r="V73" s="442"/>
      <c r="W73" s="442"/>
      <c r="X73" s="442"/>
      <c r="Y73" s="442"/>
      <c r="Z73" s="442"/>
      <c r="AA73" s="442"/>
      <c r="AB73" s="432"/>
      <c r="AC73" s="432"/>
      <c r="AD73" s="433"/>
      <c r="AF73" s="50"/>
    </row>
    <row r="74" spans="1:32" ht="25.5" customHeight="1">
      <c r="A74" s="438">
        <v>7</v>
      </c>
      <c r="B74" s="439"/>
      <c r="C74" s="117"/>
      <c r="D74" s="329"/>
      <c r="E74" s="326"/>
      <c r="F74" s="440"/>
      <c r="G74" s="432"/>
      <c r="H74" s="432"/>
      <c r="I74" s="432"/>
      <c r="J74" s="432"/>
      <c r="K74" s="432"/>
      <c r="L74" s="432"/>
      <c r="M74" s="51"/>
      <c r="N74" s="432"/>
      <c r="O74" s="432"/>
      <c r="P74" s="441"/>
      <c r="Q74" s="441"/>
      <c r="R74" s="442"/>
      <c r="S74" s="442"/>
      <c r="T74" s="442"/>
      <c r="U74" s="442"/>
      <c r="V74" s="442"/>
      <c r="W74" s="442"/>
      <c r="X74" s="442"/>
      <c r="Y74" s="442"/>
      <c r="Z74" s="442"/>
      <c r="AA74" s="442"/>
      <c r="AB74" s="432"/>
      <c r="AC74" s="432"/>
      <c r="AD74" s="433"/>
      <c r="AF74" s="50"/>
    </row>
    <row r="75" spans="1:32" ht="25.5" customHeight="1">
      <c r="A75" s="438">
        <v>8</v>
      </c>
      <c r="B75" s="439"/>
      <c r="C75" s="117"/>
      <c r="D75" s="329"/>
      <c r="E75" s="326"/>
      <c r="F75" s="440"/>
      <c r="G75" s="432"/>
      <c r="H75" s="432"/>
      <c r="I75" s="432"/>
      <c r="J75" s="432"/>
      <c r="K75" s="432"/>
      <c r="L75" s="432"/>
      <c r="M75" s="51"/>
      <c r="N75" s="432"/>
      <c r="O75" s="432"/>
      <c r="P75" s="441"/>
      <c r="Q75" s="441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32"/>
      <c r="AC75" s="432"/>
      <c r="AD75" s="433"/>
      <c r="AF75" s="50"/>
    </row>
    <row r="76" spans="1:32" ht="26.25" customHeight="1" thickBot="1">
      <c r="A76" s="412" t="s">
        <v>520</v>
      </c>
      <c r="B76" s="412"/>
      <c r="C76" s="412"/>
      <c r="D76" s="412"/>
      <c r="E76" s="412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413" t="s">
        <v>113</v>
      </c>
      <c r="B77" s="414"/>
      <c r="C77" s="328" t="s">
        <v>2</v>
      </c>
      <c r="D77" s="328" t="s">
        <v>37</v>
      </c>
      <c r="E77" s="328" t="s">
        <v>3</v>
      </c>
      <c r="F77" s="414" t="s">
        <v>38</v>
      </c>
      <c r="G77" s="414"/>
      <c r="H77" s="414"/>
      <c r="I77" s="414"/>
      <c r="J77" s="414"/>
      <c r="K77" s="434" t="s">
        <v>58</v>
      </c>
      <c r="L77" s="435"/>
      <c r="M77" s="435"/>
      <c r="N77" s="435"/>
      <c r="O77" s="435"/>
      <c r="P77" s="435"/>
      <c r="Q77" s="435"/>
      <c r="R77" s="435"/>
      <c r="S77" s="436"/>
      <c r="T77" s="414" t="s">
        <v>49</v>
      </c>
      <c r="U77" s="414"/>
      <c r="V77" s="434" t="s">
        <v>50</v>
      </c>
      <c r="W77" s="436"/>
      <c r="X77" s="435" t="s">
        <v>51</v>
      </c>
      <c r="Y77" s="435"/>
      <c r="Z77" s="435"/>
      <c r="AA77" s="435"/>
      <c r="AB77" s="435"/>
      <c r="AC77" s="435"/>
      <c r="AD77" s="437"/>
      <c r="AF77" s="50"/>
    </row>
    <row r="78" spans="1:32" ht="33.75" customHeight="1">
      <c r="A78" s="406">
        <v>1</v>
      </c>
      <c r="B78" s="407"/>
      <c r="C78" s="330" t="s">
        <v>114</v>
      </c>
      <c r="D78" s="330"/>
      <c r="E78" s="65" t="s">
        <v>119</v>
      </c>
      <c r="F78" s="421" t="s">
        <v>118</v>
      </c>
      <c r="G78" s="422"/>
      <c r="H78" s="422"/>
      <c r="I78" s="422"/>
      <c r="J78" s="423"/>
      <c r="K78" s="424" t="s">
        <v>120</v>
      </c>
      <c r="L78" s="425"/>
      <c r="M78" s="425"/>
      <c r="N78" s="425"/>
      <c r="O78" s="425"/>
      <c r="P78" s="425"/>
      <c r="Q78" s="425"/>
      <c r="R78" s="425"/>
      <c r="S78" s="426"/>
      <c r="T78" s="427">
        <v>43384</v>
      </c>
      <c r="U78" s="428"/>
      <c r="V78" s="429"/>
      <c r="W78" s="429"/>
      <c r="X78" s="430"/>
      <c r="Y78" s="430"/>
      <c r="Z78" s="430"/>
      <c r="AA78" s="430"/>
      <c r="AB78" s="430"/>
      <c r="AC78" s="430"/>
      <c r="AD78" s="431"/>
      <c r="AF78" s="50"/>
    </row>
    <row r="79" spans="1:32" ht="30" customHeight="1">
      <c r="A79" s="399">
        <f>A78+1</f>
        <v>2</v>
      </c>
      <c r="B79" s="400"/>
      <c r="C79" s="329"/>
      <c r="D79" s="329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ref="A80:A86" si="30">A79+1</f>
        <v>3</v>
      </c>
      <c r="B80" s="400"/>
      <c r="C80" s="329"/>
      <c r="D80" s="329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30"/>
        <v>4</v>
      </c>
      <c r="B81" s="400"/>
      <c r="C81" s="329"/>
      <c r="D81" s="329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30"/>
        <v>5</v>
      </c>
      <c r="B82" s="400"/>
      <c r="C82" s="329"/>
      <c r="D82" s="329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0" customHeight="1">
      <c r="A83" s="399">
        <f t="shared" si="30"/>
        <v>6</v>
      </c>
      <c r="B83" s="400"/>
      <c r="C83" s="329"/>
      <c r="D83" s="329"/>
      <c r="E83" s="32"/>
      <c r="F83" s="400"/>
      <c r="G83" s="400"/>
      <c r="H83" s="400"/>
      <c r="I83" s="400"/>
      <c r="J83" s="400"/>
      <c r="K83" s="415"/>
      <c r="L83" s="416"/>
      <c r="M83" s="416"/>
      <c r="N83" s="416"/>
      <c r="O83" s="416"/>
      <c r="P83" s="416"/>
      <c r="Q83" s="416"/>
      <c r="R83" s="416"/>
      <c r="S83" s="417"/>
      <c r="T83" s="418"/>
      <c r="U83" s="418"/>
      <c r="V83" s="418"/>
      <c r="W83" s="418"/>
      <c r="X83" s="419"/>
      <c r="Y83" s="419"/>
      <c r="Z83" s="419"/>
      <c r="AA83" s="419"/>
      <c r="AB83" s="419"/>
      <c r="AC83" s="419"/>
      <c r="AD83" s="420"/>
      <c r="AF83" s="50"/>
    </row>
    <row r="84" spans="1:32" ht="30" customHeight="1">
      <c r="A84" s="399">
        <f t="shared" si="30"/>
        <v>7</v>
      </c>
      <c r="B84" s="400"/>
      <c r="C84" s="329"/>
      <c r="D84" s="329"/>
      <c r="E84" s="32"/>
      <c r="F84" s="400"/>
      <c r="G84" s="400"/>
      <c r="H84" s="400"/>
      <c r="I84" s="400"/>
      <c r="J84" s="400"/>
      <c r="K84" s="415"/>
      <c r="L84" s="416"/>
      <c r="M84" s="416"/>
      <c r="N84" s="416"/>
      <c r="O84" s="416"/>
      <c r="P84" s="416"/>
      <c r="Q84" s="416"/>
      <c r="R84" s="416"/>
      <c r="S84" s="417"/>
      <c r="T84" s="418"/>
      <c r="U84" s="418"/>
      <c r="V84" s="418"/>
      <c r="W84" s="418"/>
      <c r="X84" s="419"/>
      <c r="Y84" s="419"/>
      <c r="Z84" s="419"/>
      <c r="AA84" s="419"/>
      <c r="AB84" s="419"/>
      <c r="AC84" s="419"/>
      <c r="AD84" s="420"/>
      <c r="AF84" s="50"/>
    </row>
    <row r="85" spans="1:32" ht="30" customHeight="1">
      <c r="A85" s="399">
        <f t="shared" si="30"/>
        <v>8</v>
      </c>
      <c r="B85" s="400"/>
      <c r="C85" s="329"/>
      <c r="D85" s="329"/>
      <c r="E85" s="32"/>
      <c r="F85" s="400"/>
      <c r="G85" s="400"/>
      <c r="H85" s="400"/>
      <c r="I85" s="400"/>
      <c r="J85" s="400"/>
      <c r="K85" s="415"/>
      <c r="L85" s="416"/>
      <c r="M85" s="416"/>
      <c r="N85" s="416"/>
      <c r="O85" s="416"/>
      <c r="P85" s="416"/>
      <c r="Q85" s="416"/>
      <c r="R85" s="416"/>
      <c r="S85" s="417"/>
      <c r="T85" s="418"/>
      <c r="U85" s="418"/>
      <c r="V85" s="418"/>
      <c r="W85" s="418"/>
      <c r="X85" s="419"/>
      <c r="Y85" s="419"/>
      <c r="Z85" s="419"/>
      <c r="AA85" s="419"/>
      <c r="AB85" s="419"/>
      <c r="AC85" s="419"/>
      <c r="AD85" s="420"/>
      <c r="AF85" s="50"/>
    </row>
    <row r="86" spans="1:32" ht="30" customHeight="1">
      <c r="A86" s="399">
        <f t="shared" si="30"/>
        <v>9</v>
      </c>
      <c r="B86" s="400"/>
      <c r="C86" s="329"/>
      <c r="D86" s="329"/>
      <c r="E86" s="32"/>
      <c r="F86" s="400"/>
      <c r="G86" s="400"/>
      <c r="H86" s="400"/>
      <c r="I86" s="400"/>
      <c r="J86" s="400"/>
      <c r="K86" s="415"/>
      <c r="L86" s="416"/>
      <c r="M86" s="416"/>
      <c r="N86" s="416"/>
      <c r="O86" s="416"/>
      <c r="P86" s="416"/>
      <c r="Q86" s="416"/>
      <c r="R86" s="416"/>
      <c r="S86" s="417"/>
      <c r="T86" s="418"/>
      <c r="U86" s="418"/>
      <c r="V86" s="418"/>
      <c r="W86" s="418"/>
      <c r="X86" s="419"/>
      <c r="Y86" s="419"/>
      <c r="Z86" s="419"/>
      <c r="AA86" s="419"/>
      <c r="AB86" s="419"/>
      <c r="AC86" s="419"/>
      <c r="AD86" s="420"/>
      <c r="AF86" s="50"/>
    </row>
    <row r="87" spans="1:32" ht="36" thickBot="1">
      <c r="A87" s="412" t="s">
        <v>521</v>
      </c>
      <c r="B87" s="412"/>
      <c r="C87" s="412"/>
      <c r="D87" s="412"/>
      <c r="E87" s="412"/>
      <c r="F87" s="37"/>
      <c r="G87" s="37"/>
      <c r="H87" s="38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F87" s="50"/>
    </row>
    <row r="88" spans="1:32" ht="30.75" customHeight="1" thickBot="1">
      <c r="A88" s="413" t="s">
        <v>113</v>
      </c>
      <c r="B88" s="414"/>
      <c r="C88" s="404" t="s">
        <v>52</v>
      </c>
      <c r="D88" s="404"/>
      <c r="E88" s="404" t="s">
        <v>53</v>
      </c>
      <c r="F88" s="404"/>
      <c r="G88" s="404"/>
      <c r="H88" s="404"/>
      <c r="I88" s="404"/>
      <c r="J88" s="404"/>
      <c r="K88" s="404" t="s">
        <v>54</v>
      </c>
      <c r="L88" s="404"/>
      <c r="M88" s="404"/>
      <c r="N88" s="404"/>
      <c r="O88" s="404"/>
      <c r="P88" s="404"/>
      <c r="Q88" s="404"/>
      <c r="R88" s="404"/>
      <c r="S88" s="404"/>
      <c r="T88" s="404" t="s">
        <v>55</v>
      </c>
      <c r="U88" s="404"/>
      <c r="V88" s="404" t="s">
        <v>56</v>
      </c>
      <c r="W88" s="404"/>
      <c r="X88" s="404"/>
      <c r="Y88" s="404" t="s">
        <v>51</v>
      </c>
      <c r="Z88" s="404"/>
      <c r="AA88" s="404"/>
      <c r="AB88" s="404"/>
      <c r="AC88" s="404"/>
      <c r="AD88" s="405"/>
      <c r="AF88" s="50"/>
    </row>
    <row r="89" spans="1:32" ht="30.75" customHeight="1">
      <c r="A89" s="406">
        <v>1</v>
      </c>
      <c r="B89" s="407"/>
      <c r="C89" s="408"/>
      <c r="D89" s="408"/>
      <c r="E89" s="408"/>
      <c r="F89" s="408"/>
      <c r="G89" s="408"/>
      <c r="H89" s="408"/>
      <c r="I89" s="408"/>
      <c r="J89" s="408"/>
      <c r="K89" s="408"/>
      <c r="L89" s="408"/>
      <c r="M89" s="408"/>
      <c r="N89" s="408"/>
      <c r="O89" s="408"/>
      <c r="P89" s="408"/>
      <c r="Q89" s="408"/>
      <c r="R89" s="408"/>
      <c r="S89" s="408"/>
      <c r="T89" s="408"/>
      <c r="U89" s="408"/>
      <c r="V89" s="409"/>
      <c r="W89" s="409"/>
      <c r="X89" s="409"/>
      <c r="Y89" s="410"/>
      <c r="Z89" s="410"/>
      <c r="AA89" s="410"/>
      <c r="AB89" s="410"/>
      <c r="AC89" s="410"/>
      <c r="AD89" s="411"/>
      <c r="AF89" s="50"/>
    </row>
    <row r="90" spans="1:32" ht="30.75" customHeight="1">
      <c r="A90" s="399">
        <v>2</v>
      </c>
      <c r="B90" s="400"/>
      <c r="C90" s="401"/>
      <c r="D90" s="401"/>
      <c r="E90" s="401"/>
      <c r="F90" s="401"/>
      <c r="G90" s="401"/>
      <c r="H90" s="401"/>
      <c r="I90" s="401"/>
      <c r="J90" s="401"/>
      <c r="K90" s="401"/>
      <c r="L90" s="401"/>
      <c r="M90" s="401"/>
      <c r="N90" s="401"/>
      <c r="O90" s="401"/>
      <c r="P90" s="401"/>
      <c r="Q90" s="401"/>
      <c r="R90" s="401"/>
      <c r="S90" s="401"/>
      <c r="T90" s="402"/>
      <c r="U90" s="402"/>
      <c r="V90" s="403"/>
      <c r="W90" s="403"/>
      <c r="X90" s="403"/>
      <c r="Y90" s="392"/>
      <c r="Z90" s="392"/>
      <c r="AA90" s="392"/>
      <c r="AB90" s="392"/>
      <c r="AC90" s="392"/>
      <c r="AD90" s="393"/>
      <c r="AF90" s="50"/>
    </row>
    <row r="91" spans="1:32" ht="30.75" customHeight="1" thickBot="1">
      <c r="A91" s="394">
        <v>3</v>
      </c>
      <c r="B91" s="395"/>
      <c r="C91" s="396"/>
      <c r="D91" s="396"/>
      <c r="E91" s="396"/>
      <c r="F91" s="396"/>
      <c r="G91" s="396"/>
      <c r="H91" s="396"/>
      <c r="I91" s="396"/>
      <c r="J91" s="396"/>
      <c r="K91" s="396"/>
      <c r="L91" s="396"/>
      <c r="M91" s="396"/>
      <c r="N91" s="396"/>
      <c r="O91" s="396"/>
      <c r="P91" s="396"/>
      <c r="Q91" s="396"/>
      <c r="R91" s="396"/>
      <c r="S91" s="396"/>
      <c r="T91" s="396"/>
      <c r="U91" s="396"/>
      <c r="V91" s="396"/>
      <c r="W91" s="396"/>
      <c r="X91" s="396"/>
      <c r="Y91" s="397"/>
      <c r="Z91" s="397"/>
      <c r="AA91" s="397"/>
      <c r="AB91" s="397"/>
      <c r="AC91" s="397"/>
      <c r="AD91" s="398"/>
      <c r="AF91" s="50"/>
    </row>
  </sheetData>
  <mergeCells count="230">
    <mergeCell ref="Y90:AD90"/>
    <mergeCell ref="A91:B91"/>
    <mergeCell ref="C91:D91"/>
    <mergeCell ref="E91:J91"/>
    <mergeCell ref="K91:S91"/>
    <mergeCell ref="T91:U91"/>
    <mergeCell ref="V91:X91"/>
    <mergeCell ref="Y91:AD91"/>
    <mergeCell ref="A90:B90"/>
    <mergeCell ref="C90:D90"/>
    <mergeCell ref="E90:J90"/>
    <mergeCell ref="K90:S90"/>
    <mergeCell ref="T90:U90"/>
    <mergeCell ref="V90:X90"/>
    <mergeCell ref="V88:X88"/>
    <mergeCell ref="Y88:AD88"/>
    <mergeCell ref="A89:B89"/>
    <mergeCell ref="C89:D89"/>
    <mergeCell ref="E89:J89"/>
    <mergeCell ref="K89:S89"/>
    <mergeCell ref="T89:U89"/>
    <mergeCell ref="V89:X89"/>
    <mergeCell ref="Y89:AD89"/>
    <mergeCell ref="A87:E87"/>
    <mergeCell ref="A88:B88"/>
    <mergeCell ref="C88:D88"/>
    <mergeCell ref="E88:J88"/>
    <mergeCell ref="K88:S88"/>
    <mergeCell ref="T88:U88"/>
    <mergeCell ref="A86:B86"/>
    <mergeCell ref="F86:J86"/>
    <mergeCell ref="K86:S86"/>
    <mergeCell ref="T86:U86"/>
    <mergeCell ref="V86:W86"/>
    <mergeCell ref="X86:AD86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R67:AA67"/>
    <mergeCell ref="AB67:AD67"/>
    <mergeCell ref="A68:B68"/>
    <mergeCell ref="F68:J68"/>
    <mergeCell ref="K68:L68"/>
    <mergeCell ref="N68:O68"/>
    <mergeCell ref="P68:Q68"/>
    <mergeCell ref="R68:AA68"/>
    <mergeCell ref="AB68:AD68"/>
    <mergeCell ref="A66:E66"/>
    <mergeCell ref="A67:B67"/>
    <mergeCell ref="F67:J67"/>
    <mergeCell ref="K67:L67"/>
    <mergeCell ref="N67:O67"/>
    <mergeCell ref="P67:Q67"/>
    <mergeCell ref="A64:B64"/>
    <mergeCell ref="F64:M64"/>
    <mergeCell ref="P64:Q64"/>
    <mergeCell ref="R64:U64"/>
    <mergeCell ref="V64:AD64"/>
    <mergeCell ref="A65:B65"/>
    <mergeCell ref="F65:M65"/>
    <mergeCell ref="P65:Q65"/>
    <mergeCell ref="R65:U65"/>
    <mergeCell ref="V65:AD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D4:AD5"/>
    <mergeCell ref="A26:H26"/>
    <mergeCell ref="A53:E53"/>
    <mergeCell ref="A54:M54"/>
    <mergeCell ref="N54:AD54"/>
    <mergeCell ref="A55:B55"/>
    <mergeCell ref="F55:M55"/>
    <mergeCell ref="P55:Q55"/>
    <mergeCell ref="R55:U55"/>
    <mergeCell ref="V55:AD55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52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88B2-91F9-4B0E-88D5-5F959B1A0981}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522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331" t="s">
        <v>17</v>
      </c>
      <c r="L5" s="331" t="s">
        <v>18</v>
      </c>
      <c r="M5" s="331" t="s">
        <v>19</v>
      </c>
      <c r="N5" s="33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17" si="8">$AD$22</f>
        <v>0.42500000000000004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0.42500000000000004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295</v>
      </c>
      <c r="D8" s="52" t="s">
        <v>357</v>
      </c>
      <c r="E8" s="53" t="s">
        <v>358</v>
      </c>
      <c r="F8" s="30" t="s">
        <v>128</v>
      </c>
      <c r="G8" s="33">
        <v>1</v>
      </c>
      <c r="H8" s="35">
        <v>24</v>
      </c>
      <c r="I8" s="7">
        <v>1000</v>
      </c>
      <c r="J8" s="14">
        <v>1619</v>
      </c>
      <c r="K8" s="15">
        <f>L8+693+1619</f>
        <v>2312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0.42500000000000004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20000</v>
      </c>
      <c r="J9" s="14">
        <v>1749</v>
      </c>
      <c r="K9" s="15">
        <f>L9</f>
        <v>1749</v>
      </c>
      <c r="L9" s="15">
        <f>579+1170</f>
        <v>1749</v>
      </c>
      <c r="M9" s="15">
        <f t="shared" si="1"/>
        <v>1749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0.42500000000000004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123</v>
      </c>
      <c r="E10" s="53" t="s">
        <v>473</v>
      </c>
      <c r="F10" s="30" t="s">
        <v>124</v>
      </c>
      <c r="G10" s="33">
        <v>1</v>
      </c>
      <c r="H10" s="35">
        <v>24</v>
      </c>
      <c r="I10" s="7">
        <v>66000</v>
      </c>
      <c r="J10" s="5">
        <v>5786</v>
      </c>
      <c r="K10" s="15">
        <f>L10+5412+6211</f>
        <v>17409</v>
      </c>
      <c r="L10" s="15">
        <f>3205+2581</f>
        <v>5786</v>
      </c>
      <c r="M10" s="15">
        <f t="shared" si="1"/>
        <v>5786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0.42500000000000004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295</v>
      </c>
      <c r="D11" s="52" t="s">
        <v>117</v>
      </c>
      <c r="E11" s="53" t="s">
        <v>497</v>
      </c>
      <c r="F11" s="30" t="s">
        <v>405</v>
      </c>
      <c r="G11" s="33">
        <v>1</v>
      </c>
      <c r="H11" s="35">
        <v>20</v>
      </c>
      <c r="I11" s="7">
        <v>500</v>
      </c>
      <c r="J11" s="14">
        <v>352</v>
      </c>
      <c r="K11" s="15">
        <f>L11</f>
        <v>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0.42500000000000004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488</v>
      </c>
      <c r="F12" s="30" t="s">
        <v>124</v>
      </c>
      <c r="G12" s="33">
        <v>1</v>
      </c>
      <c r="H12" s="35">
        <v>20</v>
      </c>
      <c r="I12" s="7">
        <v>66000</v>
      </c>
      <c r="J12" s="14">
        <v>5372</v>
      </c>
      <c r="K12" s="15">
        <f>L12+4590</f>
        <v>9962</v>
      </c>
      <c r="L12" s="15">
        <f>2722+2650</f>
        <v>5372</v>
      </c>
      <c r="M12" s="15">
        <f t="shared" si="1"/>
        <v>5372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0.42500000000000004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168</v>
      </c>
      <c r="E13" s="53" t="s">
        <v>326</v>
      </c>
      <c r="F13" s="30" t="s">
        <v>495</v>
      </c>
      <c r="G13" s="33">
        <v>1</v>
      </c>
      <c r="H13" s="35">
        <v>24</v>
      </c>
      <c r="I13" s="7">
        <v>5000</v>
      </c>
      <c r="J13" s="14">
        <v>8649</v>
      </c>
      <c r="K13" s="15">
        <f>L13+2170</f>
        <v>10819</v>
      </c>
      <c r="L13" s="15">
        <f>4905+3744</f>
        <v>8649</v>
      </c>
      <c r="M13" s="15">
        <f t="shared" si="1"/>
        <v>8649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7"/>
        <v>1</v>
      </c>
      <c r="AE13" s="36">
        <f t="shared" si="8"/>
        <v>0.42500000000000004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422</v>
      </c>
      <c r="F14" s="30" t="s">
        <v>405</v>
      </c>
      <c r="G14" s="33">
        <v>1</v>
      </c>
      <c r="H14" s="35">
        <v>40</v>
      </c>
      <c r="I14" s="7">
        <v>500</v>
      </c>
      <c r="J14" s="5">
        <v>847</v>
      </c>
      <c r="K14" s="15">
        <f>L14</f>
        <v>847</v>
      </c>
      <c r="L14" s="15">
        <f>847</f>
        <v>847</v>
      </c>
      <c r="M14" s="15">
        <f t="shared" si="1"/>
        <v>847</v>
      </c>
      <c r="N14" s="15">
        <v>0</v>
      </c>
      <c r="O14" s="58">
        <f t="shared" si="2"/>
        <v>0</v>
      </c>
      <c r="P14" s="39">
        <f t="shared" si="3"/>
        <v>13</v>
      </c>
      <c r="Q14" s="40">
        <f t="shared" si="4"/>
        <v>11</v>
      </c>
      <c r="R14" s="7"/>
      <c r="S14" s="6"/>
      <c r="T14" s="16"/>
      <c r="U14" s="16"/>
      <c r="V14" s="17"/>
      <c r="W14" s="5">
        <v>11</v>
      </c>
      <c r="X14" s="16"/>
      <c r="Y14" s="16"/>
      <c r="Z14" s="16"/>
      <c r="AA14" s="18"/>
      <c r="AB14" s="8">
        <f t="shared" si="5"/>
        <v>1</v>
      </c>
      <c r="AC14" s="9">
        <f t="shared" si="6"/>
        <v>0.54166666666666663</v>
      </c>
      <c r="AD14" s="10">
        <f t="shared" si="7"/>
        <v>0.54166666666666663</v>
      </c>
      <c r="AE14" s="36">
        <f t="shared" si="8"/>
        <v>0.42500000000000004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523</v>
      </c>
      <c r="D15" s="52"/>
      <c r="E15" s="53" t="s">
        <v>525</v>
      </c>
      <c r="F15" s="12" t="s">
        <v>524</v>
      </c>
      <c r="G15" s="12">
        <v>8</v>
      </c>
      <c r="H15" s="13">
        <v>24</v>
      </c>
      <c r="I15" s="31">
        <v>50000</v>
      </c>
      <c r="J15" s="14">
        <v>1098</v>
      </c>
      <c r="K15" s="15">
        <f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0.42500000000000004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0.42500000000000004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339</v>
      </c>
      <c r="D17" s="52"/>
      <c r="E17" s="53" t="s">
        <v>340</v>
      </c>
      <c r="F17" s="12" t="s">
        <v>155</v>
      </c>
      <c r="G17" s="12">
        <v>1</v>
      </c>
      <c r="H17" s="13">
        <v>24</v>
      </c>
      <c r="I17" s="31">
        <v>250</v>
      </c>
      <c r="J17" s="14">
        <v>1229</v>
      </c>
      <c r="K17" s="15">
        <f>L17</f>
        <v>1229</v>
      </c>
      <c r="L17" s="15">
        <v>1229</v>
      </c>
      <c r="M17" s="15">
        <f t="shared" ref="M17" si="10">L17-N17</f>
        <v>1229</v>
      </c>
      <c r="N17" s="15">
        <v>0</v>
      </c>
      <c r="O17" s="58">
        <f t="shared" ref="O17" si="11">IF(L17=0,"0",N17/L17)</f>
        <v>0</v>
      </c>
      <c r="P17" s="39">
        <f t="shared" ref="P17" si="12">IF(L17=0,"0",(24-Q17))</f>
        <v>6</v>
      </c>
      <c r="Q17" s="40">
        <f t="shared" ref="Q17" si="13">SUM(R17:AA17)</f>
        <v>18</v>
      </c>
      <c r="R17" s="7"/>
      <c r="S17" s="6"/>
      <c r="T17" s="16"/>
      <c r="U17" s="16"/>
      <c r="V17" s="17"/>
      <c r="W17" s="5">
        <v>18</v>
      </c>
      <c r="X17" s="16"/>
      <c r="Y17" s="16"/>
      <c r="Z17" s="16"/>
      <c r="AA17" s="18"/>
      <c r="AB17" s="8">
        <f t="shared" ref="AB17" si="14">IF(J17=0,"0",(L17/J17))</f>
        <v>1</v>
      </c>
      <c r="AC17" s="9">
        <f t="shared" ref="AC17" si="15">IF(P17=0,"0",(P17/24))</f>
        <v>0.25</v>
      </c>
      <c r="AD17" s="10">
        <f t="shared" ref="AD17" si="16">AC17*AB17*(1-O17)</f>
        <v>0.25</v>
      </c>
      <c r="AE17" s="36">
        <f t="shared" si="8"/>
        <v>0.42500000000000004</v>
      </c>
      <c r="AF17" s="87">
        <f t="shared" ref="AF17" si="17">A17</f>
        <v>12</v>
      </c>
    </row>
    <row r="18" spans="1:32" ht="27" customHeight="1">
      <c r="A18" s="102">
        <v>12</v>
      </c>
      <c r="B18" s="11" t="s">
        <v>57</v>
      </c>
      <c r="C18" s="34" t="s">
        <v>149</v>
      </c>
      <c r="D18" s="52"/>
      <c r="E18" s="53" t="s">
        <v>526</v>
      </c>
      <c r="F18" s="12">
        <v>8301</v>
      </c>
      <c r="G18" s="12">
        <v>1</v>
      </c>
      <c r="H18" s="13">
        <v>24</v>
      </c>
      <c r="I18" s="31">
        <v>2000</v>
      </c>
      <c r="J18" s="14">
        <v>2102</v>
      </c>
      <c r="K18" s="15">
        <f>L18</f>
        <v>2102</v>
      </c>
      <c r="L18" s="15">
        <v>2102</v>
      </c>
      <c r="M18" s="15">
        <f t="shared" si="1"/>
        <v>2102</v>
      </c>
      <c r="N18" s="15">
        <v>0</v>
      </c>
      <c r="O18" s="58">
        <f t="shared" si="2"/>
        <v>0</v>
      </c>
      <c r="P18" s="39">
        <f t="shared" si="3"/>
        <v>11</v>
      </c>
      <c r="Q18" s="40">
        <f t="shared" si="4"/>
        <v>13</v>
      </c>
      <c r="R18" s="7"/>
      <c r="S18" s="6"/>
      <c r="T18" s="16"/>
      <c r="U18" s="16"/>
      <c r="V18" s="17"/>
      <c r="W18" s="5">
        <v>13</v>
      </c>
      <c r="X18" s="16"/>
      <c r="Y18" s="16"/>
      <c r="Z18" s="16"/>
      <c r="AA18" s="18"/>
      <c r="AB18" s="8">
        <f t="shared" si="5"/>
        <v>1</v>
      </c>
      <c r="AC18" s="9">
        <f t="shared" si="6"/>
        <v>0.45833333333333331</v>
      </c>
      <c r="AD18" s="10">
        <f t="shared" si="7"/>
        <v>0.45833333333333331</v>
      </c>
      <c r="AE18" s="36">
        <f t="shared" ref="AE18:AE20" si="18">$AD$22</f>
        <v>0.42500000000000004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339</v>
      </c>
      <c r="D19" s="52" t="s">
        <v>119</v>
      </c>
      <c r="E19" s="53" t="s">
        <v>439</v>
      </c>
      <c r="F19" s="30" t="s">
        <v>162</v>
      </c>
      <c r="G19" s="33">
        <v>1</v>
      </c>
      <c r="H19" s="35">
        <v>24</v>
      </c>
      <c r="I19" s="7">
        <v>5100</v>
      </c>
      <c r="J19" s="5">
        <v>1474</v>
      </c>
      <c r="K19" s="15">
        <f>L19+2212</f>
        <v>3686</v>
      </c>
      <c r="L19" s="15">
        <v>1474</v>
      </c>
      <c r="M19" s="15">
        <f t="shared" si="1"/>
        <v>1474</v>
      </c>
      <c r="N19" s="15">
        <v>0</v>
      </c>
      <c r="O19" s="58">
        <f t="shared" si="2"/>
        <v>0</v>
      </c>
      <c r="P19" s="39">
        <f t="shared" si="3"/>
        <v>13</v>
      </c>
      <c r="Q19" s="40">
        <f t="shared" si="4"/>
        <v>11</v>
      </c>
      <c r="R19" s="7"/>
      <c r="S19" s="6"/>
      <c r="T19" s="16"/>
      <c r="U19" s="16"/>
      <c r="V19" s="17"/>
      <c r="W19" s="5">
        <v>11</v>
      </c>
      <c r="X19" s="16"/>
      <c r="Y19" s="16"/>
      <c r="Z19" s="16"/>
      <c r="AA19" s="18"/>
      <c r="AB19" s="8">
        <f t="shared" si="5"/>
        <v>1</v>
      </c>
      <c r="AC19" s="9">
        <f t="shared" si="6"/>
        <v>0.54166666666666663</v>
      </c>
      <c r="AD19" s="10">
        <f>AC19*AB19*(1-O19)</f>
        <v>0.54166666666666663</v>
      </c>
      <c r="AE19" s="36">
        <f t="shared" si="18"/>
        <v>0.42500000000000004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117</v>
      </c>
      <c r="E20" s="53" t="s">
        <v>240</v>
      </c>
      <c r="F20" s="30" t="s">
        <v>122</v>
      </c>
      <c r="G20" s="33">
        <v>1</v>
      </c>
      <c r="H20" s="35">
        <v>24</v>
      </c>
      <c r="I20" s="7">
        <v>15000</v>
      </c>
      <c r="J20" s="5">
        <v>5013</v>
      </c>
      <c r="K20" s="15">
        <f>L20</f>
        <v>5013</v>
      </c>
      <c r="L20" s="15">
        <f>2804+2209</f>
        <v>5013</v>
      </c>
      <c r="M20" s="15">
        <f t="shared" si="1"/>
        <v>5013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ref="AD20" si="19">AC20*AB20*(1-O20)</f>
        <v>1</v>
      </c>
      <c r="AE20" s="36">
        <f t="shared" si="18"/>
        <v>0.42500000000000004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359</v>
      </c>
      <c r="F21" s="12" t="s">
        <v>116</v>
      </c>
      <c r="G21" s="12">
        <v>4</v>
      </c>
      <c r="H21" s="35">
        <v>20</v>
      </c>
      <c r="I21" s="7">
        <v>300000</v>
      </c>
      <c r="J21" s="14">
        <v>4420</v>
      </c>
      <c r="K21" s="15">
        <f>L21+38252+40960+86480+92928</f>
        <v>263040</v>
      </c>
      <c r="L21" s="15">
        <f>1105*4</f>
        <v>4420</v>
      </c>
      <c r="M21" s="15">
        <f t="shared" si="1"/>
        <v>4420</v>
      </c>
      <c r="N21" s="15">
        <v>0</v>
      </c>
      <c r="O21" s="58">
        <f t="shared" si="2"/>
        <v>0</v>
      </c>
      <c r="P21" s="39">
        <f t="shared" si="3"/>
        <v>4</v>
      </c>
      <c r="Q21" s="40">
        <f t="shared" si="4"/>
        <v>20</v>
      </c>
      <c r="R21" s="7"/>
      <c r="S21" s="6">
        <v>20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0.16666666666666666</v>
      </c>
      <c r="AD21" s="10">
        <f t="shared" si="7"/>
        <v>0.16666666666666666</v>
      </c>
      <c r="AE21" s="36">
        <f>$AD$22</f>
        <v>0.42500000000000004</v>
      </c>
      <c r="AF21" s="87">
        <f t="shared" si="9"/>
        <v>15</v>
      </c>
    </row>
    <row r="22" spans="1:32" ht="31.5" customHeight="1" thickBot="1">
      <c r="A22" s="467" t="s">
        <v>34</v>
      </c>
      <c r="B22" s="468"/>
      <c r="C22" s="468"/>
      <c r="D22" s="468"/>
      <c r="E22" s="468"/>
      <c r="F22" s="468"/>
      <c r="G22" s="468"/>
      <c r="H22" s="469"/>
      <c r="I22" s="22">
        <f t="shared" ref="I22:N22" si="20">SUM(I6:I21)</f>
        <v>531950</v>
      </c>
      <c r="J22" s="19">
        <f t="shared" si="20"/>
        <v>42257</v>
      </c>
      <c r="K22" s="20">
        <f t="shared" si="20"/>
        <v>320715</v>
      </c>
      <c r="L22" s="21">
        <f t="shared" si="20"/>
        <v>36641</v>
      </c>
      <c r="M22" s="20">
        <f t="shared" si="20"/>
        <v>36641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153</v>
      </c>
      <c r="Q22" s="43">
        <f t="shared" si="21"/>
        <v>231</v>
      </c>
      <c r="R22" s="23">
        <f t="shared" si="21"/>
        <v>24</v>
      </c>
      <c r="S22" s="24">
        <f t="shared" si="21"/>
        <v>82</v>
      </c>
      <c r="T22" s="24">
        <f t="shared" si="21"/>
        <v>0</v>
      </c>
      <c r="U22" s="24">
        <f t="shared" si="21"/>
        <v>0</v>
      </c>
      <c r="V22" s="25">
        <f t="shared" si="21"/>
        <v>0</v>
      </c>
      <c r="W22" s="26">
        <f t="shared" si="21"/>
        <v>125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0</v>
      </c>
      <c r="AB22" s="28">
        <f>SUM(AB6:AB21)/15</f>
        <v>0.66666666666666663</v>
      </c>
      <c r="AC22" s="4">
        <f>SUM(AC6:AC21)/15</f>
        <v>0.42500000000000004</v>
      </c>
      <c r="AD22" s="4">
        <f>SUM(AD6:AD21)/15</f>
        <v>0.42500000000000004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70" t="s">
        <v>45</v>
      </c>
      <c r="B49" s="470"/>
      <c r="C49" s="470"/>
      <c r="D49" s="470"/>
      <c r="E49" s="47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71" t="s">
        <v>527</v>
      </c>
      <c r="B50" s="472"/>
      <c r="C50" s="472"/>
      <c r="D50" s="472"/>
      <c r="E50" s="472"/>
      <c r="F50" s="472"/>
      <c r="G50" s="472"/>
      <c r="H50" s="472"/>
      <c r="I50" s="472"/>
      <c r="J50" s="472"/>
      <c r="K50" s="472"/>
      <c r="L50" s="472"/>
      <c r="M50" s="473"/>
      <c r="N50" s="474" t="s">
        <v>531</v>
      </c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6"/>
    </row>
    <row r="51" spans="1:32" ht="27" customHeight="1">
      <c r="A51" s="477" t="s">
        <v>2</v>
      </c>
      <c r="B51" s="478"/>
      <c r="C51" s="332" t="s">
        <v>46</v>
      </c>
      <c r="D51" s="332" t="s">
        <v>47</v>
      </c>
      <c r="E51" s="332" t="s">
        <v>108</v>
      </c>
      <c r="F51" s="478" t="s">
        <v>107</v>
      </c>
      <c r="G51" s="478"/>
      <c r="H51" s="478"/>
      <c r="I51" s="478"/>
      <c r="J51" s="478"/>
      <c r="K51" s="478"/>
      <c r="L51" s="478"/>
      <c r="M51" s="479"/>
      <c r="N51" s="67" t="s">
        <v>112</v>
      </c>
      <c r="O51" s="332" t="s">
        <v>46</v>
      </c>
      <c r="P51" s="480" t="s">
        <v>47</v>
      </c>
      <c r="Q51" s="481"/>
      <c r="R51" s="480" t="s">
        <v>38</v>
      </c>
      <c r="S51" s="482"/>
      <c r="T51" s="482"/>
      <c r="U51" s="481"/>
      <c r="V51" s="480" t="s">
        <v>48</v>
      </c>
      <c r="W51" s="482"/>
      <c r="X51" s="482"/>
      <c r="Y51" s="482"/>
      <c r="Z51" s="482"/>
      <c r="AA51" s="482"/>
      <c r="AB51" s="482"/>
      <c r="AC51" s="482"/>
      <c r="AD51" s="483"/>
    </row>
    <row r="52" spans="1:32" ht="27" customHeight="1">
      <c r="A52" s="451" t="s">
        <v>126</v>
      </c>
      <c r="B52" s="452"/>
      <c r="C52" s="334" t="s">
        <v>135</v>
      </c>
      <c r="D52" s="334" t="s">
        <v>157</v>
      </c>
      <c r="E52" s="334" t="s">
        <v>161</v>
      </c>
      <c r="F52" s="453" t="s">
        <v>245</v>
      </c>
      <c r="G52" s="454"/>
      <c r="H52" s="454"/>
      <c r="I52" s="454"/>
      <c r="J52" s="454"/>
      <c r="K52" s="454"/>
      <c r="L52" s="454"/>
      <c r="M52" s="455"/>
      <c r="N52" s="333" t="s">
        <v>126</v>
      </c>
      <c r="O52" s="339" t="s">
        <v>135</v>
      </c>
      <c r="P52" s="463" t="s">
        <v>157</v>
      </c>
      <c r="Q52" s="464"/>
      <c r="R52" s="452" t="s">
        <v>161</v>
      </c>
      <c r="S52" s="452"/>
      <c r="T52" s="452"/>
      <c r="U52" s="452"/>
      <c r="V52" s="442" t="s">
        <v>137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295</v>
      </c>
      <c r="B53" s="452"/>
      <c r="C53" s="334" t="s">
        <v>221</v>
      </c>
      <c r="D53" s="334" t="s">
        <v>117</v>
      </c>
      <c r="E53" s="334" t="s">
        <v>497</v>
      </c>
      <c r="F53" s="453" t="s">
        <v>528</v>
      </c>
      <c r="G53" s="454"/>
      <c r="H53" s="454"/>
      <c r="I53" s="454"/>
      <c r="J53" s="454"/>
      <c r="K53" s="454"/>
      <c r="L53" s="454"/>
      <c r="M53" s="455"/>
      <c r="N53" s="333" t="s">
        <v>295</v>
      </c>
      <c r="O53" s="339" t="s">
        <v>221</v>
      </c>
      <c r="P53" s="463" t="s">
        <v>117</v>
      </c>
      <c r="Q53" s="464"/>
      <c r="R53" s="452" t="s">
        <v>497</v>
      </c>
      <c r="S53" s="452"/>
      <c r="T53" s="452"/>
      <c r="U53" s="452"/>
      <c r="V53" s="442" t="s">
        <v>137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126</v>
      </c>
      <c r="B54" s="452"/>
      <c r="C54" s="334" t="s">
        <v>138</v>
      </c>
      <c r="D54" s="334" t="s">
        <v>117</v>
      </c>
      <c r="E54" s="334" t="s">
        <v>240</v>
      </c>
      <c r="F54" s="453" t="s">
        <v>121</v>
      </c>
      <c r="G54" s="454"/>
      <c r="H54" s="454"/>
      <c r="I54" s="454"/>
      <c r="J54" s="454"/>
      <c r="K54" s="454"/>
      <c r="L54" s="454"/>
      <c r="M54" s="455"/>
      <c r="N54" s="333" t="s">
        <v>523</v>
      </c>
      <c r="O54" s="339" t="s">
        <v>150</v>
      </c>
      <c r="P54" s="463"/>
      <c r="Q54" s="464"/>
      <c r="R54" s="452" t="s">
        <v>525</v>
      </c>
      <c r="S54" s="452"/>
      <c r="T54" s="452"/>
      <c r="U54" s="452"/>
      <c r="V54" s="442" t="s">
        <v>137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114</v>
      </c>
      <c r="B55" s="452"/>
      <c r="C55" s="334" t="s">
        <v>226</v>
      </c>
      <c r="D55" s="334" t="s">
        <v>117</v>
      </c>
      <c r="E55" s="334" t="s">
        <v>422</v>
      </c>
      <c r="F55" s="453" t="s">
        <v>529</v>
      </c>
      <c r="G55" s="454"/>
      <c r="H55" s="454"/>
      <c r="I55" s="454"/>
      <c r="J55" s="454"/>
      <c r="K55" s="454"/>
      <c r="L55" s="454"/>
      <c r="M55" s="455"/>
      <c r="N55" s="333" t="s">
        <v>126</v>
      </c>
      <c r="O55" s="339" t="s">
        <v>136</v>
      </c>
      <c r="P55" s="463" t="s">
        <v>157</v>
      </c>
      <c r="Q55" s="464"/>
      <c r="R55" s="452" t="s">
        <v>504</v>
      </c>
      <c r="S55" s="452"/>
      <c r="T55" s="452"/>
      <c r="U55" s="452"/>
      <c r="V55" s="442" t="s">
        <v>121</v>
      </c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339</v>
      </c>
      <c r="B56" s="452"/>
      <c r="C56" s="334" t="s">
        <v>263</v>
      </c>
      <c r="D56" s="334"/>
      <c r="E56" s="334" t="s">
        <v>340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333"/>
      <c r="O56" s="339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149</v>
      </c>
      <c r="B57" s="452"/>
      <c r="C57" s="334" t="s">
        <v>263</v>
      </c>
      <c r="D57" s="334"/>
      <c r="E57" s="334" t="s">
        <v>526</v>
      </c>
      <c r="F57" s="453" t="s">
        <v>529</v>
      </c>
      <c r="G57" s="454"/>
      <c r="H57" s="454"/>
      <c r="I57" s="454"/>
      <c r="J57" s="454"/>
      <c r="K57" s="454"/>
      <c r="L57" s="454"/>
      <c r="M57" s="455"/>
      <c r="N57" s="333"/>
      <c r="O57" s="339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 t="s">
        <v>339</v>
      </c>
      <c r="B58" s="452"/>
      <c r="C58" s="334" t="s">
        <v>136</v>
      </c>
      <c r="D58" s="334" t="s">
        <v>119</v>
      </c>
      <c r="E58" s="334" t="s">
        <v>530</v>
      </c>
      <c r="F58" s="453" t="s">
        <v>137</v>
      </c>
      <c r="G58" s="454"/>
      <c r="H58" s="454"/>
      <c r="I58" s="454"/>
      <c r="J58" s="454"/>
      <c r="K58" s="454"/>
      <c r="L58" s="454"/>
      <c r="M58" s="455"/>
      <c r="N58" s="333"/>
      <c r="O58" s="339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 t="s">
        <v>523</v>
      </c>
      <c r="B59" s="452"/>
      <c r="C59" s="334" t="s">
        <v>150</v>
      </c>
      <c r="D59" s="334"/>
      <c r="E59" s="334" t="s">
        <v>525</v>
      </c>
      <c r="F59" s="453" t="s">
        <v>532</v>
      </c>
      <c r="G59" s="454"/>
      <c r="H59" s="454"/>
      <c r="I59" s="454"/>
      <c r="J59" s="454"/>
      <c r="K59" s="454"/>
      <c r="L59" s="454"/>
      <c r="M59" s="455"/>
      <c r="N59" s="333"/>
      <c r="O59" s="339"/>
      <c r="P59" s="463"/>
      <c r="Q59" s="464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/>
      <c r="B60" s="452"/>
      <c r="C60" s="334"/>
      <c r="D60" s="334"/>
      <c r="E60" s="334"/>
      <c r="F60" s="453"/>
      <c r="G60" s="454"/>
      <c r="H60" s="454"/>
      <c r="I60" s="454"/>
      <c r="J60" s="454"/>
      <c r="K60" s="454"/>
      <c r="L60" s="454"/>
      <c r="M60" s="455"/>
      <c r="N60" s="333"/>
      <c r="O60" s="339"/>
      <c r="P60" s="452"/>
      <c r="Q60" s="452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  <c r="AF60" s="87">
        <f>8*3000</f>
        <v>24000</v>
      </c>
    </row>
    <row r="61" spans="1:32" ht="27" customHeight="1" thickBot="1">
      <c r="A61" s="506"/>
      <c r="B61" s="507"/>
      <c r="C61" s="336"/>
      <c r="D61" s="336"/>
      <c r="E61" s="336"/>
      <c r="F61" s="508"/>
      <c r="G61" s="509"/>
      <c r="H61" s="509"/>
      <c r="I61" s="509"/>
      <c r="J61" s="509"/>
      <c r="K61" s="509"/>
      <c r="L61" s="509"/>
      <c r="M61" s="510"/>
      <c r="N61" s="335"/>
      <c r="O61" s="114"/>
      <c r="P61" s="458"/>
      <c r="Q61" s="458"/>
      <c r="R61" s="458"/>
      <c r="S61" s="458"/>
      <c r="T61" s="458"/>
      <c r="U61" s="458"/>
      <c r="V61" s="461"/>
      <c r="W61" s="461"/>
      <c r="X61" s="461"/>
      <c r="Y61" s="461"/>
      <c r="Z61" s="461"/>
      <c r="AA61" s="461"/>
      <c r="AB61" s="461"/>
      <c r="AC61" s="461"/>
      <c r="AD61" s="462"/>
      <c r="AF61" s="87">
        <f>16*3000</f>
        <v>48000</v>
      </c>
    </row>
    <row r="62" spans="1:32" ht="27.75" thickBot="1">
      <c r="A62" s="449" t="s">
        <v>533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50" t="s">
        <v>113</v>
      </c>
      <c r="B63" s="447"/>
      <c r="C63" s="337" t="s">
        <v>2</v>
      </c>
      <c r="D63" s="337" t="s">
        <v>37</v>
      </c>
      <c r="E63" s="337" t="s">
        <v>3</v>
      </c>
      <c r="F63" s="447" t="s">
        <v>110</v>
      </c>
      <c r="G63" s="447"/>
      <c r="H63" s="447"/>
      <c r="I63" s="447"/>
      <c r="J63" s="447"/>
      <c r="K63" s="447" t="s">
        <v>39</v>
      </c>
      <c r="L63" s="447"/>
      <c r="M63" s="337" t="s">
        <v>40</v>
      </c>
      <c r="N63" s="447" t="s">
        <v>41</v>
      </c>
      <c r="O63" s="447"/>
      <c r="P63" s="444" t="s">
        <v>42</v>
      </c>
      <c r="Q63" s="446"/>
      <c r="R63" s="444" t="s">
        <v>43</v>
      </c>
      <c r="S63" s="445"/>
      <c r="T63" s="445"/>
      <c r="U63" s="445"/>
      <c r="V63" s="445"/>
      <c r="W63" s="445"/>
      <c r="X63" s="445"/>
      <c r="Y63" s="445"/>
      <c r="Z63" s="445"/>
      <c r="AA63" s="446"/>
      <c r="AB63" s="447" t="s">
        <v>44</v>
      </c>
      <c r="AC63" s="447"/>
      <c r="AD63" s="448"/>
      <c r="AF63" s="87">
        <f>SUM(AF60:AF62)</f>
        <v>96000</v>
      </c>
    </row>
    <row r="64" spans="1:32" ht="25.5" customHeight="1">
      <c r="A64" s="438">
        <v>1</v>
      </c>
      <c r="B64" s="439"/>
      <c r="C64" s="117"/>
      <c r="D64" s="341"/>
      <c r="E64" s="338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2</v>
      </c>
      <c r="B65" s="439"/>
      <c r="C65" s="117"/>
      <c r="D65" s="341"/>
      <c r="E65" s="338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3</v>
      </c>
      <c r="B66" s="439"/>
      <c r="C66" s="117"/>
      <c r="D66" s="341"/>
      <c r="E66" s="338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4</v>
      </c>
      <c r="B67" s="439"/>
      <c r="C67" s="117"/>
      <c r="D67" s="341"/>
      <c r="E67" s="338"/>
      <c r="F67" s="440"/>
      <c r="G67" s="432"/>
      <c r="H67" s="432"/>
      <c r="I67" s="432"/>
      <c r="J67" s="432"/>
      <c r="K67" s="432"/>
      <c r="L67" s="432"/>
      <c r="M67" s="51"/>
      <c r="N67" s="443"/>
      <c r="O67" s="443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5</v>
      </c>
      <c r="B68" s="439"/>
      <c r="C68" s="117"/>
      <c r="D68" s="341"/>
      <c r="E68" s="338"/>
      <c r="F68" s="440"/>
      <c r="G68" s="432"/>
      <c r="H68" s="432"/>
      <c r="I68" s="432"/>
      <c r="J68" s="432"/>
      <c r="K68" s="432"/>
      <c r="L68" s="432"/>
      <c r="M68" s="51"/>
      <c r="N68" s="443"/>
      <c r="O68" s="443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6</v>
      </c>
      <c r="B69" s="439"/>
      <c r="C69" s="117"/>
      <c r="D69" s="341"/>
      <c r="E69" s="338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7</v>
      </c>
      <c r="B70" s="439"/>
      <c r="C70" s="117"/>
      <c r="D70" s="341"/>
      <c r="E70" s="338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8</v>
      </c>
      <c r="B71" s="439"/>
      <c r="C71" s="117"/>
      <c r="D71" s="341"/>
      <c r="E71" s="338"/>
      <c r="F71" s="440"/>
      <c r="G71" s="432"/>
      <c r="H71" s="432"/>
      <c r="I71" s="432"/>
      <c r="J71" s="432"/>
      <c r="K71" s="432"/>
      <c r="L71" s="432"/>
      <c r="M71" s="51"/>
      <c r="N71" s="432"/>
      <c r="O71" s="432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6.25" customHeight="1" thickBot="1">
      <c r="A72" s="412" t="s">
        <v>534</v>
      </c>
      <c r="B72" s="412"/>
      <c r="C72" s="412"/>
      <c r="D72" s="412"/>
      <c r="E72" s="41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3" t="s">
        <v>113</v>
      </c>
      <c r="B73" s="414"/>
      <c r="C73" s="340" t="s">
        <v>2</v>
      </c>
      <c r="D73" s="340" t="s">
        <v>37</v>
      </c>
      <c r="E73" s="340" t="s">
        <v>3</v>
      </c>
      <c r="F73" s="414" t="s">
        <v>38</v>
      </c>
      <c r="G73" s="414"/>
      <c r="H73" s="414"/>
      <c r="I73" s="414"/>
      <c r="J73" s="414"/>
      <c r="K73" s="434" t="s">
        <v>58</v>
      </c>
      <c r="L73" s="435"/>
      <c r="M73" s="435"/>
      <c r="N73" s="435"/>
      <c r="O73" s="435"/>
      <c r="P73" s="435"/>
      <c r="Q73" s="435"/>
      <c r="R73" s="435"/>
      <c r="S73" s="436"/>
      <c r="T73" s="414" t="s">
        <v>49</v>
      </c>
      <c r="U73" s="414"/>
      <c r="V73" s="434" t="s">
        <v>50</v>
      </c>
      <c r="W73" s="436"/>
      <c r="X73" s="435" t="s">
        <v>51</v>
      </c>
      <c r="Y73" s="435"/>
      <c r="Z73" s="435"/>
      <c r="AA73" s="435"/>
      <c r="AB73" s="435"/>
      <c r="AC73" s="435"/>
      <c r="AD73" s="437"/>
      <c r="AF73" s="50"/>
    </row>
    <row r="74" spans="1:32" ht="33.75" customHeight="1">
      <c r="A74" s="406">
        <v>1</v>
      </c>
      <c r="B74" s="407"/>
      <c r="C74" s="342" t="s">
        <v>114</v>
      </c>
      <c r="D74" s="342"/>
      <c r="E74" s="65" t="s">
        <v>119</v>
      </c>
      <c r="F74" s="421" t="s">
        <v>118</v>
      </c>
      <c r="G74" s="422"/>
      <c r="H74" s="422"/>
      <c r="I74" s="422"/>
      <c r="J74" s="423"/>
      <c r="K74" s="424" t="s">
        <v>120</v>
      </c>
      <c r="L74" s="425"/>
      <c r="M74" s="425"/>
      <c r="N74" s="425"/>
      <c r="O74" s="425"/>
      <c r="P74" s="425"/>
      <c r="Q74" s="425"/>
      <c r="R74" s="425"/>
      <c r="S74" s="426"/>
      <c r="T74" s="427">
        <v>43384</v>
      </c>
      <c r="U74" s="428"/>
      <c r="V74" s="429"/>
      <c r="W74" s="429"/>
      <c r="X74" s="430"/>
      <c r="Y74" s="430"/>
      <c r="Z74" s="430"/>
      <c r="AA74" s="430"/>
      <c r="AB74" s="430"/>
      <c r="AC74" s="430"/>
      <c r="AD74" s="431"/>
      <c r="AF74" s="50"/>
    </row>
    <row r="75" spans="1:32" ht="30" customHeight="1">
      <c r="A75" s="399">
        <f>A74+1</f>
        <v>2</v>
      </c>
      <c r="B75" s="400"/>
      <c r="C75" s="341"/>
      <c r="D75" s="341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ref="A76:A82" si="22">A75+1</f>
        <v>3</v>
      </c>
      <c r="B76" s="400"/>
      <c r="C76" s="341"/>
      <c r="D76" s="341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22"/>
        <v>4</v>
      </c>
      <c r="B77" s="400"/>
      <c r="C77" s="341"/>
      <c r="D77" s="341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22"/>
        <v>5</v>
      </c>
      <c r="B78" s="400"/>
      <c r="C78" s="341"/>
      <c r="D78" s="341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22"/>
        <v>6</v>
      </c>
      <c r="B79" s="400"/>
      <c r="C79" s="341"/>
      <c r="D79" s="341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22"/>
        <v>7</v>
      </c>
      <c r="B80" s="400"/>
      <c r="C80" s="341"/>
      <c r="D80" s="341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22"/>
        <v>8</v>
      </c>
      <c r="B81" s="400"/>
      <c r="C81" s="341"/>
      <c r="D81" s="341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22"/>
        <v>9</v>
      </c>
      <c r="B82" s="400"/>
      <c r="C82" s="341"/>
      <c r="D82" s="341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6" thickBot="1">
      <c r="A83" s="412" t="s">
        <v>535</v>
      </c>
      <c r="B83" s="412"/>
      <c r="C83" s="412"/>
      <c r="D83" s="412"/>
      <c r="E83" s="41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3" t="s">
        <v>113</v>
      </c>
      <c r="B84" s="414"/>
      <c r="C84" s="404" t="s">
        <v>52</v>
      </c>
      <c r="D84" s="404"/>
      <c r="E84" s="404" t="s">
        <v>53</v>
      </c>
      <c r="F84" s="404"/>
      <c r="G84" s="404"/>
      <c r="H84" s="404"/>
      <c r="I84" s="404"/>
      <c r="J84" s="404"/>
      <c r="K84" s="404" t="s">
        <v>54</v>
      </c>
      <c r="L84" s="404"/>
      <c r="M84" s="404"/>
      <c r="N84" s="404"/>
      <c r="O84" s="404"/>
      <c r="P84" s="404"/>
      <c r="Q84" s="404"/>
      <c r="R84" s="404"/>
      <c r="S84" s="404"/>
      <c r="T84" s="404" t="s">
        <v>55</v>
      </c>
      <c r="U84" s="404"/>
      <c r="V84" s="404" t="s">
        <v>56</v>
      </c>
      <c r="W84" s="404"/>
      <c r="X84" s="404"/>
      <c r="Y84" s="404" t="s">
        <v>51</v>
      </c>
      <c r="Z84" s="404"/>
      <c r="AA84" s="404"/>
      <c r="AB84" s="404"/>
      <c r="AC84" s="404"/>
      <c r="AD84" s="405"/>
      <c r="AF84" s="50"/>
    </row>
    <row r="85" spans="1:32" ht="30.75" customHeight="1">
      <c r="A85" s="406">
        <v>1</v>
      </c>
      <c r="B85" s="407"/>
      <c r="C85" s="408"/>
      <c r="D85" s="408"/>
      <c r="E85" s="408"/>
      <c r="F85" s="408"/>
      <c r="G85" s="408"/>
      <c r="H85" s="408"/>
      <c r="I85" s="408"/>
      <c r="J85" s="408"/>
      <c r="K85" s="408"/>
      <c r="L85" s="408"/>
      <c r="M85" s="408"/>
      <c r="N85" s="408"/>
      <c r="O85" s="408"/>
      <c r="P85" s="408"/>
      <c r="Q85" s="408"/>
      <c r="R85" s="408"/>
      <c r="S85" s="408"/>
      <c r="T85" s="408"/>
      <c r="U85" s="408"/>
      <c r="V85" s="409"/>
      <c r="W85" s="409"/>
      <c r="X85" s="409"/>
      <c r="Y85" s="410"/>
      <c r="Z85" s="410"/>
      <c r="AA85" s="410"/>
      <c r="AB85" s="410"/>
      <c r="AC85" s="410"/>
      <c r="AD85" s="411"/>
      <c r="AF85" s="50"/>
    </row>
    <row r="86" spans="1:32" ht="30.75" customHeight="1">
      <c r="A86" s="399">
        <v>2</v>
      </c>
      <c r="B86" s="400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  <c r="Q86" s="401"/>
      <c r="R86" s="401"/>
      <c r="S86" s="401"/>
      <c r="T86" s="402"/>
      <c r="U86" s="402"/>
      <c r="V86" s="403"/>
      <c r="W86" s="403"/>
      <c r="X86" s="403"/>
      <c r="Y86" s="392"/>
      <c r="Z86" s="392"/>
      <c r="AA86" s="392"/>
      <c r="AB86" s="392"/>
      <c r="AC86" s="392"/>
      <c r="AD86" s="393"/>
      <c r="AF86" s="50"/>
    </row>
    <row r="87" spans="1:32" ht="30.75" customHeight="1" thickBot="1">
      <c r="A87" s="394">
        <v>3</v>
      </c>
      <c r="B87" s="395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M87" s="396"/>
      <c r="N87" s="396"/>
      <c r="O87" s="396"/>
      <c r="P87" s="396"/>
      <c r="Q87" s="396"/>
      <c r="R87" s="396"/>
      <c r="S87" s="396"/>
      <c r="T87" s="396"/>
      <c r="U87" s="396"/>
      <c r="V87" s="396"/>
      <c r="W87" s="396"/>
      <c r="X87" s="396"/>
      <c r="Y87" s="397"/>
      <c r="Z87" s="397"/>
      <c r="AA87" s="397"/>
      <c r="AB87" s="397"/>
      <c r="AC87" s="397"/>
      <c r="AD87" s="398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96C9-4C98-41B0-B6A1-C7A1D948D13C}">
  <sheetPr>
    <pageSetUpPr fitToPage="1"/>
  </sheetPr>
  <dimension ref="A1:AF87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536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354" t="s">
        <v>17</v>
      </c>
      <c r="L5" s="354" t="s">
        <v>18</v>
      </c>
      <c r="M5" s="354" t="s">
        <v>19</v>
      </c>
      <c r="N5" s="35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0.44722222222222219</v>
      </c>
      <c r="AF6" s="87">
        <f t="shared" ref="AF6:AF21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0.44722222222222219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20000</v>
      </c>
      <c r="J8" s="14">
        <v>3627</v>
      </c>
      <c r="K8" s="15">
        <f>L8</f>
        <v>3627</v>
      </c>
      <c r="L8" s="15">
        <f>3169+458</f>
        <v>3627</v>
      </c>
      <c r="M8" s="15">
        <f t="shared" si="1"/>
        <v>3627</v>
      </c>
      <c r="N8" s="15">
        <v>0</v>
      </c>
      <c r="O8" s="58">
        <f t="shared" si="2"/>
        <v>0</v>
      </c>
      <c r="P8" s="39">
        <f t="shared" si="3"/>
        <v>18</v>
      </c>
      <c r="Q8" s="40">
        <f t="shared" si="4"/>
        <v>6</v>
      </c>
      <c r="R8" s="7">
        <v>6</v>
      </c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0.75</v>
      </c>
      <c r="AD8" s="10">
        <f t="shared" si="7"/>
        <v>0.75</v>
      </c>
      <c r="AE8" s="36">
        <f t="shared" si="8"/>
        <v>0.44722222222222219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20000</v>
      </c>
      <c r="J9" s="14">
        <v>4518</v>
      </c>
      <c r="K9" s="15">
        <f>L9+1749</f>
        <v>6267</v>
      </c>
      <c r="L9" s="15">
        <f>2768+1750</f>
        <v>4518</v>
      </c>
      <c r="M9" s="15">
        <f t="shared" si="1"/>
        <v>4518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0.44722222222222219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123</v>
      </c>
      <c r="E10" s="53" t="s">
        <v>473</v>
      </c>
      <c r="F10" s="30" t="s">
        <v>124</v>
      </c>
      <c r="G10" s="33">
        <v>1</v>
      </c>
      <c r="H10" s="35">
        <v>24</v>
      </c>
      <c r="I10" s="7">
        <v>66000</v>
      </c>
      <c r="J10" s="5">
        <v>5854</v>
      </c>
      <c r="K10" s="15">
        <f>L10+5412+6211+5786</f>
        <v>23263</v>
      </c>
      <c r="L10" s="15">
        <f>3068+2786</f>
        <v>5854</v>
      </c>
      <c r="M10" s="15">
        <f t="shared" si="1"/>
        <v>5854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0.44722222222222219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295</v>
      </c>
      <c r="D11" s="52" t="s">
        <v>117</v>
      </c>
      <c r="E11" s="53" t="s">
        <v>497</v>
      </c>
      <c r="F11" s="30" t="s">
        <v>405</v>
      </c>
      <c r="G11" s="33">
        <v>1</v>
      </c>
      <c r="H11" s="35">
        <v>20</v>
      </c>
      <c r="I11" s="7">
        <v>500</v>
      </c>
      <c r="J11" s="14">
        <v>352</v>
      </c>
      <c r="K11" s="15">
        <f>L11</f>
        <v>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si="7"/>
        <v>0</v>
      </c>
      <c r="AE11" s="36">
        <f t="shared" si="8"/>
        <v>0.44722222222222219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488</v>
      </c>
      <c r="F12" s="30" t="s">
        <v>124</v>
      </c>
      <c r="G12" s="33">
        <v>1</v>
      </c>
      <c r="H12" s="35">
        <v>20</v>
      </c>
      <c r="I12" s="7">
        <v>66000</v>
      </c>
      <c r="J12" s="14">
        <v>5104</v>
      </c>
      <c r="K12" s="15">
        <f>L12+4590+5372</f>
        <v>15066</v>
      </c>
      <c r="L12" s="15">
        <f>2703+2401</f>
        <v>5104</v>
      </c>
      <c r="M12" s="15">
        <f t="shared" si="1"/>
        <v>5104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0.44722222222222219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168</v>
      </c>
      <c r="E13" s="53" t="s">
        <v>326</v>
      </c>
      <c r="F13" s="30" t="s">
        <v>495</v>
      </c>
      <c r="G13" s="33">
        <v>1</v>
      </c>
      <c r="H13" s="35">
        <v>24</v>
      </c>
      <c r="I13" s="7">
        <v>5000</v>
      </c>
      <c r="J13" s="14">
        <v>3050</v>
      </c>
      <c r="K13" s="15">
        <f>L13+2170+8649</f>
        <v>13869</v>
      </c>
      <c r="L13" s="15">
        <v>3050</v>
      </c>
      <c r="M13" s="15">
        <f t="shared" si="1"/>
        <v>3050</v>
      </c>
      <c r="N13" s="15">
        <v>0</v>
      </c>
      <c r="O13" s="58">
        <f t="shared" si="2"/>
        <v>0</v>
      </c>
      <c r="P13" s="39">
        <f t="shared" si="3"/>
        <v>11</v>
      </c>
      <c r="Q13" s="40">
        <f t="shared" si="4"/>
        <v>13</v>
      </c>
      <c r="R13" s="7"/>
      <c r="S13" s="6">
        <v>13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0.45833333333333331</v>
      </c>
      <c r="AD13" s="10">
        <f t="shared" si="7"/>
        <v>0.45833333333333331</v>
      </c>
      <c r="AE13" s="36">
        <f t="shared" si="8"/>
        <v>0.44722222222222219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422</v>
      </c>
      <c r="F14" s="30" t="s">
        <v>405</v>
      </c>
      <c r="G14" s="33">
        <v>1</v>
      </c>
      <c r="H14" s="35">
        <v>40</v>
      </c>
      <c r="I14" s="7">
        <v>500</v>
      </c>
      <c r="J14" s="5">
        <v>847</v>
      </c>
      <c r="K14" s="15">
        <f>L14+847</f>
        <v>847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0.44722222222222219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523</v>
      </c>
      <c r="D15" s="52"/>
      <c r="E15" s="53" t="s">
        <v>525</v>
      </c>
      <c r="F15" s="12" t="s">
        <v>524</v>
      </c>
      <c r="G15" s="12">
        <v>8</v>
      </c>
      <c r="H15" s="13">
        <v>24</v>
      </c>
      <c r="I15" s="31">
        <v>50000</v>
      </c>
      <c r="J15" s="14">
        <v>34008</v>
      </c>
      <c r="K15" s="15">
        <f>L15</f>
        <v>34008</v>
      </c>
      <c r="L15" s="15">
        <f>3532*8+719*8</f>
        <v>34008</v>
      </c>
      <c r="M15" s="15">
        <f t="shared" si="1"/>
        <v>34008</v>
      </c>
      <c r="N15" s="15">
        <v>0</v>
      </c>
      <c r="O15" s="58">
        <f t="shared" si="2"/>
        <v>0</v>
      </c>
      <c r="P15" s="39">
        <f t="shared" si="3"/>
        <v>19</v>
      </c>
      <c r="Q15" s="40">
        <f t="shared" si="4"/>
        <v>5</v>
      </c>
      <c r="R15" s="7"/>
      <c r="S15" s="6">
        <v>5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0.79166666666666663</v>
      </c>
      <c r="AD15" s="10">
        <f t="shared" si="7"/>
        <v>0.79166666666666663</v>
      </c>
      <c r="AE15" s="36">
        <f t="shared" si="8"/>
        <v>0.44722222222222219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286</v>
      </c>
      <c r="D16" s="52" t="s">
        <v>303</v>
      </c>
      <c r="E16" s="53" t="s">
        <v>285</v>
      </c>
      <c r="F16" s="12">
        <v>7301</v>
      </c>
      <c r="G16" s="12">
        <v>1</v>
      </c>
      <c r="H16" s="13">
        <v>24</v>
      </c>
      <c r="I16" s="7">
        <v>600</v>
      </c>
      <c r="J16" s="14">
        <v>2547</v>
      </c>
      <c r="K16" s="15">
        <f>L16+2547</f>
        <v>2547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0.44722222222222219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154</v>
      </c>
      <c r="D17" s="52"/>
      <c r="E17" s="53" t="s">
        <v>367</v>
      </c>
      <c r="F17" s="12" t="s">
        <v>368</v>
      </c>
      <c r="G17" s="12">
        <v>1</v>
      </c>
      <c r="H17" s="13">
        <v>24</v>
      </c>
      <c r="I17" s="31">
        <v>500</v>
      </c>
      <c r="J17" s="14">
        <v>709</v>
      </c>
      <c r="K17" s="15">
        <f>L17</f>
        <v>709</v>
      </c>
      <c r="L17" s="15">
        <f>709</f>
        <v>709</v>
      </c>
      <c r="M17" s="15">
        <f t="shared" si="1"/>
        <v>709</v>
      </c>
      <c r="N17" s="15">
        <v>0</v>
      </c>
      <c r="O17" s="58">
        <f t="shared" si="2"/>
        <v>0</v>
      </c>
      <c r="P17" s="39">
        <f t="shared" si="3"/>
        <v>5</v>
      </c>
      <c r="Q17" s="40">
        <f t="shared" si="4"/>
        <v>19</v>
      </c>
      <c r="R17" s="7"/>
      <c r="S17" s="6"/>
      <c r="T17" s="16"/>
      <c r="U17" s="16"/>
      <c r="V17" s="17"/>
      <c r="W17" s="5">
        <v>19</v>
      </c>
      <c r="X17" s="16"/>
      <c r="Y17" s="16"/>
      <c r="Z17" s="16"/>
      <c r="AA17" s="18"/>
      <c r="AB17" s="8">
        <f t="shared" si="5"/>
        <v>1</v>
      </c>
      <c r="AC17" s="9">
        <f t="shared" si="6"/>
        <v>0.20833333333333334</v>
      </c>
      <c r="AD17" s="10">
        <f t="shared" si="7"/>
        <v>0.20833333333333334</v>
      </c>
      <c r="AE17" s="36">
        <f t="shared" si="8"/>
        <v>0.44722222222222219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154</v>
      </c>
      <c r="D18" s="52"/>
      <c r="E18" s="53" t="s">
        <v>537</v>
      </c>
      <c r="F18" s="30" t="s">
        <v>230</v>
      </c>
      <c r="G18" s="33">
        <v>1</v>
      </c>
      <c r="H18" s="35">
        <v>24</v>
      </c>
      <c r="I18" s="7">
        <v>500</v>
      </c>
      <c r="J18" s="5">
        <v>646</v>
      </c>
      <c r="K18" s="15">
        <f>L18</f>
        <v>646</v>
      </c>
      <c r="L18" s="15">
        <v>646</v>
      </c>
      <c r="M18" s="15">
        <f t="shared" ref="M18" si="10">L18-N18</f>
        <v>646</v>
      </c>
      <c r="N18" s="15">
        <v>0</v>
      </c>
      <c r="O18" s="58">
        <f t="shared" ref="O18" si="11">IF(L18=0,"0",N18/L18)</f>
        <v>0</v>
      </c>
      <c r="P18" s="39">
        <f t="shared" ref="P18" si="12">IF(L18=0,"0",(24-Q18))</f>
        <v>5</v>
      </c>
      <c r="Q18" s="40">
        <f t="shared" ref="Q18" si="13">SUM(R18:AA18)</f>
        <v>19</v>
      </c>
      <c r="R18" s="7"/>
      <c r="S18" s="6"/>
      <c r="T18" s="16"/>
      <c r="U18" s="16"/>
      <c r="V18" s="17"/>
      <c r="W18" s="5">
        <v>19</v>
      </c>
      <c r="X18" s="16"/>
      <c r="Y18" s="16"/>
      <c r="Z18" s="16"/>
      <c r="AA18" s="18"/>
      <c r="AB18" s="8">
        <f t="shared" ref="AB18" si="14">IF(J18=0,"0",(L18/J18))</f>
        <v>1</v>
      </c>
      <c r="AC18" s="9">
        <f t="shared" ref="AC18" si="15">IF(P18=0,"0",(P18/24))</f>
        <v>0.20833333333333334</v>
      </c>
      <c r="AD18" s="10">
        <f>AC18*AB18*(1-O18)</f>
        <v>0.20833333333333334</v>
      </c>
      <c r="AE18" s="36">
        <f t="shared" si="8"/>
        <v>0.44722222222222219</v>
      </c>
      <c r="AF18" s="87">
        <f t="shared" ref="AF18" si="16">A18</f>
        <v>13</v>
      </c>
    </row>
    <row r="19" spans="1:32" ht="27" customHeight="1">
      <c r="A19" s="103">
        <v>13</v>
      </c>
      <c r="B19" s="11" t="s">
        <v>57</v>
      </c>
      <c r="C19" s="34" t="s">
        <v>126</v>
      </c>
      <c r="D19" s="52" t="s">
        <v>157</v>
      </c>
      <c r="E19" s="53" t="s">
        <v>504</v>
      </c>
      <c r="F19" s="30" t="s">
        <v>162</v>
      </c>
      <c r="G19" s="33">
        <v>1</v>
      </c>
      <c r="H19" s="35">
        <v>24</v>
      </c>
      <c r="I19" s="7">
        <v>15000</v>
      </c>
      <c r="J19" s="5">
        <v>3168</v>
      </c>
      <c r="K19" s="15">
        <f>L19</f>
        <v>3168</v>
      </c>
      <c r="L19" s="15">
        <f>3168</f>
        <v>3168</v>
      </c>
      <c r="M19" s="15">
        <f t="shared" si="1"/>
        <v>3168</v>
      </c>
      <c r="N19" s="15">
        <v>0</v>
      </c>
      <c r="O19" s="58">
        <f t="shared" si="2"/>
        <v>0</v>
      </c>
      <c r="P19" s="39">
        <f t="shared" si="3"/>
        <v>15</v>
      </c>
      <c r="Q19" s="40">
        <f t="shared" si="4"/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0.625</v>
      </c>
      <c r="AD19" s="10">
        <f>AC19*AB19*(1-O19)</f>
        <v>0.625</v>
      </c>
      <c r="AE19" s="36">
        <f t="shared" si="8"/>
        <v>0.44722222222222219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126</v>
      </c>
      <c r="D20" s="52" t="s">
        <v>117</v>
      </c>
      <c r="E20" s="53" t="s">
        <v>240</v>
      </c>
      <c r="F20" s="30" t="s">
        <v>122</v>
      </c>
      <c r="G20" s="33">
        <v>1</v>
      </c>
      <c r="H20" s="35">
        <v>24</v>
      </c>
      <c r="I20" s="7">
        <v>15000</v>
      </c>
      <c r="J20" s="5">
        <v>3509</v>
      </c>
      <c r="K20" s="15">
        <f>L20+5013</f>
        <v>8522</v>
      </c>
      <c r="L20" s="15">
        <f>2484+1025</f>
        <v>3509</v>
      </c>
      <c r="M20" s="15">
        <f t="shared" si="1"/>
        <v>3509</v>
      </c>
      <c r="N20" s="15">
        <v>0</v>
      </c>
      <c r="O20" s="58">
        <f t="shared" si="2"/>
        <v>0</v>
      </c>
      <c r="P20" s="39">
        <f t="shared" si="3"/>
        <v>19</v>
      </c>
      <c r="Q20" s="40">
        <f t="shared" si="4"/>
        <v>5</v>
      </c>
      <c r="R20" s="7"/>
      <c r="S20" s="6">
        <v>5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0.79166666666666663</v>
      </c>
      <c r="AD20" s="10">
        <f t="shared" ref="AD20" si="17">AC20*AB20*(1-O20)</f>
        <v>0.79166666666666663</v>
      </c>
      <c r="AE20" s="36">
        <f t="shared" si="8"/>
        <v>0.44722222222222219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359</v>
      </c>
      <c r="F21" s="12" t="s">
        <v>116</v>
      </c>
      <c r="G21" s="12">
        <v>4</v>
      </c>
      <c r="H21" s="35">
        <v>20</v>
      </c>
      <c r="I21" s="7">
        <v>300000</v>
      </c>
      <c r="J21" s="14">
        <v>4420</v>
      </c>
      <c r="K21" s="15">
        <f>L21+38252+40960+86480+92928+4420</f>
        <v>263040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0.44722222222222219</v>
      </c>
      <c r="AF21" s="87">
        <f t="shared" si="9"/>
        <v>15</v>
      </c>
    </row>
    <row r="22" spans="1:32" ht="31.5" customHeight="1" thickBot="1">
      <c r="A22" s="467" t="s">
        <v>34</v>
      </c>
      <c r="B22" s="468"/>
      <c r="C22" s="468"/>
      <c r="D22" s="468"/>
      <c r="E22" s="468"/>
      <c r="F22" s="468"/>
      <c r="G22" s="468"/>
      <c r="H22" s="469"/>
      <c r="I22" s="22">
        <f t="shared" ref="I22:N22" si="18">SUM(I6:I21)</f>
        <v>559600</v>
      </c>
      <c r="J22" s="19">
        <f t="shared" si="18"/>
        <v>72359</v>
      </c>
      <c r="K22" s="20">
        <f t="shared" si="18"/>
        <v>375579</v>
      </c>
      <c r="L22" s="21">
        <f t="shared" si="18"/>
        <v>64193</v>
      </c>
      <c r="M22" s="20">
        <f t="shared" si="18"/>
        <v>64193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161</v>
      </c>
      <c r="Q22" s="43">
        <f t="shared" si="19"/>
        <v>223</v>
      </c>
      <c r="R22" s="23">
        <f t="shared" si="19"/>
        <v>30</v>
      </c>
      <c r="S22" s="24">
        <f t="shared" si="19"/>
        <v>83</v>
      </c>
      <c r="T22" s="24">
        <f t="shared" si="19"/>
        <v>0</v>
      </c>
      <c r="U22" s="24">
        <f t="shared" si="19"/>
        <v>0</v>
      </c>
      <c r="V22" s="25">
        <f t="shared" si="19"/>
        <v>0</v>
      </c>
      <c r="W22" s="26">
        <f t="shared" si="19"/>
        <v>110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0</v>
      </c>
      <c r="AB22" s="28">
        <f>SUM(AB6:AB21)/15</f>
        <v>0.66666666666666663</v>
      </c>
      <c r="AC22" s="4">
        <f>SUM(AC6:AC21)/15</f>
        <v>0.44722222222222219</v>
      </c>
      <c r="AD22" s="4">
        <f>SUM(AD6:AD21)/15</f>
        <v>0.44722222222222219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70" t="s">
        <v>45</v>
      </c>
      <c r="B49" s="470"/>
      <c r="C49" s="470"/>
      <c r="D49" s="470"/>
      <c r="E49" s="470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71" t="s">
        <v>538</v>
      </c>
      <c r="B50" s="472"/>
      <c r="C50" s="472"/>
      <c r="D50" s="472"/>
      <c r="E50" s="472"/>
      <c r="F50" s="472"/>
      <c r="G50" s="472"/>
      <c r="H50" s="472"/>
      <c r="I50" s="472"/>
      <c r="J50" s="472"/>
      <c r="K50" s="472"/>
      <c r="L50" s="472"/>
      <c r="M50" s="473"/>
      <c r="N50" s="474" t="s">
        <v>540</v>
      </c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6"/>
    </row>
    <row r="51" spans="1:32" ht="27" customHeight="1">
      <c r="A51" s="477" t="s">
        <v>2</v>
      </c>
      <c r="B51" s="478"/>
      <c r="C51" s="353" t="s">
        <v>46</v>
      </c>
      <c r="D51" s="353" t="s">
        <v>47</v>
      </c>
      <c r="E51" s="353" t="s">
        <v>108</v>
      </c>
      <c r="F51" s="478" t="s">
        <v>107</v>
      </c>
      <c r="G51" s="478"/>
      <c r="H51" s="478"/>
      <c r="I51" s="478"/>
      <c r="J51" s="478"/>
      <c r="K51" s="478"/>
      <c r="L51" s="478"/>
      <c r="M51" s="479"/>
      <c r="N51" s="67" t="s">
        <v>112</v>
      </c>
      <c r="O51" s="353" t="s">
        <v>46</v>
      </c>
      <c r="P51" s="480" t="s">
        <v>47</v>
      </c>
      <c r="Q51" s="481"/>
      <c r="R51" s="480" t="s">
        <v>38</v>
      </c>
      <c r="S51" s="482"/>
      <c r="T51" s="482"/>
      <c r="U51" s="481"/>
      <c r="V51" s="480" t="s">
        <v>48</v>
      </c>
      <c r="W51" s="482"/>
      <c r="X51" s="482"/>
      <c r="Y51" s="482"/>
      <c r="Z51" s="482"/>
      <c r="AA51" s="482"/>
      <c r="AB51" s="482"/>
      <c r="AC51" s="482"/>
      <c r="AD51" s="483"/>
    </row>
    <row r="52" spans="1:32" ht="27" customHeight="1">
      <c r="A52" s="451" t="s">
        <v>126</v>
      </c>
      <c r="B52" s="452"/>
      <c r="C52" s="350" t="s">
        <v>135</v>
      </c>
      <c r="D52" s="350" t="s">
        <v>157</v>
      </c>
      <c r="E52" s="350" t="s">
        <v>161</v>
      </c>
      <c r="F52" s="453" t="s">
        <v>539</v>
      </c>
      <c r="G52" s="454"/>
      <c r="H52" s="454"/>
      <c r="I52" s="454"/>
      <c r="J52" s="454"/>
      <c r="K52" s="454"/>
      <c r="L52" s="454"/>
      <c r="M52" s="455"/>
      <c r="N52" s="349" t="s">
        <v>351</v>
      </c>
      <c r="O52" s="347" t="s">
        <v>287</v>
      </c>
      <c r="P52" s="463" t="s">
        <v>542</v>
      </c>
      <c r="Q52" s="464"/>
      <c r="R52" s="452" t="s">
        <v>543</v>
      </c>
      <c r="S52" s="452"/>
      <c r="T52" s="452"/>
      <c r="U52" s="452"/>
      <c r="V52" s="442" t="s">
        <v>121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295</v>
      </c>
      <c r="B53" s="452"/>
      <c r="C53" s="350" t="s">
        <v>221</v>
      </c>
      <c r="D53" s="350" t="s">
        <v>117</v>
      </c>
      <c r="E53" s="350" t="s">
        <v>497</v>
      </c>
      <c r="F53" s="453" t="s">
        <v>528</v>
      </c>
      <c r="G53" s="454"/>
      <c r="H53" s="454"/>
      <c r="I53" s="454"/>
      <c r="J53" s="454"/>
      <c r="K53" s="454"/>
      <c r="L53" s="454"/>
      <c r="M53" s="455"/>
      <c r="N53" s="349" t="s">
        <v>339</v>
      </c>
      <c r="O53" s="347" t="s">
        <v>182</v>
      </c>
      <c r="P53" s="463"/>
      <c r="Q53" s="464"/>
      <c r="R53" s="452" t="s">
        <v>428</v>
      </c>
      <c r="S53" s="452"/>
      <c r="T53" s="452"/>
      <c r="U53" s="452"/>
      <c r="V53" s="442" t="s">
        <v>121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126</v>
      </c>
      <c r="B54" s="452"/>
      <c r="C54" s="350" t="s">
        <v>138</v>
      </c>
      <c r="D54" s="350" t="s">
        <v>117</v>
      </c>
      <c r="E54" s="350" t="s">
        <v>240</v>
      </c>
      <c r="F54" s="453" t="s">
        <v>387</v>
      </c>
      <c r="G54" s="454"/>
      <c r="H54" s="454"/>
      <c r="I54" s="454"/>
      <c r="J54" s="454"/>
      <c r="K54" s="454"/>
      <c r="L54" s="454"/>
      <c r="M54" s="455"/>
      <c r="N54" s="349"/>
      <c r="O54" s="347"/>
      <c r="P54" s="463"/>
      <c r="Q54" s="464"/>
      <c r="R54" s="452"/>
      <c r="S54" s="452"/>
      <c r="T54" s="452"/>
      <c r="U54" s="452"/>
      <c r="V54" s="442"/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126</v>
      </c>
      <c r="B55" s="452"/>
      <c r="C55" s="350" t="s">
        <v>188</v>
      </c>
      <c r="D55" s="350" t="s">
        <v>123</v>
      </c>
      <c r="E55" s="350" t="s">
        <v>187</v>
      </c>
      <c r="F55" s="453" t="s">
        <v>121</v>
      </c>
      <c r="G55" s="454"/>
      <c r="H55" s="454"/>
      <c r="I55" s="454"/>
      <c r="J55" s="454"/>
      <c r="K55" s="454"/>
      <c r="L55" s="454"/>
      <c r="M55" s="455"/>
      <c r="N55" s="349"/>
      <c r="O55" s="347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523</v>
      </c>
      <c r="B56" s="452"/>
      <c r="C56" s="350" t="s">
        <v>150</v>
      </c>
      <c r="D56" s="350"/>
      <c r="E56" s="350" t="s">
        <v>525</v>
      </c>
      <c r="F56" s="453" t="s">
        <v>137</v>
      </c>
      <c r="G56" s="454"/>
      <c r="H56" s="454"/>
      <c r="I56" s="454"/>
      <c r="J56" s="454"/>
      <c r="K56" s="454"/>
      <c r="L56" s="454"/>
      <c r="M56" s="455"/>
      <c r="N56" s="349"/>
      <c r="O56" s="347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154</v>
      </c>
      <c r="B57" s="452"/>
      <c r="C57" s="350" t="s">
        <v>263</v>
      </c>
      <c r="D57" s="350"/>
      <c r="E57" s="350" t="s">
        <v>367</v>
      </c>
      <c r="F57" s="453" t="s">
        <v>121</v>
      </c>
      <c r="G57" s="454"/>
      <c r="H57" s="454"/>
      <c r="I57" s="454"/>
      <c r="J57" s="454"/>
      <c r="K57" s="454"/>
      <c r="L57" s="454"/>
      <c r="M57" s="455"/>
      <c r="N57" s="349"/>
      <c r="O57" s="347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 t="s">
        <v>154</v>
      </c>
      <c r="B58" s="452"/>
      <c r="C58" s="350" t="s">
        <v>136</v>
      </c>
      <c r="D58" s="350"/>
      <c r="E58" s="350" t="s">
        <v>537</v>
      </c>
      <c r="F58" s="453" t="s">
        <v>121</v>
      </c>
      <c r="G58" s="454"/>
      <c r="H58" s="454"/>
      <c r="I58" s="454"/>
      <c r="J58" s="454"/>
      <c r="K58" s="454"/>
      <c r="L58" s="454"/>
      <c r="M58" s="455"/>
      <c r="N58" s="349"/>
      <c r="O58" s="347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 t="s">
        <v>126</v>
      </c>
      <c r="B59" s="452"/>
      <c r="C59" s="350" t="s">
        <v>136</v>
      </c>
      <c r="D59" s="350" t="s">
        <v>157</v>
      </c>
      <c r="E59" s="350" t="s">
        <v>504</v>
      </c>
      <c r="F59" s="453" t="s">
        <v>541</v>
      </c>
      <c r="G59" s="454"/>
      <c r="H59" s="454"/>
      <c r="I59" s="454"/>
      <c r="J59" s="454"/>
      <c r="K59" s="454"/>
      <c r="L59" s="454"/>
      <c r="M59" s="455"/>
      <c r="N59" s="349"/>
      <c r="O59" s="347"/>
      <c r="P59" s="463"/>
      <c r="Q59" s="464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</row>
    <row r="60" spans="1:32" ht="27" customHeight="1">
      <c r="A60" s="451"/>
      <c r="B60" s="452"/>
      <c r="C60" s="350"/>
      <c r="D60" s="350"/>
      <c r="E60" s="350"/>
      <c r="F60" s="453"/>
      <c r="G60" s="454"/>
      <c r="H60" s="454"/>
      <c r="I60" s="454"/>
      <c r="J60" s="454"/>
      <c r="K60" s="454"/>
      <c r="L60" s="454"/>
      <c r="M60" s="455"/>
      <c r="N60" s="349"/>
      <c r="O60" s="347"/>
      <c r="P60" s="452"/>
      <c r="Q60" s="452"/>
      <c r="R60" s="452"/>
      <c r="S60" s="452"/>
      <c r="T60" s="452"/>
      <c r="U60" s="452"/>
      <c r="V60" s="442"/>
      <c r="W60" s="442"/>
      <c r="X60" s="442"/>
      <c r="Y60" s="442"/>
      <c r="Z60" s="442"/>
      <c r="AA60" s="442"/>
      <c r="AB60" s="442"/>
      <c r="AC60" s="442"/>
      <c r="AD60" s="456"/>
      <c r="AF60" s="87">
        <f>8*3000</f>
        <v>24000</v>
      </c>
    </row>
    <row r="61" spans="1:32" ht="27" customHeight="1" thickBot="1">
      <c r="A61" s="506"/>
      <c r="B61" s="507"/>
      <c r="C61" s="352"/>
      <c r="D61" s="352"/>
      <c r="E61" s="352"/>
      <c r="F61" s="508"/>
      <c r="G61" s="509"/>
      <c r="H61" s="509"/>
      <c r="I61" s="509"/>
      <c r="J61" s="509"/>
      <c r="K61" s="509"/>
      <c r="L61" s="509"/>
      <c r="M61" s="510"/>
      <c r="N61" s="351"/>
      <c r="O61" s="114"/>
      <c r="P61" s="458"/>
      <c r="Q61" s="458"/>
      <c r="R61" s="458"/>
      <c r="S61" s="458"/>
      <c r="T61" s="458"/>
      <c r="U61" s="458"/>
      <c r="V61" s="461"/>
      <c r="W61" s="461"/>
      <c r="X61" s="461"/>
      <c r="Y61" s="461"/>
      <c r="Z61" s="461"/>
      <c r="AA61" s="461"/>
      <c r="AB61" s="461"/>
      <c r="AC61" s="461"/>
      <c r="AD61" s="462"/>
      <c r="AF61" s="87">
        <f>16*3000</f>
        <v>48000</v>
      </c>
    </row>
    <row r="62" spans="1:32" ht="27.75" thickBot="1">
      <c r="A62" s="449" t="s">
        <v>544</v>
      </c>
      <c r="B62" s="449"/>
      <c r="C62" s="449"/>
      <c r="D62" s="449"/>
      <c r="E62" s="449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50" t="s">
        <v>113</v>
      </c>
      <c r="B63" s="447"/>
      <c r="C63" s="348" t="s">
        <v>2</v>
      </c>
      <c r="D63" s="348" t="s">
        <v>37</v>
      </c>
      <c r="E63" s="348" t="s">
        <v>3</v>
      </c>
      <c r="F63" s="447" t="s">
        <v>110</v>
      </c>
      <c r="G63" s="447"/>
      <c r="H63" s="447"/>
      <c r="I63" s="447"/>
      <c r="J63" s="447"/>
      <c r="K63" s="447" t="s">
        <v>39</v>
      </c>
      <c r="L63" s="447"/>
      <c r="M63" s="348" t="s">
        <v>40</v>
      </c>
      <c r="N63" s="447" t="s">
        <v>41</v>
      </c>
      <c r="O63" s="447"/>
      <c r="P63" s="444" t="s">
        <v>42</v>
      </c>
      <c r="Q63" s="446"/>
      <c r="R63" s="444" t="s">
        <v>43</v>
      </c>
      <c r="S63" s="445"/>
      <c r="T63" s="445"/>
      <c r="U63" s="445"/>
      <c r="V63" s="445"/>
      <c r="W63" s="445"/>
      <c r="X63" s="445"/>
      <c r="Y63" s="445"/>
      <c r="Z63" s="445"/>
      <c r="AA63" s="446"/>
      <c r="AB63" s="447" t="s">
        <v>44</v>
      </c>
      <c r="AC63" s="447"/>
      <c r="AD63" s="448"/>
      <c r="AF63" s="87">
        <f>SUM(AF60:AF62)</f>
        <v>96000</v>
      </c>
    </row>
    <row r="64" spans="1:32" ht="25.5" customHeight="1">
      <c r="A64" s="438">
        <v>1</v>
      </c>
      <c r="B64" s="439"/>
      <c r="C64" s="117" t="s">
        <v>114</v>
      </c>
      <c r="D64" s="343"/>
      <c r="E64" s="346" t="s">
        <v>117</v>
      </c>
      <c r="F64" s="440" t="s">
        <v>395</v>
      </c>
      <c r="G64" s="432"/>
      <c r="H64" s="432"/>
      <c r="I64" s="432"/>
      <c r="J64" s="432"/>
      <c r="K64" s="432" t="s">
        <v>162</v>
      </c>
      <c r="L64" s="432"/>
      <c r="M64" s="51" t="s">
        <v>293</v>
      </c>
      <c r="N64" s="443" t="s">
        <v>226</v>
      </c>
      <c r="O64" s="443"/>
      <c r="P64" s="441">
        <v>20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2</v>
      </c>
      <c r="B65" s="439"/>
      <c r="C65" s="117" t="s">
        <v>114</v>
      </c>
      <c r="D65" s="343"/>
      <c r="E65" s="346" t="s">
        <v>117</v>
      </c>
      <c r="F65" s="440" t="s">
        <v>545</v>
      </c>
      <c r="G65" s="432"/>
      <c r="H65" s="432"/>
      <c r="I65" s="432"/>
      <c r="J65" s="432"/>
      <c r="K65" s="432" t="s">
        <v>162</v>
      </c>
      <c r="L65" s="432"/>
      <c r="M65" s="51" t="s">
        <v>293</v>
      </c>
      <c r="N65" s="443" t="s">
        <v>226</v>
      </c>
      <c r="O65" s="443"/>
      <c r="P65" s="441">
        <v>20</v>
      </c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3</v>
      </c>
      <c r="B66" s="439"/>
      <c r="C66" s="117"/>
      <c r="D66" s="343"/>
      <c r="E66" s="346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4</v>
      </c>
      <c r="B67" s="439"/>
      <c r="C67" s="117"/>
      <c r="D67" s="343"/>
      <c r="E67" s="346"/>
      <c r="F67" s="440"/>
      <c r="G67" s="432"/>
      <c r="H67" s="432"/>
      <c r="I67" s="432"/>
      <c r="J67" s="432"/>
      <c r="K67" s="432"/>
      <c r="L67" s="432"/>
      <c r="M67" s="51"/>
      <c r="N67" s="443"/>
      <c r="O67" s="443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5</v>
      </c>
      <c r="B68" s="439"/>
      <c r="C68" s="117"/>
      <c r="D68" s="343"/>
      <c r="E68" s="346"/>
      <c r="F68" s="440"/>
      <c r="G68" s="432"/>
      <c r="H68" s="432"/>
      <c r="I68" s="432"/>
      <c r="J68" s="432"/>
      <c r="K68" s="432"/>
      <c r="L68" s="432"/>
      <c r="M68" s="51"/>
      <c r="N68" s="443"/>
      <c r="O68" s="443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6</v>
      </c>
      <c r="B69" s="439"/>
      <c r="C69" s="117"/>
      <c r="D69" s="343"/>
      <c r="E69" s="346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7</v>
      </c>
      <c r="B70" s="439"/>
      <c r="C70" s="117"/>
      <c r="D70" s="343"/>
      <c r="E70" s="346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5.5" customHeight="1">
      <c r="A71" s="438">
        <v>8</v>
      </c>
      <c r="B71" s="439"/>
      <c r="C71" s="117"/>
      <c r="D71" s="343"/>
      <c r="E71" s="346"/>
      <c r="F71" s="440"/>
      <c r="G71" s="432"/>
      <c r="H71" s="432"/>
      <c r="I71" s="432"/>
      <c r="J71" s="432"/>
      <c r="K71" s="432"/>
      <c r="L71" s="432"/>
      <c r="M71" s="51"/>
      <c r="N71" s="432"/>
      <c r="O71" s="432"/>
      <c r="P71" s="441"/>
      <c r="Q71" s="441"/>
      <c r="R71" s="442"/>
      <c r="S71" s="442"/>
      <c r="T71" s="442"/>
      <c r="U71" s="442"/>
      <c r="V71" s="442"/>
      <c r="W71" s="442"/>
      <c r="X71" s="442"/>
      <c r="Y71" s="442"/>
      <c r="Z71" s="442"/>
      <c r="AA71" s="442"/>
      <c r="AB71" s="432"/>
      <c r="AC71" s="432"/>
      <c r="AD71" s="433"/>
      <c r="AF71" s="50"/>
    </row>
    <row r="72" spans="1:32" ht="26.25" customHeight="1" thickBot="1">
      <c r="A72" s="412" t="s">
        <v>546</v>
      </c>
      <c r="B72" s="412"/>
      <c r="C72" s="412"/>
      <c r="D72" s="412"/>
      <c r="E72" s="412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13" t="s">
        <v>113</v>
      </c>
      <c r="B73" s="414"/>
      <c r="C73" s="345" t="s">
        <v>2</v>
      </c>
      <c r="D73" s="345" t="s">
        <v>37</v>
      </c>
      <c r="E73" s="345" t="s">
        <v>3</v>
      </c>
      <c r="F73" s="414" t="s">
        <v>38</v>
      </c>
      <c r="G73" s="414"/>
      <c r="H73" s="414"/>
      <c r="I73" s="414"/>
      <c r="J73" s="414"/>
      <c r="K73" s="434" t="s">
        <v>58</v>
      </c>
      <c r="L73" s="435"/>
      <c r="M73" s="435"/>
      <c r="N73" s="435"/>
      <c r="O73" s="435"/>
      <c r="P73" s="435"/>
      <c r="Q73" s="435"/>
      <c r="R73" s="435"/>
      <c r="S73" s="436"/>
      <c r="T73" s="414" t="s">
        <v>49</v>
      </c>
      <c r="U73" s="414"/>
      <c r="V73" s="434" t="s">
        <v>50</v>
      </c>
      <c r="W73" s="436"/>
      <c r="X73" s="435" t="s">
        <v>51</v>
      </c>
      <c r="Y73" s="435"/>
      <c r="Z73" s="435"/>
      <c r="AA73" s="435"/>
      <c r="AB73" s="435"/>
      <c r="AC73" s="435"/>
      <c r="AD73" s="437"/>
      <c r="AF73" s="50"/>
    </row>
    <row r="74" spans="1:32" ht="33.75" customHeight="1">
      <c r="A74" s="406">
        <v>1</v>
      </c>
      <c r="B74" s="407"/>
      <c r="C74" s="344" t="s">
        <v>114</v>
      </c>
      <c r="D74" s="344"/>
      <c r="E74" s="65" t="s">
        <v>119</v>
      </c>
      <c r="F74" s="421" t="s">
        <v>118</v>
      </c>
      <c r="G74" s="422"/>
      <c r="H74" s="422"/>
      <c r="I74" s="422"/>
      <c r="J74" s="423"/>
      <c r="K74" s="424" t="s">
        <v>120</v>
      </c>
      <c r="L74" s="425"/>
      <c r="M74" s="425"/>
      <c r="N74" s="425"/>
      <c r="O74" s="425"/>
      <c r="P74" s="425"/>
      <c r="Q74" s="425"/>
      <c r="R74" s="425"/>
      <c r="S74" s="426"/>
      <c r="T74" s="427">
        <v>43384</v>
      </c>
      <c r="U74" s="428"/>
      <c r="V74" s="429"/>
      <c r="W74" s="429"/>
      <c r="X74" s="430"/>
      <c r="Y74" s="430"/>
      <c r="Z74" s="430"/>
      <c r="AA74" s="430"/>
      <c r="AB74" s="430"/>
      <c r="AC74" s="430"/>
      <c r="AD74" s="431"/>
      <c r="AF74" s="50"/>
    </row>
    <row r="75" spans="1:32" ht="30" customHeight="1">
      <c r="A75" s="399">
        <f>A74+1</f>
        <v>2</v>
      </c>
      <c r="B75" s="400"/>
      <c r="C75" s="343"/>
      <c r="D75" s="343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ref="A76:A82" si="20">A75+1</f>
        <v>3</v>
      </c>
      <c r="B76" s="400"/>
      <c r="C76" s="343"/>
      <c r="D76" s="343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20"/>
        <v>4</v>
      </c>
      <c r="B77" s="400"/>
      <c r="C77" s="343"/>
      <c r="D77" s="343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20"/>
        <v>5</v>
      </c>
      <c r="B78" s="400"/>
      <c r="C78" s="343"/>
      <c r="D78" s="343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20"/>
        <v>6</v>
      </c>
      <c r="B79" s="400"/>
      <c r="C79" s="343"/>
      <c r="D79" s="343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20"/>
        <v>7</v>
      </c>
      <c r="B80" s="400"/>
      <c r="C80" s="343"/>
      <c r="D80" s="343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20"/>
        <v>8</v>
      </c>
      <c r="B81" s="400"/>
      <c r="C81" s="343"/>
      <c r="D81" s="343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0" customHeight="1">
      <c r="A82" s="399">
        <f t="shared" si="20"/>
        <v>9</v>
      </c>
      <c r="B82" s="400"/>
      <c r="C82" s="343"/>
      <c r="D82" s="343"/>
      <c r="E82" s="32"/>
      <c r="F82" s="400"/>
      <c r="G82" s="400"/>
      <c r="H82" s="400"/>
      <c r="I82" s="400"/>
      <c r="J82" s="400"/>
      <c r="K82" s="415"/>
      <c r="L82" s="416"/>
      <c r="M82" s="416"/>
      <c r="N82" s="416"/>
      <c r="O82" s="416"/>
      <c r="P82" s="416"/>
      <c r="Q82" s="416"/>
      <c r="R82" s="416"/>
      <c r="S82" s="417"/>
      <c r="T82" s="418"/>
      <c r="U82" s="418"/>
      <c r="V82" s="418"/>
      <c r="W82" s="418"/>
      <c r="X82" s="419"/>
      <c r="Y82" s="419"/>
      <c r="Z82" s="419"/>
      <c r="AA82" s="419"/>
      <c r="AB82" s="419"/>
      <c r="AC82" s="419"/>
      <c r="AD82" s="420"/>
      <c r="AF82" s="50"/>
    </row>
    <row r="83" spans="1:32" ht="36" thickBot="1">
      <c r="A83" s="412" t="s">
        <v>547</v>
      </c>
      <c r="B83" s="412"/>
      <c r="C83" s="412"/>
      <c r="D83" s="412"/>
      <c r="E83" s="412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13" t="s">
        <v>113</v>
      </c>
      <c r="B84" s="414"/>
      <c r="C84" s="404" t="s">
        <v>52</v>
      </c>
      <c r="D84" s="404"/>
      <c r="E84" s="404" t="s">
        <v>53</v>
      </c>
      <c r="F84" s="404"/>
      <c r="G84" s="404"/>
      <c r="H84" s="404"/>
      <c r="I84" s="404"/>
      <c r="J84" s="404"/>
      <c r="K84" s="404" t="s">
        <v>54</v>
      </c>
      <c r="L84" s="404"/>
      <c r="M84" s="404"/>
      <c r="N84" s="404"/>
      <c r="O84" s="404"/>
      <c r="P84" s="404"/>
      <c r="Q84" s="404"/>
      <c r="R84" s="404"/>
      <c r="S84" s="404"/>
      <c r="T84" s="404" t="s">
        <v>55</v>
      </c>
      <c r="U84" s="404"/>
      <c r="V84" s="404" t="s">
        <v>56</v>
      </c>
      <c r="W84" s="404"/>
      <c r="X84" s="404"/>
      <c r="Y84" s="404" t="s">
        <v>51</v>
      </c>
      <c r="Z84" s="404"/>
      <c r="AA84" s="404"/>
      <c r="AB84" s="404"/>
      <c r="AC84" s="404"/>
      <c r="AD84" s="405"/>
      <c r="AF84" s="50"/>
    </row>
    <row r="85" spans="1:32" ht="30.75" customHeight="1">
      <c r="A85" s="406">
        <v>1</v>
      </c>
      <c r="B85" s="407"/>
      <c r="C85" s="408"/>
      <c r="D85" s="408"/>
      <c r="E85" s="408"/>
      <c r="F85" s="408"/>
      <c r="G85" s="408"/>
      <c r="H85" s="408"/>
      <c r="I85" s="408"/>
      <c r="J85" s="408"/>
      <c r="K85" s="408"/>
      <c r="L85" s="408"/>
      <c r="M85" s="408"/>
      <c r="N85" s="408"/>
      <c r="O85" s="408"/>
      <c r="P85" s="408"/>
      <c r="Q85" s="408"/>
      <c r="R85" s="408"/>
      <c r="S85" s="408"/>
      <c r="T85" s="408"/>
      <c r="U85" s="408"/>
      <c r="V85" s="409"/>
      <c r="W85" s="409"/>
      <c r="X85" s="409"/>
      <c r="Y85" s="410"/>
      <c r="Z85" s="410"/>
      <c r="AA85" s="410"/>
      <c r="AB85" s="410"/>
      <c r="AC85" s="410"/>
      <c r="AD85" s="411"/>
      <c r="AF85" s="50"/>
    </row>
    <row r="86" spans="1:32" ht="30.75" customHeight="1">
      <c r="A86" s="399">
        <v>2</v>
      </c>
      <c r="B86" s="400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  <c r="Q86" s="401"/>
      <c r="R86" s="401"/>
      <c r="S86" s="401"/>
      <c r="T86" s="402"/>
      <c r="U86" s="402"/>
      <c r="V86" s="403"/>
      <c r="W86" s="403"/>
      <c r="X86" s="403"/>
      <c r="Y86" s="392"/>
      <c r="Z86" s="392"/>
      <c r="AA86" s="392"/>
      <c r="AB86" s="392"/>
      <c r="AC86" s="392"/>
      <c r="AD86" s="393"/>
      <c r="AF86" s="50"/>
    </row>
    <row r="87" spans="1:32" ht="30.75" customHeight="1" thickBot="1">
      <c r="A87" s="394">
        <v>3</v>
      </c>
      <c r="B87" s="395"/>
      <c r="C87" s="396"/>
      <c r="D87" s="396"/>
      <c r="E87" s="396"/>
      <c r="F87" s="396"/>
      <c r="G87" s="396"/>
      <c r="H87" s="396"/>
      <c r="I87" s="396"/>
      <c r="J87" s="396"/>
      <c r="K87" s="396"/>
      <c r="L87" s="396"/>
      <c r="M87" s="396"/>
      <c r="N87" s="396"/>
      <c r="O87" s="396"/>
      <c r="P87" s="396"/>
      <c r="Q87" s="396"/>
      <c r="R87" s="396"/>
      <c r="S87" s="396"/>
      <c r="T87" s="396"/>
      <c r="U87" s="396"/>
      <c r="V87" s="396"/>
      <c r="W87" s="396"/>
      <c r="X87" s="396"/>
      <c r="Y87" s="397"/>
      <c r="Z87" s="397"/>
      <c r="AA87" s="397"/>
      <c r="AB87" s="397"/>
      <c r="AC87" s="397"/>
      <c r="AD87" s="398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8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A22B-F48E-4D30-92EA-4DF23502803D}">
  <sheetPr>
    <pageSetUpPr fitToPage="1"/>
  </sheetPr>
  <dimension ref="A1:AF86"/>
  <sheetViews>
    <sheetView zoomScale="72" zoomScaleNormal="72" zoomScaleSheetLayoutView="70" workbookViewId="0">
      <selection activeCell="K69" sqref="K69:L69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548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355" t="s">
        <v>17</v>
      </c>
      <c r="L5" s="355" t="s">
        <v>18</v>
      </c>
      <c r="M5" s="355" t="s">
        <v>19</v>
      </c>
      <c r="N5" s="35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0.52777777777777779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0.52777777777777779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20000</v>
      </c>
      <c r="J8" s="14">
        <v>6014</v>
      </c>
      <c r="K8" s="15">
        <f>L8+3627</f>
        <v>9641</v>
      </c>
      <c r="L8" s="15">
        <f>3158+2856</f>
        <v>6014</v>
      </c>
      <c r="M8" s="15">
        <f t="shared" si="1"/>
        <v>6014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0.52777777777777779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20000</v>
      </c>
      <c r="J9" s="14">
        <v>2828</v>
      </c>
      <c r="K9" s="15">
        <f>L9+1749+4518</f>
        <v>9095</v>
      </c>
      <c r="L9" s="15">
        <f>2828</f>
        <v>2828</v>
      </c>
      <c r="M9" s="15">
        <f t="shared" si="1"/>
        <v>2828</v>
      </c>
      <c r="N9" s="15">
        <v>0</v>
      </c>
      <c r="O9" s="58">
        <f t="shared" si="2"/>
        <v>0</v>
      </c>
      <c r="P9" s="39">
        <f t="shared" si="3"/>
        <v>12</v>
      </c>
      <c r="Q9" s="40">
        <f t="shared" si="4"/>
        <v>12</v>
      </c>
      <c r="R9" s="7"/>
      <c r="S9" s="6">
        <v>12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</v>
      </c>
      <c r="AD9" s="10">
        <f t="shared" si="7"/>
        <v>0.5</v>
      </c>
      <c r="AE9" s="36">
        <f t="shared" si="8"/>
        <v>0.52777777777777779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123</v>
      </c>
      <c r="E10" s="53" t="s">
        <v>473</v>
      </c>
      <c r="F10" s="30" t="s">
        <v>124</v>
      </c>
      <c r="G10" s="33">
        <v>1</v>
      </c>
      <c r="H10" s="35">
        <v>24</v>
      </c>
      <c r="I10" s="7">
        <v>66000</v>
      </c>
      <c r="J10" s="5">
        <v>5578</v>
      </c>
      <c r="K10" s="15">
        <f>L10+5412+6211+5786+5854</f>
        <v>28841</v>
      </c>
      <c r="L10" s="15">
        <f>2864+2714</f>
        <v>5578</v>
      </c>
      <c r="M10" s="15">
        <f t="shared" si="1"/>
        <v>5578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0.52777777777777779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126</v>
      </c>
      <c r="D11" s="52" t="s">
        <v>222</v>
      </c>
      <c r="E11" s="53" t="s">
        <v>549</v>
      </c>
      <c r="F11" s="30" t="s">
        <v>239</v>
      </c>
      <c r="G11" s="33">
        <v>16</v>
      </c>
      <c r="H11" s="35">
        <v>20</v>
      </c>
      <c r="I11" s="7">
        <v>40000</v>
      </c>
      <c r="J11" s="14">
        <v>16386</v>
      </c>
      <c r="K11" s="15">
        <f>L11</f>
        <v>16386</v>
      </c>
      <c r="L11" s="15">
        <f>2731*6</f>
        <v>16386</v>
      </c>
      <c r="M11" s="15">
        <f t="shared" si="1"/>
        <v>16386</v>
      </c>
      <c r="N11" s="15">
        <v>0</v>
      </c>
      <c r="O11" s="58">
        <f t="shared" si="2"/>
        <v>0</v>
      </c>
      <c r="P11" s="39">
        <f t="shared" si="3"/>
        <v>16</v>
      </c>
      <c r="Q11" s="40">
        <f t="shared" si="4"/>
        <v>8</v>
      </c>
      <c r="R11" s="7"/>
      <c r="S11" s="6">
        <v>8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0.66666666666666663</v>
      </c>
      <c r="AD11" s="10">
        <f t="shared" si="7"/>
        <v>0.66666666666666663</v>
      </c>
      <c r="AE11" s="36">
        <f t="shared" si="8"/>
        <v>0.52777777777777779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488</v>
      </c>
      <c r="F12" s="30" t="s">
        <v>124</v>
      </c>
      <c r="G12" s="33">
        <v>1</v>
      </c>
      <c r="H12" s="35">
        <v>20</v>
      </c>
      <c r="I12" s="7">
        <v>66000</v>
      </c>
      <c r="J12" s="14">
        <v>5047</v>
      </c>
      <c r="K12" s="15">
        <f>L12+4590+5372+5104</f>
        <v>20113</v>
      </c>
      <c r="L12" s="15">
        <f>2650+2397</f>
        <v>5047</v>
      </c>
      <c r="M12" s="15">
        <f t="shared" si="1"/>
        <v>5047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7"/>
        <v>1</v>
      </c>
      <c r="AE12" s="36">
        <f t="shared" si="8"/>
        <v>0.52777777777777779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339</v>
      </c>
      <c r="D13" s="52" t="s">
        <v>119</v>
      </c>
      <c r="E13" s="53" t="s">
        <v>439</v>
      </c>
      <c r="F13" s="30" t="s">
        <v>162</v>
      </c>
      <c r="G13" s="33">
        <v>1</v>
      </c>
      <c r="H13" s="35">
        <v>24</v>
      </c>
      <c r="I13" s="7">
        <v>1320</v>
      </c>
      <c r="J13" s="14">
        <v>1188</v>
      </c>
      <c r="K13" s="15">
        <f>L13</f>
        <v>1188</v>
      </c>
      <c r="L13" s="15">
        <v>1188</v>
      </c>
      <c r="M13" s="15">
        <f t="shared" si="1"/>
        <v>1188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7"/>
        <v>0.41666666666666669</v>
      </c>
      <c r="AE13" s="36">
        <f t="shared" si="8"/>
        <v>0.52777777777777779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422</v>
      </c>
      <c r="F14" s="30" t="s">
        <v>405</v>
      </c>
      <c r="G14" s="33">
        <v>1</v>
      </c>
      <c r="H14" s="35">
        <v>40</v>
      </c>
      <c r="I14" s="7">
        <v>500</v>
      </c>
      <c r="J14" s="5">
        <v>847</v>
      </c>
      <c r="K14" s="15">
        <f>L14+847</f>
        <v>847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0.52777777777777779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523</v>
      </c>
      <c r="D15" s="52"/>
      <c r="E15" s="53" t="s">
        <v>525</v>
      </c>
      <c r="F15" s="12" t="s">
        <v>524</v>
      </c>
      <c r="G15" s="12">
        <v>8</v>
      </c>
      <c r="H15" s="13">
        <v>24</v>
      </c>
      <c r="I15" s="31">
        <v>50000</v>
      </c>
      <c r="J15" s="14">
        <v>34377</v>
      </c>
      <c r="K15" s="15">
        <f>L15</f>
        <v>34377</v>
      </c>
      <c r="L15" s="15">
        <f>3212*7+1699*7</f>
        <v>34377</v>
      </c>
      <c r="M15" s="15">
        <f t="shared" si="1"/>
        <v>34377</v>
      </c>
      <c r="N15" s="15">
        <v>0</v>
      </c>
      <c r="O15" s="58">
        <f t="shared" si="2"/>
        <v>0</v>
      </c>
      <c r="P15" s="39">
        <f t="shared" si="3"/>
        <v>20</v>
      </c>
      <c r="Q15" s="40">
        <f t="shared" si="4"/>
        <v>4</v>
      </c>
      <c r="R15" s="7"/>
      <c r="S15" s="6">
        <v>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0.83333333333333337</v>
      </c>
      <c r="AD15" s="10">
        <f t="shared" si="7"/>
        <v>0.83333333333333337</v>
      </c>
      <c r="AE15" s="36">
        <f t="shared" si="8"/>
        <v>0.52777777777777779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351</v>
      </c>
      <c r="D16" s="52" t="s">
        <v>542</v>
      </c>
      <c r="E16" s="53" t="s">
        <v>543</v>
      </c>
      <c r="F16" s="12">
        <v>7301</v>
      </c>
      <c r="G16" s="12">
        <v>1</v>
      </c>
      <c r="H16" s="13">
        <v>24</v>
      </c>
      <c r="I16" s="7">
        <v>1000</v>
      </c>
      <c r="J16" s="14">
        <v>1058</v>
      </c>
      <c r="K16" s="15">
        <f>L16</f>
        <v>1058</v>
      </c>
      <c r="L16" s="15">
        <f>1058</f>
        <v>1058</v>
      </c>
      <c r="M16" s="15">
        <f t="shared" si="1"/>
        <v>1058</v>
      </c>
      <c r="N16" s="15">
        <v>0</v>
      </c>
      <c r="O16" s="58">
        <f t="shared" si="2"/>
        <v>0</v>
      </c>
      <c r="P16" s="39">
        <f t="shared" si="3"/>
        <v>14</v>
      </c>
      <c r="Q16" s="40">
        <f t="shared" si="4"/>
        <v>10</v>
      </c>
      <c r="R16" s="7"/>
      <c r="S16" s="6">
        <v>6</v>
      </c>
      <c r="T16" s="16"/>
      <c r="U16" s="16"/>
      <c r="V16" s="17"/>
      <c r="W16" s="5">
        <v>4</v>
      </c>
      <c r="X16" s="16"/>
      <c r="Y16" s="16"/>
      <c r="Z16" s="16"/>
      <c r="AA16" s="18"/>
      <c r="AB16" s="8">
        <f t="shared" si="5"/>
        <v>1</v>
      </c>
      <c r="AC16" s="9">
        <f t="shared" si="6"/>
        <v>0.58333333333333337</v>
      </c>
      <c r="AD16" s="10">
        <f t="shared" si="7"/>
        <v>0.58333333333333337</v>
      </c>
      <c r="AE16" s="36">
        <f t="shared" si="8"/>
        <v>0.52777777777777779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154</v>
      </c>
      <c r="D17" s="52"/>
      <c r="E17" s="53" t="s">
        <v>367</v>
      </c>
      <c r="F17" s="12" t="s">
        <v>368</v>
      </c>
      <c r="G17" s="12">
        <v>1</v>
      </c>
      <c r="H17" s="13">
        <v>24</v>
      </c>
      <c r="I17" s="31">
        <v>500</v>
      </c>
      <c r="J17" s="14">
        <v>709</v>
      </c>
      <c r="K17" s="15">
        <f>L17+709</f>
        <v>709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0.52777777777777779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157</v>
      </c>
      <c r="E18" s="53" t="s">
        <v>504</v>
      </c>
      <c r="F18" s="30" t="s">
        <v>162</v>
      </c>
      <c r="G18" s="33">
        <v>1</v>
      </c>
      <c r="H18" s="35">
        <v>24</v>
      </c>
      <c r="I18" s="7">
        <v>15000</v>
      </c>
      <c r="J18" s="5">
        <v>5338</v>
      </c>
      <c r="K18" s="15">
        <f>L18+3168</f>
        <v>8506</v>
      </c>
      <c r="L18" s="15">
        <f>2675+2663</f>
        <v>5338</v>
      </c>
      <c r="M18" s="15">
        <f t="shared" si="1"/>
        <v>5338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0.52777777777777779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117</v>
      </c>
      <c r="E19" s="53" t="s">
        <v>267</v>
      </c>
      <c r="F19" s="30" t="s">
        <v>122</v>
      </c>
      <c r="G19" s="33">
        <v>1</v>
      </c>
      <c r="H19" s="35">
        <v>24</v>
      </c>
      <c r="I19" s="7">
        <v>20000</v>
      </c>
      <c r="J19" s="5">
        <v>4101</v>
      </c>
      <c r="K19" s="15">
        <f>L19</f>
        <v>4101</v>
      </c>
      <c r="L19" s="15">
        <f>1611+2490</f>
        <v>4101</v>
      </c>
      <c r="M19" s="15">
        <f t="shared" si="1"/>
        <v>4101</v>
      </c>
      <c r="N19" s="15">
        <v>0</v>
      </c>
      <c r="O19" s="58">
        <f t="shared" si="2"/>
        <v>0</v>
      </c>
      <c r="P19" s="39">
        <f t="shared" si="3"/>
        <v>22</v>
      </c>
      <c r="Q19" s="40">
        <f t="shared" si="4"/>
        <v>2</v>
      </c>
      <c r="R19" s="7"/>
      <c r="S19" s="6"/>
      <c r="T19" s="16">
        <v>2</v>
      </c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0.91666666666666663</v>
      </c>
      <c r="AD19" s="10">
        <f t="shared" ref="AD19" si="10">AC19*AB19*(1-O19)</f>
        <v>0.91666666666666663</v>
      </c>
      <c r="AE19" s="36">
        <f t="shared" si="8"/>
        <v>0.52777777777777779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359</v>
      </c>
      <c r="F20" s="12" t="s">
        <v>116</v>
      </c>
      <c r="G20" s="12">
        <v>4</v>
      </c>
      <c r="H20" s="35">
        <v>20</v>
      </c>
      <c r="I20" s="7">
        <v>300000</v>
      </c>
      <c r="J20" s="14">
        <v>4420</v>
      </c>
      <c r="K20" s="15">
        <f>L20+38252+40960+86480+92928+4420</f>
        <v>263040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0.52777777777777779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600320</v>
      </c>
      <c r="J21" s="19">
        <f t="shared" si="11"/>
        <v>87891</v>
      </c>
      <c r="K21" s="20">
        <f t="shared" si="11"/>
        <v>397902</v>
      </c>
      <c r="L21" s="21">
        <f t="shared" si="11"/>
        <v>81915</v>
      </c>
      <c r="M21" s="20">
        <f t="shared" si="11"/>
        <v>81915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190</v>
      </c>
      <c r="Q21" s="43">
        <f t="shared" si="12"/>
        <v>170</v>
      </c>
      <c r="R21" s="23">
        <f t="shared" si="12"/>
        <v>24</v>
      </c>
      <c r="S21" s="24">
        <f t="shared" si="12"/>
        <v>54</v>
      </c>
      <c r="T21" s="24">
        <f t="shared" si="12"/>
        <v>2</v>
      </c>
      <c r="U21" s="24">
        <f t="shared" si="12"/>
        <v>0</v>
      </c>
      <c r="V21" s="25">
        <f t="shared" si="12"/>
        <v>0</v>
      </c>
      <c r="W21" s="26">
        <f t="shared" si="12"/>
        <v>90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0.66666666666666663</v>
      </c>
      <c r="AC21" s="4">
        <f>SUM(AC6:AC20)/15</f>
        <v>0.52777777777777779</v>
      </c>
      <c r="AD21" s="4">
        <f>SUM(AD6:AD20)/15</f>
        <v>0.52777777777777779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550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554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356" t="s">
        <v>46</v>
      </c>
      <c r="D50" s="356" t="s">
        <v>47</v>
      </c>
      <c r="E50" s="356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356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358" t="s">
        <v>135</v>
      </c>
      <c r="D51" s="358" t="s">
        <v>157</v>
      </c>
      <c r="E51" s="358" t="s">
        <v>161</v>
      </c>
      <c r="F51" s="453" t="s">
        <v>258</v>
      </c>
      <c r="G51" s="454"/>
      <c r="H51" s="454"/>
      <c r="I51" s="454"/>
      <c r="J51" s="454"/>
      <c r="K51" s="454"/>
      <c r="L51" s="454"/>
      <c r="M51" s="455"/>
      <c r="N51" s="357" t="s">
        <v>126</v>
      </c>
      <c r="O51" s="363" t="s">
        <v>135</v>
      </c>
      <c r="P51" s="463" t="s">
        <v>157</v>
      </c>
      <c r="Q51" s="464"/>
      <c r="R51" s="452" t="s">
        <v>161</v>
      </c>
      <c r="S51" s="452"/>
      <c r="T51" s="452"/>
      <c r="U51" s="452"/>
      <c r="V51" s="442" t="s">
        <v>137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126</v>
      </c>
      <c r="B52" s="452"/>
      <c r="C52" s="358" t="s">
        <v>221</v>
      </c>
      <c r="D52" s="358" t="s">
        <v>222</v>
      </c>
      <c r="E52" s="358" t="s">
        <v>549</v>
      </c>
      <c r="F52" s="453" t="s">
        <v>551</v>
      </c>
      <c r="G52" s="454"/>
      <c r="H52" s="454"/>
      <c r="I52" s="454"/>
      <c r="J52" s="454"/>
      <c r="K52" s="454"/>
      <c r="L52" s="454"/>
      <c r="M52" s="455"/>
      <c r="N52" s="357" t="s">
        <v>126</v>
      </c>
      <c r="O52" s="363" t="s">
        <v>221</v>
      </c>
      <c r="P52" s="463" t="s">
        <v>222</v>
      </c>
      <c r="Q52" s="464"/>
      <c r="R52" s="452" t="s">
        <v>549</v>
      </c>
      <c r="S52" s="452"/>
      <c r="T52" s="452"/>
      <c r="U52" s="452"/>
      <c r="V52" s="442" t="s">
        <v>137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339</v>
      </c>
      <c r="B53" s="452"/>
      <c r="C53" s="358" t="s">
        <v>182</v>
      </c>
      <c r="D53" s="358" t="s">
        <v>119</v>
      </c>
      <c r="E53" s="358" t="s">
        <v>439</v>
      </c>
      <c r="F53" s="453" t="s">
        <v>121</v>
      </c>
      <c r="G53" s="454"/>
      <c r="H53" s="454"/>
      <c r="I53" s="454"/>
      <c r="J53" s="454"/>
      <c r="K53" s="454"/>
      <c r="L53" s="454"/>
      <c r="M53" s="455"/>
      <c r="N53" s="357" t="s">
        <v>154</v>
      </c>
      <c r="O53" s="363" t="s">
        <v>182</v>
      </c>
      <c r="P53" s="463" t="s">
        <v>157</v>
      </c>
      <c r="Q53" s="464"/>
      <c r="R53" s="452" t="s">
        <v>555</v>
      </c>
      <c r="S53" s="452"/>
      <c r="T53" s="452"/>
      <c r="U53" s="452"/>
      <c r="V53" s="442" t="s">
        <v>121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523</v>
      </c>
      <c r="B54" s="452"/>
      <c r="C54" s="358" t="s">
        <v>150</v>
      </c>
      <c r="D54" s="358"/>
      <c r="E54" s="358" t="s">
        <v>525</v>
      </c>
      <c r="F54" s="453" t="s">
        <v>552</v>
      </c>
      <c r="G54" s="454"/>
      <c r="H54" s="454"/>
      <c r="I54" s="454"/>
      <c r="J54" s="454"/>
      <c r="K54" s="454"/>
      <c r="L54" s="454"/>
      <c r="M54" s="455"/>
      <c r="N54" s="357" t="s">
        <v>114</v>
      </c>
      <c r="O54" s="363" t="s">
        <v>226</v>
      </c>
      <c r="P54" s="463" t="s">
        <v>117</v>
      </c>
      <c r="Q54" s="464"/>
      <c r="R54" s="452" t="s">
        <v>556</v>
      </c>
      <c r="S54" s="452"/>
      <c r="T54" s="452"/>
      <c r="U54" s="452"/>
      <c r="V54" s="442" t="s">
        <v>121</v>
      </c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351</v>
      </c>
      <c r="B55" s="452"/>
      <c r="C55" s="358" t="s">
        <v>287</v>
      </c>
      <c r="D55" s="358" t="s">
        <v>542</v>
      </c>
      <c r="E55" s="358" t="s">
        <v>543</v>
      </c>
      <c r="F55" s="453" t="s">
        <v>553</v>
      </c>
      <c r="G55" s="454"/>
      <c r="H55" s="454"/>
      <c r="I55" s="454"/>
      <c r="J55" s="454"/>
      <c r="K55" s="454"/>
      <c r="L55" s="454"/>
      <c r="M55" s="455"/>
      <c r="N55" s="357"/>
      <c r="O55" s="363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126</v>
      </c>
      <c r="B56" s="452"/>
      <c r="C56" s="358" t="s">
        <v>138</v>
      </c>
      <c r="D56" s="358" t="s">
        <v>117</v>
      </c>
      <c r="E56" s="358" t="s">
        <v>267</v>
      </c>
      <c r="F56" s="453" t="s">
        <v>121</v>
      </c>
      <c r="G56" s="454"/>
      <c r="H56" s="454"/>
      <c r="I56" s="454"/>
      <c r="J56" s="454"/>
      <c r="K56" s="454"/>
      <c r="L56" s="454"/>
      <c r="M56" s="455"/>
      <c r="N56" s="357"/>
      <c r="O56" s="363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358"/>
      <c r="D57" s="358"/>
      <c r="E57" s="358"/>
      <c r="F57" s="453"/>
      <c r="G57" s="454"/>
      <c r="H57" s="454"/>
      <c r="I57" s="454"/>
      <c r="J57" s="454"/>
      <c r="K57" s="454"/>
      <c r="L57" s="454"/>
      <c r="M57" s="455"/>
      <c r="N57" s="357"/>
      <c r="O57" s="363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358"/>
      <c r="D58" s="358"/>
      <c r="E58" s="358"/>
      <c r="F58" s="453"/>
      <c r="G58" s="454"/>
      <c r="H58" s="454"/>
      <c r="I58" s="454"/>
      <c r="J58" s="454"/>
      <c r="K58" s="454"/>
      <c r="L58" s="454"/>
      <c r="M58" s="455"/>
      <c r="N58" s="357"/>
      <c r="O58" s="363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358"/>
      <c r="D59" s="358"/>
      <c r="E59" s="358"/>
      <c r="F59" s="453"/>
      <c r="G59" s="454"/>
      <c r="H59" s="454"/>
      <c r="I59" s="454"/>
      <c r="J59" s="454"/>
      <c r="K59" s="454"/>
      <c r="L59" s="454"/>
      <c r="M59" s="455"/>
      <c r="N59" s="357"/>
      <c r="O59" s="363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506"/>
      <c r="B60" s="507"/>
      <c r="C60" s="360"/>
      <c r="D60" s="360"/>
      <c r="E60" s="360"/>
      <c r="F60" s="508"/>
      <c r="G60" s="509"/>
      <c r="H60" s="509"/>
      <c r="I60" s="509"/>
      <c r="J60" s="509"/>
      <c r="K60" s="509"/>
      <c r="L60" s="509"/>
      <c r="M60" s="510"/>
      <c r="N60" s="359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557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361" t="s">
        <v>2</v>
      </c>
      <c r="D62" s="361" t="s">
        <v>37</v>
      </c>
      <c r="E62" s="361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361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/>
      <c r="D63" s="365"/>
      <c r="E63" s="362"/>
      <c r="F63" s="440"/>
      <c r="G63" s="432"/>
      <c r="H63" s="432"/>
      <c r="I63" s="432"/>
      <c r="J63" s="432"/>
      <c r="K63" s="432"/>
      <c r="L63" s="432"/>
      <c r="M63" s="51"/>
      <c r="N63" s="443"/>
      <c r="O63" s="443"/>
      <c r="P63" s="441"/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/>
      <c r="D64" s="365"/>
      <c r="E64" s="362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365"/>
      <c r="E65" s="362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365"/>
      <c r="E66" s="362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365"/>
      <c r="E67" s="362"/>
      <c r="F67" s="440"/>
      <c r="G67" s="432"/>
      <c r="H67" s="432"/>
      <c r="I67" s="432"/>
      <c r="J67" s="432"/>
      <c r="K67" s="432"/>
      <c r="L67" s="432"/>
      <c r="M67" s="51"/>
      <c r="N67" s="443"/>
      <c r="O67" s="443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365"/>
      <c r="E68" s="362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365"/>
      <c r="E69" s="362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365"/>
      <c r="E70" s="362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558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364" t="s">
        <v>2</v>
      </c>
      <c r="D72" s="364" t="s">
        <v>37</v>
      </c>
      <c r="E72" s="364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366" t="s">
        <v>114</v>
      </c>
      <c r="D73" s="366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365"/>
      <c r="D74" s="365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365"/>
      <c r="D75" s="365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365"/>
      <c r="D76" s="365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365"/>
      <c r="D77" s="365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365"/>
      <c r="D78" s="365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365"/>
      <c r="D79" s="365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365"/>
      <c r="D80" s="365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365"/>
      <c r="D81" s="365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559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7822-2179-4DD2-B477-F587EF900AE0}">
  <sheetPr>
    <pageSetUpPr fitToPage="1"/>
  </sheetPr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560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378" t="s">
        <v>17</v>
      </c>
      <c r="L5" s="378" t="s">
        <v>18</v>
      </c>
      <c r="M5" s="378" t="s">
        <v>19</v>
      </c>
      <c r="N5" s="37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0.49444444444444446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0.49444444444444446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20000</v>
      </c>
      <c r="J8" s="14">
        <v>3440</v>
      </c>
      <c r="K8" s="15">
        <f>L8+3627+6014</f>
        <v>13081</v>
      </c>
      <c r="L8" s="15">
        <f>382+3058</f>
        <v>3440</v>
      </c>
      <c r="M8" s="15">
        <f t="shared" si="1"/>
        <v>3440</v>
      </c>
      <c r="N8" s="15">
        <v>0</v>
      </c>
      <c r="O8" s="58">
        <f t="shared" si="2"/>
        <v>0</v>
      </c>
      <c r="P8" s="39">
        <f t="shared" si="3"/>
        <v>18</v>
      </c>
      <c r="Q8" s="40">
        <f t="shared" si="4"/>
        <v>6</v>
      </c>
      <c r="R8" s="7"/>
      <c r="S8" s="6">
        <v>6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0.75</v>
      </c>
      <c r="AD8" s="10">
        <f t="shared" si="7"/>
        <v>0.75</v>
      </c>
      <c r="AE8" s="36">
        <f t="shared" si="8"/>
        <v>0.49444444444444446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20000</v>
      </c>
      <c r="J9" s="14">
        <v>4327</v>
      </c>
      <c r="K9" s="15">
        <f>L9+1749+4518+2828</f>
        <v>13422</v>
      </c>
      <c r="L9" s="15">
        <f>2881+1446</f>
        <v>4327</v>
      </c>
      <c r="M9" s="15">
        <f t="shared" si="1"/>
        <v>4327</v>
      </c>
      <c r="N9" s="15">
        <v>0</v>
      </c>
      <c r="O9" s="58">
        <f t="shared" si="2"/>
        <v>0</v>
      </c>
      <c r="P9" s="39">
        <f t="shared" si="3"/>
        <v>20</v>
      </c>
      <c r="Q9" s="40">
        <f t="shared" si="4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0.83333333333333337</v>
      </c>
      <c r="AD9" s="10">
        <f t="shared" si="7"/>
        <v>0.83333333333333337</v>
      </c>
      <c r="AE9" s="36">
        <f t="shared" si="8"/>
        <v>0.49444444444444446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123</v>
      </c>
      <c r="E10" s="53" t="s">
        <v>473</v>
      </c>
      <c r="F10" s="30" t="s">
        <v>124</v>
      </c>
      <c r="G10" s="33">
        <v>1</v>
      </c>
      <c r="H10" s="35">
        <v>24</v>
      </c>
      <c r="I10" s="7">
        <v>66000</v>
      </c>
      <c r="J10" s="5">
        <v>2748</v>
      </c>
      <c r="K10" s="15">
        <f>L10+5412+6211+5786+5854+5578</f>
        <v>31589</v>
      </c>
      <c r="L10" s="15">
        <v>2748</v>
      </c>
      <c r="M10" s="15">
        <f t="shared" si="1"/>
        <v>2748</v>
      </c>
      <c r="N10" s="15">
        <v>0</v>
      </c>
      <c r="O10" s="58">
        <f t="shared" si="2"/>
        <v>0</v>
      </c>
      <c r="P10" s="39">
        <f t="shared" si="3"/>
        <v>15</v>
      </c>
      <c r="Q10" s="40">
        <f t="shared" si="4"/>
        <v>9</v>
      </c>
      <c r="R10" s="7"/>
      <c r="S10" s="6">
        <v>9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0.625</v>
      </c>
      <c r="AD10" s="10">
        <f>AC10*AB10*(1-O10)</f>
        <v>0.625</v>
      </c>
      <c r="AE10" s="36">
        <f t="shared" si="8"/>
        <v>0.49444444444444446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126</v>
      </c>
      <c r="D11" s="52" t="s">
        <v>222</v>
      </c>
      <c r="E11" s="53" t="s">
        <v>549</v>
      </c>
      <c r="F11" s="30" t="s">
        <v>239</v>
      </c>
      <c r="G11" s="33">
        <v>16</v>
      </c>
      <c r="H11" s="35">
        <v>20</v>
      </c>
      <c r="I11" s="7">
        <v>40000</v>
      </c>
      <c r="J11" s="14">
        <v>46662</v>
      </c>
      <c r="K11" s="15">
        <f>L11+16386</f>
        <v>63048</v>
      </c>
      <c r="L11" s="15">
        <f>3333*14</f>
        <v>46662</v>
      </c>
      <c r="M11" s="15">
        <f t="shared" si="1"/>
        <v>46662</v>
      </c>
      <c r="N11" s="15">
        <v>0</v>
      </c>
      <c r="O11" s="58">
        <f t="shared" si="2"/>
        <v>0</v>
      </c>
      <c r="P11" s="39">
        <f t="shared" si="3"/>
        <v>17</v>
      </c>
      <c r="Q11" s="40">
        <f t="shared" si="4"/>
        <v>7</v>
      </c>
      <c r="R11" s="7"/>
      <c r="S11" s="6">
        <v>7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0.70833333333333337</v>
      </c>
      <c r="AD11" s="10">
        <f t="shared" si="7"/>
        <v>0.70833333333333337</v>
      </c>
      <c r="AE11" s="36">
        <f t="shared" si="8"/>
        <v>0.49444444444444446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488</v>
      </c>
      <c r="F12" s="30" t="s">
        <v>124</v>
      </c>
      <c r="G12" s="33">
        <v>1</v>
      </c>
      <c r="H12" s="35">
        <v>20</v>
      </c>
      <c r="I12" s="7">
        <v>66000</v>
      </c>
      <c r="J12" s="14">
        <v>5047</v>
      </c>
      <c r="K12" s="15">
        <f>L12+4590+5372+5104+5047</f>
        <v>20113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 t="shared" si="7"/>
        <v>0</v>
      </c>
      <c r="AE12" s="36">
        <f t="shared" si="8"/>
        <v>0.49444444444444446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154</v>
      </c>
      <c r="D13" s="52" t="s">
        <v>157</v>
      </c>
      <c r="E13" s="53" t="s">
        <v>555</v>
      </c>
      <c r="F13" s="30" t="s">
        <v>122</v>
      </c>
      <c r="G13" s="33">
        <v>1</v>
      </c>
      <c r="H13" s="35">
        <v>24</v>
      </c>
      <c r="I13" s="7">
        <v>2000</v>
      </c>
      <c r="J13" s="14">
        <v>2228</v>
      </c>
      <c r="K13" s="15">
        <f>L13</f>
        <v>2228</v>
      </c>
      <c r="L13" s="15">
        <v>2228</v>
      </c>
      <c r="M13" s="15">
        <f t="shared" si="1"/>
        <v>2228</v>
      </c>
      <c r="N13" s="15">
        <v>0</v>
      </c>
      <c r="O13" s="58">
        <f t="shared" si="2"/>
        <v>0</v>
      </c>
      <c r="P13" s="39">
        <f t="shared" si="3"/>
        <v>11</v>
      </c>
      <c r="Q13" s="40">
        <f t="shared" si="4"/>
        <v>13</v>
      </c>
      <c r="R13" s="7"/>
      <c r="S13" s="6"/>
      <c r="T13" s="16"/>
      <c r="U13" s="16"/>
      <c r="V13" s="17"/>
      <c r="W13" s="5">
        <v>13</v>
      </c>
      <c r="X13" s="16"/>
      <c r="Y13" s="16"/>
      <c r="Z13" s="16"/>
      <c r="AA13" s="18"/>
      <c r="AB13" s="8">
        <f t="shared" si="5"/>
        <v>1</v>
      </c>
      <c r="AC13" s="9">
        <f t="shared" si="6"/>
        <v>0.45833333333333331</v>
      </c>
      <c r="AD13" s="10">
        <f t="shared" si="7"/>
        <v>0.45833333333333331</v>
      </c>
      <c r="AE13" s="36">
        <f t="shared" si="8"/>
        <v>0.49444444444444446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556</v>
      </c>
      <c r="F14" s="30" t="s">
        <v>405</v>
      </c>
      <c r="G14" s="33">
        <v>1</v>
      </c>
      <c r="H14" s="35">
        <v>40</v>
      </c>
      <c r="I14" s="7">
        <v>2000</v>
      </c>
      <c r="J14" s="5">
        <v>551</v>
      </c>
      <c r="K14" s="15">
        <f>L14</f>
        <v>551</v>
      </c>
      <c r="L14" s="15">
        <f>551</f>
        <v>551</v>
      </c>
      <c r="M14" s="15">
        <f t="shared" si="1"/>
        <v>551</v>
      </c>
      <c r="N14" s="15">
        <v>0</v>
      </c>
      <c r="O14" s="58">
        <f t="shared" si="2"/>
        <v>0</v>
      </c>
      <c r="P14" s="39">
        <f t="shared" si="3"/>
        <v>9</v>
      </c>
      <c r="Q14" s="40">
        <f t="shared" si="4"/>
        <v>15</v>
      </c>
      <c r="R14" s="7"/>
      <c r="S14" s="6">
        <v>2</v>
      </c>
      <c r="T14" s="16"/>
      <c r="U14" s="16"/>
      <c r="V14" s="17">
        <v>13</v>
      </c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0.375</v>
      </c>
      <c r="AD14" s="10">
        <f t="shared" si="7"/>
        <v>0.375</v>
      </c>
      <c r="AE14" s="36">
        <f t="shared" si="8"/>
        <v>0.49444444444444446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523</v>
      </c>
      <c r="D15" s="52"/>
      <c r="E15" s="53" t="s">
        <v>525</v>
      </c>
      <c r="F15" s="12" t="s">
        <v>524</v>
      </c>
      <c r="G15" s="12">
        <v>7</v>
      </c>
      <c r="H15" s="13">
        <v>24</v>
      </c>
      <c r="I15" s="31">
        <v>50000</v>
      </c>
      <c r="J15" s="14">
        <v>48783</v>
      </c>
      <c r="K15" s="15">
        <f>L15+34377</f>
        <v>83160</v>
      </c>
      <c r="L15" s="15">
        <f>3593*7+3376*7</f>
        <v>48783</v>
      </c>
      <c r="M15" s="15">
        <f t="shared" si="1"/>
        <v>48783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0.49444444444444446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351</v>
      </c>
      <c r="D16" s="52" t="s">
        <v>359</v>
      </c>
      <c r="E16" s="53" t="s">
        <v>561</v>
      </c>
      <c r="F16" s="12" t="s">
        <v>156</v>
      </c>
      <c r="G16" s="12">
        <v>4</v>
      </c>
      <c r="H16" s="13">
        <v>24</v>
      </c>
      <c r="I16" s="7">
        <v>50000</v>
      </c>
      <c r="J16" s="14">
        <v>18176</v>
      </c>
      <c r="K16" s="15">
        <f>L16</f>
        <v>18176</v>
      </c>
      <c r="L16" s="15">
        <f>873*4+3671*4</f>
        <v>18176</v>
      </c>
      <c r="M16" s="15">
        <f t="shared" si="1"/>
        <v>18176</v>
      </c>
      <c r="N16" s="15">
        <v>0</v>
      </c>
      <c r="O16" s="58">
        <f t="shared" si="2"/>
        <v>0</v>
      </c>
      <c r="P16" s="39">
        <f t="shared" si="3"/>
        <v>16</v>
      </c>
      <c r="Q16" s="40">
        <f t="shared" si="4"/>
        <v>8</v>
      </c>
      <c r="R16" s="7"/>
      <c r="S16" s="6">
        <v>8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0.66666666666666663</v>
      </c>
      <c r="AD16" s="10">
        <f t="shared" si="7"/>
        <v>0.66666666666666663</v>
      </c>
      <c r="AE16" s="36">
        <f t="shared" si="8"/>
        <v>0.49444444444444446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154</v>
      </c>
      <c r="D17" s="52"/>
      <c r="E17" s="53" t="s">
        <v>367</v>
      </c>
      <c r="F17" s="12" t="s">
        <v>368</v>
      </c>
      <c r="G17" s="12">
        <v>1</v>
      </c>
      <c r="H17" s="13">
        <v>24</v>
      </c>
      <c r="I17" s="31">
        <v>500</v>
      </c>
      <c r="J17" s="14">
        <v>709</v>
      </c>
      <c r="K17" s="15">
        <f>L17+709</f>
        <v>709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0.49444444444444446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157</v>
      </c>
      <c r="E18" s="53" t="s">
        <v>504</v>
      </c>
      <c r="F18" s="30" t="s">
        <v>162</v>
      </c>
      <c r="G18" s="33">
        <v>1</v>
      </c>
      <c r="H18" s="35">
        <v>24</v>
      </c>
      <c r="I18" s="7">
        <v>15000</v>
      </c>
      <c r="J18" s="5">
        <v>5568</v>
      </c>
      <c r="K18" s="15">
        <f>L18+3168+5338</f>
        <v>14074</v>
      </c>
      <c r="L18" s="15">
        <f>2833+2735</f>
        <v>5568</v>
      </c>
      <c r="M18" s="15">
        <f t="shared" si="1"/>
        <v>5568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>AC18*AB18*(1-O18)</f>
        <v>1</v>
      </c>
      <c r="AE18" s="36">
        <f t="shared" si="8"/>
        <v>0.49444444444444446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117</v>
      </c>
      <c r="E19" s="53" t="s">
        <v>267</v>
      </c>
      <c r="F19" s="30" t="s">
        <v>122</v>
      </c>
      <c r="G19" s="33">
        <v>1</v>
      </c>
      <c r="H19" s="35">
        <v>24</v>
      </c>
      <c r="I19" s="7">
        <v>20000</v>
      </c>
      <c r="J19" s="5">
        <v>4998</v>
      </c>
      <c r="K19" s="15">
        <f>L19+4101</f>
        <v>9099</v>
      </c>
      <c r="L19" s="15">
        <f>2546+2452</f>
        <v>4998</v>
      </c>
      <c r="M19" s="15">
        <f t="shared" si="1"/>
        <v>4998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0">AC19*AB19*(1-O19)</f>
        <v>1</v>
      </c>
      <c r="AE19" s="36">
        <f t="shared" si="8"/>
        <v>0.49444444444444446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359</v>
      </c>
      <c r="F20" s="12" t="s">
        <v>116</v>
      </c>
      <c r="G20" s="12">
        <v>4</v>
      </c>
      <c r="H20" s="35">
        <v>20</v>
      </c>
      <c r="I20" s="7">
        <v>300000</v>
      </c>
      <c r="J20" s="14">
        <v>4420</v>
      </c>
      <c r="K20" s="15">
        <f>L20+38252+40960+86480+92928+4420</f>
        <v>263040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0.49444444444444446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651500</v>
      </c>
      <c r="J21" s="19">
        <f t="shared" si="11"/>
        <v>147657</v>
      </c>
      <c r="K21" s="20">
        <f t="shared" si="11"/>
        <v>532290</v>
      </c>
      <c r="L21" s="21">
        <f t="shared" si="11"/>
        <v>137481</v>
      </c>
      <c r="M21" s="20">
        <f t="shared" si="11"/>
        <v>137481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178</v>
      </c>
      <c r="Q21" s="43">
        <f t="shared" si="12"/>
        <v>182</v>
      </c>
      <c r="R21" s="23">
        <f t="shared" si="12"/>
        <v>24</v>
      </c>
      <c r="S21" s="24">
        <f t="shared" si="12"/>
        <v>84</v>
      </c>
      <c r="T21" s="24">
        <f t="shared" si="12"/>
        <v>0</v>
      </c>
      <c r="U21" s="24">
        <f t="shared" si="12"/>
        <v>0</v>
      </c>
      <c r="V21" s="25">
        <f t="shared" si="12"/>
        <v>13</v>
      </c>
      <c r="W21" s="26">
        <f t="shared" si="12"/>
        <v>61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0.66666666666666663</v>
      </c>
      <c r="AC21" s="4">
        <f>SUM(AC6:AC20)/15</f>
        <v>0.49444444444444446</v>
      </c>
      <c r="AD21" s="4">
        <f>SUM(AD6:AD20)/15</f>
        <v>0.49444444444444446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562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564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377" t="s">
        <v>46</v>
      </c>
      <c r="D50" s="377" t="s">
        <v>47</v>
      </c>
      <c r="E50" s="377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377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374" t="s">
        <v>135</v>
      </c>
      <c r="D51" s="374" t="s">
        <v>157</v>
      </c>
      <c r="E51" s="374" t="s">
        <v>161</v>
      </c>
      <c r="F51" s="453" t="s">
        <v>137</v>
      </c>
      <c r="G51" s="454"/>
      <c r="H51" s="454"/>
      <c r="I51" s="454"/>
      <c r="J51" s="454"/>
      <c r="K51" s="454"/>
      <c r="L51" s="454"/>
      <c r="M51" s="455"/>
      <c r="N51" s="373" t="s">
        <v>114</v>
      </c>
      <c r="O51" s="371" t="s">
        <v>147</v>
      </c>
      <c r="P51" s="463" t="s">
        <v>123</v>
      </c>
      <c r="Q51" s="464"/>
      <c r="R51" s="452" t="s">
        <v>473</v>
      </c>
      <c r="S51" s="452"/>
      <c r="T51" s="452"/>
      <c r="U51" s="452"/>
      <c r="V51" s="442" t="s">
        <v>137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126</v>
      </c>
      <c r="B52" s="452"/>
      <c r="C52" s="374" t="s">
        <v>221</v>
      </c>
      <c r="D52" s="374" t="s">
        <v>222</v>
      </c>
      <c r="E52" s="374" t="s">
        <v>549</v>
      </c>
      <c r="F52" s="453" t="s">
        <v>137</v>
      </c>
      <c r="G52" s="454"/>
      <c r="H52" s="454"/>
      <c r="I52" s="454"/>
      <c r="J52" s="454"/>
      <c r="K52" s="454"/>
      <c r="L52" s="454"/>
      <c r="M52" s="455"/>
      <c r="N52" s="373" t="s">
        <v>114</v>
      </c>
      <c r="O52" s="371" t="s">
        <v>221</v>
      </c>
      <c r="P52" s="463" t="s">
        <v>129</v>
      </c>
      <c r="Q52" s="464"/>
      <c r="R52" s="452" t="s">
        <v>131</v>
      </c>
      <c r="S52" s="452"/>
      <c r="T52" s="452"/>
      <c r="U52" s="452"/>
      <c r="V52" s="442" t="s">
        <v>121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154</v>
      </c>
      <c r="B53" s="452"/>
      <c r="C53" s="374" t="s">
        <v>182</v>
      </c>
      <c r="D53" s="374" t="s">
        <v>157</v>
      </c>
      <c r="E53" s="374" t="s">
        <v>555</v>
      </c>
      <c r="F53" s="453" t="s">
        <v>121</v>
      </c>
      <c r="G53" s="454"/>
      <c r="H53" s="454"/>
      <c r="I53" s="454"/>
      <c r="J53" s="454"/>
      <c r="K53" s="454"/>
      <c r="L53" s="454"/>
      <c r="M53" s="455"/>
      <c r="N53" s="373" t="s">
        <v>154</v>
      </c>
      <c r="O53" s="371" t="s">
        <v>182</v>
      </c>
      <c r="P53" s="463" t="s">
        <v>117</v>
      </c>
      <c r="Q53" s="464"/>
      <c r="R53" s="452" t="s">
        <v>565</v>
      </c>
      <c r="S53" s="452"/>
      <c r="T53" s="452"/>
      <c r="U53" s="452"/>
      <c r="V53" s="442" t="s">
        <v>121</v>
      </c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114</v>
      </c>
      <c r="B54" s="452"/>
      <c r="C54" s="374" t="s">
        <v>226</v>
      </c>
      <c r="D54" s="374" t="s">
        <v>117</v>
      </c>
      <c r="E54" s="374" t="s">
        <v>556</v>
      </c>
      <c r="F54" s="453" t="s">
        <v>121</v>
      </c>
      <c r="G54" s="454"/>
      <c r="H54" s="454"/>
      <c r="I54" s="454"/>
      <c r="J54" s="454"/>
      <c r="K54" s="454"/>
      <c r="L54" s="454"/>
      <c r="M54" s="455"/>
      <c r="N54" s="373"/>
      <c r="O54" s="371"/>
      <c r="P54" s="463"/>
      <c r="Q54" s="464"/>
      <c r="R54" s="452"/>
      <c r="S54" s="452"/>
      <c r="T54" s="452"/>
      <c r="U54" s="452"/>
      <c r="V54" s="442"/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351</v>
      </c>
      <c r="B55" s="452"/>
      <c r="C55" s="374" t="s">
        <v>287</v>
      </c>
      <c r="D55" s="374" t="s">
        <v>359</v>
      </c>
      <c r="E55" s="374" t="s">
        <v>561</v>
      </c>
      <c r="F55" s="453" t="s">
        <v>563</v>
      </c>
      <c r="G55" s="454"/>
      <c r="H55" s="454"/>
      <c r="I55" s="454"/>
      <c r="J55" s="454"/>
      <c r="K55" s="454"/>
      <c r="L55" s="454"/>
      <c r="M55" s="455"/>
      <c r="N55" s="373"/>
      <c r="O55" s="371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114</v>
      </c>
      <c r="B56" s="452"/>
      <c r="C56" s="374" t="s">
        <v>147</v>
      </c>
      <c r="D56" s="374" t="s">
        <v>123</v>
      </c>
      <c r="E56" s="374" t="s">
        <v>473</v>
      </c>
      <c r="F56" s="453" t="s">
        <v>175</v>
      </c>
      <c r="G56" s="454"/>
      <c r="H56" s="454"/>
      <c r="I56" s="454"/>
      <c r="J56" s="454"/>
      <c r="K56" s="454"/>
      <c r="L56" s="454"/>
      <c r="M56" s="455"/>
      <c r="N56" s="373"/>
      <c r="O56" s="371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/>
      <c r="B57" s="452"/>
      <c r="C57" s="374"/>
      <c r="D57" s="374"/>
      <c r="E57" s="374"/>
      <c r="F57" s="453"/>
      <c r="G57" s="454"/>
      <c r="H57" s="454"/>
      <c r="I57" s="454"/>
      <c r="J57" s="454"/>
      <c r="K57" s="454"/>
      <c r="L57" s="454"/>
      <c r="M57" s="455"/>
      <c r="N57" s="373"/>
      <c r="O57" s="371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374"/>
      <c r="D58" s="374"/>
      <c r="E58" s="374"/>
      <c r="F58" s="453"/>
      <c r="G58" s="454"/>
      <c r="H58" s="454"/>
      <c r="I58" s="454"/>
      <c r="J58" s="454"/>
      <c r="K58" s="454"/>
      <c r="L58" s="454"/>
      <c r="M58" s="455"/>
      <c r="N58" s="373"/>
      <c r="O58" s="371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374"/>
      <c r="D59" s="374"/>
      <c r="E59" s="374"/>
      <c r="F59" s="453"/>
      <c r="G59" s="454"/>
      <c r="H59" s="454"/>
      <c r="I59" s="454"/>
      <c r="J59" s="454"/>
      <c r="K59" s="454"/>
      <c r="L59" s="454"/>
      <c r="M59" s="455"/>
      <c r="N59" s="373"/>
      <c r="O59" s="371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506"/>
      <c r="B60" s="507"/>
      <c r="C60" s="376"/>
      <c r="D60" s="376"/>
      <c r="E60" s="376"/>
      <c r="F60" s="508"/>
      <c r="G60" s="509"/>
      <c r="H60" s="509"/>
      <c r="I60" s="509"/>
      <c r="J60" s="509"/>
      <c r="K60" s="509"/>
      <c r="L60" s="509"/>
      <c r="M60" s="510"/>
      <c r="N60" s="375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566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372" t="s">
        <v>2</v>
      </c>
      <c r="D62" s="372" t="s">
        <v>37</v>
      </c>
      <c r="E62" s="372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372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 t="s">
        <v>154</v>
      </c>
      <c r="D63" s="367"/>
      <c r="E63" s="370"/>
      <c r="F63" s="440" t="s">
        <v>441</v>
      </c>
      <c r="G63" s="432"/>
      <c r="H63" s="432"/>
      <c r="I63" s="432"/>
      <c r="J63" s="432"/>
      <c r="K63" s="432" t="s">
        <v>230</v>
      </c>
      <c r="L63" s="432"/>
      <c r="M63" s="51" t="s">
        <v>293</v>
      </c>
      <c r="N63" s="443" t="s">
        <v>182</v>
      </c>
      <c r="O63" s="443"/>
      <c r="P63" s="441">
        <v>50</v>
      </c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 t="s">
        <v>114</v>
      </c>
      <c r="D64" s="367"/>
      <c r="E64" s="370" t="s">
        <v>117</v>
      </c>
      <c r="F64" s="440" t="s">
        <v>488</v>
      </c>
      <c r="G64" s="432"/>
      <c r="H64" s="432"/>
      <c r="I64" s="432"/>
      <c r="J64" s="432"/>
      <c r="K64" s="432" t="s">
        <v>567</v>
      </c>
      <c r="L64" s="432"/>
      <c r="M64" s="51" t="s">
        <v>460</v>
      </c>
      <c r="N64" s="443" t="s">
        <v>204</v>
      </c>
      <c r="O64" s="443"/>
      <c r="P64" s="441">
        <v>50</v>
      </c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 t="s">
        <v>114</v>
      </c>
      <c r="D65" s="367"/>
      <c r="E65" s="370" t="s">
        <v>125</v>
      </c>
      <c r="F65" s="440" t="s">
        <v>341</v>
      </c>
      <c r="G65" s="432"/>
      <c r="H65" s="432"/>
      <c r="I65" s="432"/>
      <c r="J65" s="432"/>
      <c r="K65" s="432">
        <v>8301</v>
      </c>
      <c r="L65" s="432"/>
      <c r="M65" s="51" t="s">
        <v>293</v>
      </c>
      <c r="N65" s="443" t="s">
        <v>263</v>
      </c>
      <c r="O65" s="443"/>
      <c r="P65" s="441">
        <v>20</v>
      </c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367"/>
      <c r="E66" s="370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367"/>
      <c r="E67" s="370"/>
      <c r="F67" s="440"/>
      <c r="G67" s="432"/>
      <c r="H67" s="432"/>
      <c r="I67" s="432"/>
      <c r="J67" s="432"/>
      <c r="K67" s="432"/>
      <c r="L67" s="432"/>
      <c r="M67" s="51"/>
      <c r="N67" s="443"/>
      <c r="O67" s="443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367"/>
      <c r="E68" s="370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367"/>
      <c r="E69" s="370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367"/>
      <c r="E70" s="370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568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369" t="s">
        <v>2</v>
      </c>
      <c r="D72" s="369" t="s">
        <v>37</v>
      </c>
      <c r="E72" s="369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368" t="s">
        <v>114</v>
      </c>
      <c r="D73" s="368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367"/>
      <c r="D74" s="367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367"/>
      <c r="D75" s="367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367"/>
      <c r="D76" s="367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367"/>
      <c r="D77" s="367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367"/>
      <c r="D78" s="367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367"/>
      <c r="D79" s="367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367"/>
      <c r="D80" s="367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367"/>
      <c r="D81" s="367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569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6425-6466-4DED-83E8-ED6E59E34009}">
  <sheetPr>
    <pageSetUpPr fitToPage="1"/>
  </sheetPr>
  <dimension ref="A1:AF86"/>
  <sheetViews>
    <sheetView tabSelected="1" zoomScale="72" zoomScaleNormal="72" zoomScaleSheetLayoutView="70" workbookViewId="0">
      <selection activeCell="A83" sqref="A83:B83"/>
    </sheetView>
  </sheetViews>
  <sheetFormatPr defaultRowHeight="14.25"/>
  <cols>
    <col min="1" max="1" width="4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625" style="50" bestFit="1" customWidth="1"/>
    <col min="7" max="7" width="8.125" style="50" bestFit="1" customWidth="1"/>
    <col min="8" max="8" width="10.75" style="50" bestFit="1" customWidth="1"/>
    <col min="9" max="9" width="16.875" style="50" customWidth="1"/>
    <col min="10" max="10" width="15.5" style="50" bestFit="1" customWidth="1"/>
    <col min="11" max="11" width="18.75" style="50" bestFit="1" customWidth="1"/>
    <col min="12" max="12" width="13.5" style="50" bestFit="1" customWidth="1"/>
    <col min="13" max="13" width="16.37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6.75" style="50" bestFit="1" customWidth="1"/>
    <col min="19" max="19" width="9.125" style="50" customWidth="1"/>
    <col min="20" max="20" width="6.5" style="50" bestFit="1" customWidth="1"/>
    <col min="21" max="21" width="6.75" style="50" bestFit="1" customWidth="1"/>
    <col min="22" max="23" width="9" style="50" bestFit="1" customWidth="1"/>
    <col min="24" max="24" width="7.125" style="50" bestFit="1" customWidth="1"/>
    <col min="25" max="26" width="6" style="50" bestFit="1" customWidth="1"/>
    <col min="27" max="27" width="6.5" style="50" bestFit="1" customWidth="1"/>
    <col min="28" max="30" width="8.25" style="50" bestFit="1" customWidth="1"/>
    <col min="31" max="31" width="6.125" style="50" bestFit="1" customWidth="1"/>
    <col min="32" max="32" width="9" style="87"/>
    <col min="33" max="33" width="17.625" style="50" customWidth="1"/>
    <col min="34" max="16384" width="9" style="50"/>
  </cols>
  <sheetData>
    <row r="1" spans="1:32" ht="44.25" customHeight="1">
      <c r="A1" s="494" t="s">
        <v>570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94"/>
      <c r="O1" s="494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94"/>
      <c r="B2" s="494"/>
      <c r="C2" s="494"/>
      <c r="D2" s="494"/>
      <c r="E2" s="494"/>
      <c r="F2" s="494"/>
      <c r="G2" s="494"/>
      <c r="H2" s="494"/>
      <c r="I2" s="494"/>
      <c r="J2" s="494"/>
      <c r="K2" s="494"/>
      <c r="L2" s="494"/>
      <c r="M2" s="494"/>
      <c r="N2" s="494"/>
      <c r="O2" s="494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95"/>
      <c r="B3" s="495"/>
      <c r="C3" s="495"/>
      <c r="D3" s="495"/>
      <c r="E3" s="495"/>
      <c r="F3" s="495"/>
      <c r="G3" s="495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96" t="s">
        <v>0</v>
      </c>
      <c r="B4" s="498" t="s">
        <v>1</v>
      </c>
      <c r="C4" s="498" t="s">
        <v>2</v>
      </c>
      <c r="D4" s="501" t="s">
        <v>3</v>
      </c>
      <c r="E4" s="503" t="s">
        <v>4</v>
      </c>
      <c r="F4" s="501" t="s">
        <v>5</v>
      </c>
      <c r="G4" s="498" t="s">
        <v>6</v>
      </c>
      <c r="H4" s="504" t="s">
        <v>7</v>
      </c>
      <c r="I4" s="484" t="s">
        <v>8</v>
      </c>
      <c r="J4" s="485"/>
      <c r="K4" s="485"/>
      <c r="L4" s="485"/>
      <c r="M4" s="485"/>
      <c r="N4" s="485"/>
      <c r="O4" s="486"/>
      <c r="P4" s="487" t="s">
        <v>9</v>
      </c>
      <c r="Q4" s="488"/>
      <c r="R4" s="489" t="s">
        <v>10</v>
      </c>
      <c r="S4" s="489"/>
      <c r="T4" s="489"/>
      <c r="U4" s="489"/>
      <c r="V4" s="489"/>
      <c r="W4" s="490" t="s">
        <v>11</v>
      </c>
      <c r="X4" s="489"/>
      <c r="Y4" s="489"/>
      <c r="Z4" s="489"/>
      <c r="AA4" s="491"/>
      <c r="AB4" s="492" t="s">
        <v>12</v>
      </c>
      <c r="AC4" s="465" t="s">
        <v>13</v>
      </c>
      <c r="AD4" s="465" t="s">
        <v>14</v>
      </c>
      <c r="AE4" s="54"/>
    </row>
    <row r="5" spans="1:32" ht="51" customHeight="1" thickBot="1">
      <c r="A5" s="497"/>
      <c r="B5" s="499"/>
      <c r="C5" s="500"/>
      <c r="D5" s="502"/>
      <c r="E5" s="502"/>
      <c r="F5" s="502"/>
      <c r="G5" s="499"/>
      <c r="H5" s="505"/>
      <c r="I5" s="55" t="s">
        <v>15</v>
      </c>
      <c r="J5" s="56" t="s">
        <v>16</v>
      </c>
      <c r="K5" s="379" t="s">
        <v>17</v>
      </c>
      <c r="L5" s="379" t="s">
        <v>18</v>
      </c>
      <c r="M5" s="379" t="s">
        <v>19</v>
      </c>
      <c r="N5" s="37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93"/>
      <c r="AC5" s="466"/>
      <c r="AD5" s="466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:K7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0.52909814411201372</v>
      </c>
      <c r="AF6" s="87">
        <f t="shared" ref="AF6:AF20" si="9">A6</f>
        <v>1</v>
      </c>
    </row>
    <row r="7" spans="1:32" ht="27" customHeight="1">
      <c r="A7" s="101">
        <v>2</v>
      </c>
      <c r="B7" s="11"/>
      <c r="C7" s="34"/>
      <c r="D7" s="52"/>
      <c r="E7" s="53"/>
      <c r="F7" s="30"/>
      <c r="G7" s="12"/>
      <c r="H7" s="13"/>
      <c r="I7" s="31"/>
      <c r="J7" s="5">
        <v>0</v>
      </c>
      <c r="K7" s="15">
        <f t="shared" si="0"/>
        <v>0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 t="str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0.52909814411201372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126</v>
      </c>
      <c r="D8" s="52" t="s">
        <v>123</v>
      </c>
      <c r="E8" s="53" t="s">
        <v>187</v>
      </c>
      <c r="F8" s="30" t="s">
        <v>124</v>
      </c>
      <c r="G8" s="33">
        <v>1</v>
      </c>
      <c r="H8" s="35">
        <v>24</v>
      </c>
      <c r="I8" s="7">
        <v>20000</v>
      </c>
      <c r="J8" s="14">
        <v>4852</v>
      </c>
      <c r="K8" s="15">
        <f>L8+3627+6014+3440</f>
        <v>17933</v>
      </c>
      <c r="L8" s="15">
        <f>2974+1878</f>
        <v>4852</v>
      </c>
      <c r="M8" s="15">
        <f t="shared" si="1"/>
        <v>4852</v>
      </c>
      <c r="N8" s="15">
        <v>0</v>
      </c>
      <c r="O8" s="58">
        <f t="shared" si="2"/>
        <v>0</v>
      </c>
      <c r="P8" s="39">
        <f t="shared" si="3"/>
        <v>21</v>
      </c>
      <c r="Q8" s="40">
        <f t="shared" si="4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0.875</v>
      </c>
      <c r="AD8" s="10">
        <f t="shared" si="7"/>
        <v>0.875</v>
      </c>
      <c r="AE8" s="36">
        <f t="shared" si="8"/>
        <v>0.52909814411201372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126</v>
      </c>
      <c r="D9" s="52" t="s">
        <v>157</v>
      </c>
      <c r="E9" s="53" t="s">
        <v>161</v>
      </c>
      <c r="F9" s="30" t="s">
        <v>162</v>
      </c>
      <c r="G9" s="33">
        <v>1</v>
      </c>
      <c r="H9" s="35">
        <v>24</v>
      </c>
      <c r="I9" s="7">
        <v>20000</v>
      </c>
      <c r="J9" s="14">
        <v>3228</v>
      </c>
      <c r="K9" s="15">
        <f>L9+1749+4518+2828+4327</f>
        <v>16650</v>
      </c>
      <c r="L9" s="15">
        <f>731+2497</f>
        <v>3228</v>
      </c>
      <c r="M9" s="15">
        <f t="shared" si="1"/>
        <v>3228</v>
      </c>
      <c r="N9" s="15">
        <v>0</v>
      </c>
      <c r="O9" s="58">
        <f t="shared" si="2"/>
        <v>0</v>
      </c>
      <c r="P9" s="39">
        <f t="shared" si="3"/>
        <v>17</v>
      </c>
      <c r="Q9" s="40">
        <f t="shared" si="4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0.70833333333333337</v>
      </c>
      <c r="AD9" s="10">
        <f t="shared" si="7"/>
        <v>0.70833333333333337</v>
      </c>
      <c r="AE9" s="36">
        <f t="shared" si="8"/>
        <v>0.52909814411201372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123</v>
      </c>
      <c r="E10" s="53" t="s">
        <v>473</v>
      </c>
      <c r="F10" s="30" t="s">
        <v>124</v>
      </c>
      <c r="G10" s="33">
        <v>1</v>
      </c>
      <c r="H10" s="35">
        <v>24</v>
      </c>
      <c r="I10" s="7">
        <v>66000</v>
      </c>
      <c r="J10" s="5">
        <v>3031</v>
      </c>
      <c r="K10" s="15">
        <f>L10+5412+6211+5786+5854+5578+2748</f>
        <v>34620</v>
      </c>
      <c r="L10" s="15">
        <v>3031</v>
      </c>
      <c r="M10" s="15">
        <f t="shared" si="1"/>
        <v>3031</v>
      </c>
      <c r="N10" s="15">
        <v>0</v>
      </c>
      <c r="O10" s="58">
        <f t="shared" si="2"/>
        <v>0</v>
      </c>
      <c r="P10" s="39">
        <f t="shared" si="3"/>
        <v>17</v>
      </c>
      <c r="Q10" s="40">
        <f t="shared" si="4"/>
        <v>7</v>
      </c>
      <c r="R10" s="7"/>
      <c r="S10" s="6">
        <v>7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0.70833333333333337</v>
      </c>
      <c r="AD10" s="10">
        <f>AC10*AB10*(1-O10)</f>
        <v>0.70833333333333337</v>
      </c>
      <c r="AE10" s="36">
        <f t="shared" si="8"/>
        <v>0.52909814411201372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129</v>
      </c>
      <c r="E11" s="53" t="s">
        <v>131</v>
      </c>
      <c r="F11" s="30" t="s">
        <v>132</v>
      </c>
      <c r="G11" s="33">
        <v>1</v>
      </c>
      <c r="H11" s="35">
        <v>20</v>
      </c>
      <c r="I11" s="7">
        <v>24000</v>
      </c>
      <c r="J11" s="14">
        <v>625</v>
      </c>
      <c r="K11" s="15">
        <f>L11</f>
        <v>625</v>
      </c>
      <c r="L11" s="15">
        <f>625</f>
        <v>625</v>
      </c>
      <c r="M11" s="15">
        <f t="shared" si="1"/>
        <v>625</v>
      </c>
      <c r="N11" s="15">
        <v>0</v>
      </c>
      <c r="O11" s="58">
        <f t="shared" si="2"/>
        <v>0</v>
      </c>
      <c r="P11" s="39">
        <f t="shared" si="3"/>
        <v>5</v>
      </c>
      <c r="Q11" s="40">
        <f t="shared" si="4"/>
        <v>19</v>
      </c>
      <c r="R11" s="7">
        <v>19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0.20833333333333334</v>
      </c>
      <c r="AD11" s="10">
        <f t="shared" si="7"/>
        <v>0.20833333333333334</v>
      </c>
      <c r="AE11" s="36">
        <f t="shared" si="8"/>
        <v>0.52909814411201372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488</v>
      </c>
      <c r="F12" s="30" t="s">
        <v>124</v>
      </c>
      <c r="G12" s="33">
        <v>1</v>
      </c>
      <c r="H12" s="35">
        <v>20</v>
      </c>
      <c r="I12" s="7">
        <v>66000</v>
      </c>
      <c r="J12" s="14">
        <v>5047</v>
      </c>
      <c r="K12" s="15">
        <f>L12+4590+5372+5104+5047</f>
        <v>22471</v>
      </c>
      <c r="L12" s="15">
        <v>2358</v>
      </c>
      <c r="M12" s="15">
        <f t="shared" si="1"/>
        <v>2358</v>
      </c>
      <c r="N12" s="15">
        <v>0</v>
      </c>
      <c r="O12" s="58">
        <f t="shared" si="2"/>
        <v>0</v>
      </c>
      <c r="P12" s="39">
        <f t="shared" si="3"/>
        <v>16</v>
      </c>
      <c r="Q12" s="40">
        <f t="shared" si="4"/>
        <v>8</v>
      </c>
      <c r="R12" s="7"/>
      <c r="S12" s="6">
        <v>8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0.46720824252030907</v>
      </c>
      <c r="AC12" s="9">
        <f t="shared" si="6"/>
        <v>0.66666666666666663</v>
      </c>
      <c r="AD12" s="10">
        <f t="shared" si="7"/>
        <v>0.31147216168020603</v>
      </c>
      <c r="AE12" s="36">
        <f t="shared" si="8"/>
        <v>0.52909814411201372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154</v>
      </c>
      <c r="D13" s="52" t="s">
        <v>117</v>
      </c>
      <c r="E13" s="53" t="s">
        <v>565</v>
      </c>
      <c r="F13" s="30" t="s">
        <v>153</v>
      </c>
      <c r="G13" s="33">
        <v>1</v>
      </c>
      <c r="H13" s="35">
        <v>24</v>
      </c>
      <c r="I13" s="7">
        <v>2000</v>
      </c>
      <c r="J13" s="14">
        <v>2495</v>
      </c>
      <c r="K13" s="15">
        <f>L13</f>
        <v>2495</v>
      </c>
      <c r="L13" s="15">
        <f>1110+1385</f>
        <v>2495</v>
      </c>
      <c r="M13" s="15">
        <f t="shared" si="1"/>
        <v>2495</v>
      </c>
      <c r="N13" s="15">
        <v>0</v>
      </c>
      <c r="O13" s="58">
        <f t="shared" si="2"/>
        <v>0</v>
      </c>
      <c r="P13" s="39">
        <f t="shared" si="3"/>
        <v>15</v>
      </c>
      <c r="Q13" s="40">
        <f t="shared" si="4"/>
        <v>9</v>
      </c>
      <c r="R13" s="7"/>
      <c r="S13" s="6"/>
      <c r="T13" s="16"/>
      <c r="U13" s="16"/>
      <c r="V13" s="17"/>
      <c r="W13" s="5">
        <v>9</v>
      </c>
      <c r="X13" s="16"/>
      <c r="Y13" s="16"/>
      <c r="Z13" s="16"/>
      <c r="AA13" s="18"/>
      <c r="AB13" s="8">
        <f t="shared" si="5"/>
        <v>1</v>
      </c>
      <c r="AC13" s="9">
        <f t="shared" si="6"/>
        <v>0.625</v>
      </c>
      <c r="AD13" s="10">
        <f t="shared" si="7"/>
        <v>0.625</v>
      </c>
      <c r="AE13" s="36">
        <f t="shared" si="8"/>
        <v>0.52909814411201372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556</v>
      </c>
      <c r="F14" s="30" t="s">
        <v>405</v>
      </c>
      <c r="G14" s="33">
        <v>1</v>
      </c>
      <c r="H14" s="35">
        <v>40</v>
      </c>
      <c r="I14" s="7">
        <v>2000</v>
      </c>
      <c r="J14" s="5">
        <v>935</v>
      </c>
      <c r="K14" s="15">
        <f>L14+551</f>
        <v>1486</v>
      </c>
      <c r="L14" s="15">
        <v>935</v>
      </c>
      <c r="M14" s="15">
        <f t="shared" si="1"/>
        <v>935</v>
      </c>
      <c r="N14" s="15">
        <v>0</v>
      </c>
      <c r="O14" s="58">
        <f t="shared" si="2"/>
        <v>0</v>
      </c>
      <c r="P14" s="39">
        <f t="shared" si="3"/>
        <v>11</v>
      </c>
      <c r="Q14" s="40">
        <f t="shared" si="4"/>
        <v>13</v>
      </c>
      <c r="R14" s="7"/>
      <c r="S14" s="6"/>
      <c r="T14" s="16"/>
      <c r="U14" s="16"/>
      <c r="V14" s="17">
        <v>13</v>
      </c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0.45833333333333331</v>
      </c>
      <c r="AD14" s="10">
        <f t="shared" si="7"/>
        <v>0.45833333333333331</v>
      </c>
      <c r="AE14" s="36">
        <f t="shared" si="8"/>
        <v>0.52909814411201372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523</v>
      </c>
      <c r="D15" s="52"/>
      <c r="E15" s="53" t="s">
        <v>525</v>
      </c>
      <c r="F15" s="12" t="s">
        <v>524</v>
      </c>
      <c r="G15" s="12">
        <v>7</v>
      </c>
      <c r="H15" s="13">
        <v>24</v>
      </c>
      <c r="I15" s="31">
        <v>50000</v>
      </c>
      <c r="J15" s="14">
        <v>23037</v>
      </c>
      <c r="K15" s="15">
        <f>L15+34377+48783</f>
        <v>106197</v>
      </c>
      <c r="L15" s="15">
        <f>3291*7</f>
        <v>23037</v>
      </c>
      <c r="M15" s="15">
        <f t="shared" si="1"/>
        <v>23037</v>
      </c>
      <c r="N15" s="15">
        <v>0</v>
      </c>
      <c r="O15" s="58">
        <f t="shared" si="2"/>
        <v>0</v>
      </c>
      <c r="P15" s="39">
        <f t="shared" si="3"/>
        <v>11</v>
      </c>
      <c r="Q15" s="40">
        <f t="shared" si="4"/>
        <v>13</v>
      </c>
      <c r="R15" s="7"/>
      <c r="S15" s="6"/>
      <c r="T15" s="16"/>
      <c r="U15" s="16"/>
      <c r="V15" s="17"/>
      <c r="W15" s="5">
        <v>13</v>
      </c>
      <c r="X15" s="16"/>
      <c r="Y15" s="16"/>
      <c r="Z15" s="16"/>
      <c r="AA15" s="18"/>
      <c r="AB15" s="8">
        <f t="shared" si="5"/>
        <v>1</v>
      </c>
      <c r="AC15" s="9">
        <f t="shared" si="6"/>
        <v>0.45833333333333331</v>
      </c>
      <c r="AD15" s="10">
        <f t="shared" si="7"/>
        <v>0.45833333333333331</v>
      </c>
      <c r="AE15" s="36">
        <f t="shared" si="8"/>
        <v>0.52909814411201372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11" t="s">
        <v>351</v>
      </c>
      <c r="D16" s="52" t="s">
        <v>359</v>
      </c>
      <c r="E16" s="53" t="s">
        <v>561</v>
      </c>
      <c r="F16" s="12" t="s">
        <v>156</v>
      </c>
      <c r="G16" s="12">
        <v>4</v>
      </c>
      <c r="H16" s="13">
        <v>24</v>
      </c>
      <c r="I16" s="7">
        <v>50000</v>
      </c>
      <c r="J16" s="14">
        <v>27428</v>
      </c>
      <c r="K16" s="15">
        <f>L16+18176</f>
        <v>45604</v>
      </c>
      <c r="L16" s="15">
        <f>4680*4+2177*4</f>
        <v>27428</v>
      </c>
      <c r="M16" s="15">
        <f t="shared" si="1"/>
        <v>27428</v>
      </c>
      <c r="N16" s="15">
        <v>0</v>
      </c>
      <c r="O16" s="58">
        <f t="shared" si="2"/>
        <v>0</v>
      </c>
      <c r="P16" s="39">
        <f t="shared" si="3"/>
        <v>21</v>
      </c>
      <c r="Q16" s="40">
        <f t="shared" si="4"/>
        <v>3</v>
      </c>
      <c r="R16" s="7"/>
      <c r="S16" s="6">
        <v>3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0.875</v>
      </c>
      <c r="AD16" s="10">
        <f t="shared" si="7"/>
        <v>0.875</v>
      </c>
      <c r="AE16" s="36">
        <f t="shared" si="8"/>
        <v>0.52909814411201372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339</v>
      </c>
      <c r="D17" s="52" t="s">
        <v>338</v>
      </c>
      <c r="E17" s="53" t="s">
        <v>340</v>
      </c>
      <c r="F17" s="12" t="s">
        <v>155</v>
      </c>
      <c r="G17" s="12">
        <v>1</v>
      </c>
      <c r="H17" s="13">
        <v>24</v>
      </c>
      <c r="I17" s="31">
        <v>1350</v>
      </c>
      <c r="J17" s="14">
        <v>1972</v>
      </c>
      <c r="K17" s="15">
        <f>L17</f>
        <v>1972</v>
      </c>
      <c r="L17" s="15">
        <f>1446+526</f>
        <v>1972</v>
      </c>
      <c r="M17" s="15">
        <f t="shared" si="1"/>
        <v>1972</v>
      </c>
      <c r="N17" s="15">
        <v>0</v>
      </c>
      <c r="O17" s="58">
        <f t="shared" si="2"/>
        <v>0</v>
      </c>
      <c r="P17" s="39">
        <f t="shared" si="3"/>
        <v>11</v>
      </c>
      <c r="Q17" s="40">
        <f t="shared" si="4"/>
        <v>13</v>
      </c>
      <c r="R17" s="7"/>
      <c r="S17" s="6">
        <v>13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0.45833333333333331</v>
      </c>
      <c r="AD17" s="10">
        <f t="shared" si="7"/>
        <v>0.45833333333333331</v>
      </c>
      <c r="AE17" s="36">
        <f t="shared" si="8"/>
        <v>0.52909814411201372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126</v>
      </c>
      <c r="D18" s="52" t="s">
        <v>157</v>
      </c>
      <c r="E18" s="53" t="s">
        <v>504</v>
      </c>
      <c r="F18" s="30" t="s">
        <v>162</v>
      </c>
      <c r="G18" s="33">
        <v>1</v>
      </c>
      <c r="H18" s="35">
        <v>24</v>
      </c>
      <c r="I18" s="7">
        <v>15000</v>
      </c>
      <c r="J18" s="5">
        <v>3247</v>
      </c>
      <c r="K18" s="15">
        <f>L18+3168+5338+5568</f>
        <v>17321</v>
      </c>
      <c r="L18" s="15">
        <f>2899+348</f>
        <v>3247</v>
      </c>
      <c r="M18" s="15">
        <f t="shared" si="1"/>
        <v>3247</v>
      </c>
      <c r="N18" s="15">
        <v>0</v>
      </c>
      <c r="O18" s="58">
        <f t="shared" si="2"/>
        <v>0</v>
      </c>
      <c r="P18" s="39">
        <f t="shared" si="3"/>
        <v>17</v>
      </c>
      <c r="Q18" s="40">
        <f t="shared" si="4"/>
        <v>7</v>
      </c>
      <c r="R18" s="7"/>
      <c r="S18" s="6">
        <v>7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0.70833333333333337</v>
      </c>
      <c r="AD18" s="10">
        <f>AC18*AB18*(1-O18)</f>
        <v>0.70833333333333337</v>
      </c>
      <c r="AE18" s="36">
        <f t="shared" si="8"/>
        <v>0.52909814411201372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126</v>
      </c>
      <c r="D19" s="52" t="s">
        <v>117</v>
      </c>
      <c r="E19" s="53" t="s">
        <v>267</v>
      </c>
      <c r="F19" s="30" t="s">
        <v>122</v>
      </c>
      <c r="G19" s="33">
        <v>1</v>
      </c>
      <c r="H19" s="35">
        <v>24</v>
      </c>
      <c r="I19" s="7">
        <v>20000</v>
      </c>
      <c r="J19" s="5">
        <v>5068</v>
      </c>
      <c r="K19" s="15">
        <f>L19+4101+4998</f>
        <v>14167</v>
      </c>
      <c r="L19" s="15">
        <f>2600+2468</f>
        <v>5068</v>
      </c>
      <c r="M19" s="15">
        <f t="shared" si="1"/>
        <v>5068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" si="10">AC19*AB19*(1-O19)</f>
        <v>1</v>
      </c>
      <c r="AE19" s="36">
        <f t="shared" si="8"/>
        <v>0.52909814411201372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359</v>
      </c>
      <c r="F20" s="12" t="s">
        <v>116</v>
      </c>
      <c r="G20" s="12">
        <v>4</v>
      </c>
      <c r="H20" s="35">
        <v>20</v>
      </c>
      <c r="I20" s="7">
        <v>300000</v>
      </c>
      <c r="J20" s="14">
        <v>45080</v>
      </c>
      <c r="K20" s="15">
        <f>L20+38252+40960+86480+92928+4420</f>
        <v>308120</v>
      </c>
      <c r="L20" s="15">
        <f>11270*4</f>
        <v>45080</v>
      </c>
      <c r="M20" s="15">
        <f t="shared" si="1"/>
        <v>45080</v>
      </c>
      <c r="N20" s="15">
        <v>0</v>
      </c>
      <c r="O20" s="58">
        <f t="shared" si="2"/>
        <v>0</v>
      </c>
      <c r="P20" s="39">
        <f t="shared" si="3"/>
        <v>13</v>
      </c>
      <c r="Q20" s="40">
        <f t="shared" si="4"/>
        <v>11</v>
      </c>
      <c r="R20" s="7"/>
      <c r="S20" s="6"/>
      <c r="T20" s="16"/>
      <c r="U20" s="16"/>
      <c r="V20" s="17">
        <v>11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0.54166666666666663</v>
      </c>
      <c r="AD20" s="10">
        <f t="shared" si="7"/>
        <v>0.54166666666666663</v>
      </c>
      <c r="AE20" s="36">
        <f t="shared" si="8"/>
        <v>0.52909814411201372</v>
      </c>
      <c r="AF20" s="87">
        <f t="shared" si="9"/>
        <v>15</v>
      </c>
    </row>
    <row r="21" spans="1:32" ht="31.5" customHeight="1" thickBot="1">
      <c r="A21" s="467" t="s">
        <v>34</v>
      </c>
      <c r="B21" s="468"/>
      <c r="C21" s="468"/>
      <c r="D21" s="468"/>
      <c r="E21" s="468"/>
      <c r="F21" s="468"/>
      <c r="G21" s="468"/>
      <c r="H21" s="469"/>
      <c r="I21" s="22">
        <f t="shared" ref="I21:N21" si="11">SUM(I6:I20)</f>
        <v>636350</v>
      </c>
      <c r="J21" s="19">
        <f t="shared" si="11"/>
        <v>126045</v>
      </c>
      <c r="K21" s="20">
        <f t="shared" si="11"/>
        <v>589661</v>
      </c>
      <c r="L21" s="21">
        <f t="shared" si="11"/>
        <v>123356</v>
      </c>
      <c r="M21" s="20">
        <f t="shared" si="11"/>
        <v>123356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199</v>
      </c>
      <c r="Q21" s="43">
        <f t="shared" si="12"/>
        <v>161</v>
      </c>
      <c r="R21" s="23">
        <f t="shared" si="12"/>
        <v>43</v>
      </c>
      <c r="S21" s="24">
        <f t="shared" si="12"/>
        <v>48</v>
      </c>
      <c r="T21" s="24">
        <f t="shared" si="12"/>
        <v>0</v>
      </c>
      <c r="U21" s="24">
        <f t="shared" si="12"/>
        <v>0</v>
      </c>
      <c r="V21" s="25">
        <f t="shared" si="12"/>
        <v>24</v>
      </c>
      <c r="W21" s="26">
        <f t="shared" si="12"/>
        <v>46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0</v>
      </c>
      <c r="AB21" s="28">
        <f>SUM(AB6:AB20)/15</f>
        <v>0.83114721616802056</v>
      </c>
      <c r="AC21" s="4">
        <f>SUM(AC6:AC20)/15</f>
        <v>0.5527777777777777</v>
      </c>
      <c r="AD21" s="4">
        <f>SUM(AD6:AD20)/15</f>
        <v>0.52909814411201372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470" t="s">
        <v>45</v>
      </c>
      <c r="B48" s="470"/>
      <c r="C48" s="470"/>
      <c r="D48" s="470"/>
      <c r="E48" s="470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471" t="s">
        <v>571</v>
      </c>
      <c r="B49" s="472"/>
      <c r="C49" s="472"/>
      <c r="D49" s="472"/>
      <c r="E49" s="472"/>
      <c r="F49" s="472"/>
      <c r="G49" s="472"/>
      <c r="H49" s="472"/>
      <c r="I49" s="472"/>
      <c r="J49" s="472"/>
      <c r="K49" s="472"/>
      <c r="L49" s="472"/>
      <c r="M49" s="473"/>
      <c r="N49" s="474" t="s">
        <v>574</v>
      </c>
      <c r="O49" s="475"/>
      <c r="P49" s="475"/>
      <c r="Q49" s="475"/>
      <c r="R49" s="475"/>
      <c r="S49" s="475"/>
      <c r="T49" s="475"/>
      <c r="U49" s="475"/>
      <c r="V49" s="475"/>
      <c r="W49" s="475"/>
      <c r="X49" s="475"/>
      <c r="Y49" s="475"/>
      <c r="Z49" s="475"/>
      <c r="AA49" s="475"/>
      <c r="AB49" s="475"/>
      <c r="AC49" s="475"/>
      <c r="AD49" s="476"/>
    </row>
    <row r="50" spans="1:32" ht="27" customHeight="1">
      <c r="A50" s="477" t="s">
        <v>2</v>
      </c>
      <c r="B50" s="478"/>
      <c r="C50" s="380" t="s">
        <v>46</v>
      </c>
      <c r="D50" s="380" t="s">
        <v>47</v>
      </c>
      <c r="E50" s="380" t="s">
        <v>108</v>
      </c>
      <c r="F50" s="478" t="s">
        <v>107</v>
      </c>
      <c r="G50" s="478"/>
      <c r="H50" s="478"/>
      <c r="I50" s="478"/>
      <c r="J50" s="478"/>
      <c r="K50" s="478"/>
      <c r="L50" s="478"/>
      <c r="M50" s="479"/>
      <c r="N50" s="67" t="s">
        <v>112</v>
      </c>
      <c r="O50" s="380" t="s">
        <v>46</v>
      </c>
      <c r="P50" s="480" t="s">
        <v>47</v>
      </c>
      <c r="Q50" s="481"/>
      <c r="R50" s="480" t="s">
        <v>38</v>
      </c>
      <c r="S50" s="482"/>
      <c r="T50" s="482"/>
      <c r="U50" s="481"/>
      <c r="V50" s="480" t="s">
        <v>48</v>
      </c>
      <c r="W50" s="482"/>
      <c r="X50" s="482"/>
      <c r="Y50" s="482"/>
      <c r="Z50" s="482"/>
      <c r="AA50" s="482"/>
      <c r="AB50" s="482"/>
      <c r="AC50" s="482"/>
      <c r="AD50" s="483"/>
    </row>
    <row r="51" spans="1:32" ht="27" customHeight="1">
      <c r="A51" s="451" t="s">
        <v>126</v>
      </c>
      <c r="B51" s="452"/>
      <c r="C51" s="382" t="s">
        <v>135</v>
      </c>
      <c r="D51" s="382" t="s">
        <v>157</v>
      </c>
      <c r="E51" s="382" t="s">
        <v>161</v>
      </c>
      <c r="F51" s="453" t="s">
        <v>572</v>
      </c>
      <c r="G51" s="454"/>
      <c r="H51" s="454"/>
      <c r="I51" s="454"/>
      <c r="J51" s="454"/>
      <c r="K51" s="454"/>
      <c r="L51" s="454"/>
      <c r="M51" s="455"/>
      <c r="N51" s="381" t="s">
        <v>126</v>
      </c>
      <c r="O51" s="387" t="s">
        <v>135</v>
      </c>
      <c r="P51" s="463" t="s">
        <v>157</v>
      </c>
      <c r="Q51" s="464"/>
      <c r="R51" s="452" t="s">
        <v>161</v>
      </c>
      <c r="S51" s="452"/>
      <c r="T51" s="452"/>
      <c r="U51" s="452"/>
      <c r="V51" s="442" t="s">
        <v>137</v>
      </c>
      <c r="W51" s="442"/>
      <c r="X51" s="442"/>
      <c r="Y51" s="442"/>
      <c r="Z51" s="442"/>
      <c r="AA51" s="442"/>
      <c r="AB51" s="442"/>
      <c r="AC51" s="442"/>
      <c r="AD51" s="456"/>
    </row>
    <row r="52" spans="1:32" ht="27" customHeight="1">
      <c r="A52" s="451" t="s">
        <v>114</v>
      </c>
      <c r="B52" s="452"/>
      <c r="C52" s="382" t="s">
        <v>221</v>
      </c>
      <c r="D52" s="382" t="s">
        <v>129</v>
      </c>
      <c r="E52" s="382" t="s">
        <v>131</v>
      </c>
      <c r="F52" s="453" t="s">
        <v>332</v>
      </c>
      <c r="G52" s="454"/>
      <c r="H52" s="454"/>
      <c r="I52" s="454"/>
      <c r="J52" s="454"/>
      <c r="K52" s="454"/>
      <c r="L52" s="454"/>
      <c r="M52" s="455"/>
      <c r="N52" s="381" t="s">
        <v>339</v>
      </c>
      <c r="O52" s="387" t="s">
        <v>263</v>
      </c>
      <c r="P52" s="463" t="s">
        <v>575</v>
      </c>
      <c r="Q52" s="464"/>
      <c r="R52" s="452" t="s">
        <v>337</v>
      </c>
      <c r="S52" s="452"/>
      <c r="T52" s="452"/>
      <c r="U52" s="452"/>
      <c r="V52" s="442" t="s">
        <v>121</v>
      </c>
      <c r="W52" s="442"/>
      <c r="X52" s="442"/>
      <c r="Y52" s="442"/>
      <c r="Z52" s="442"/>
      <c r="AA52" s="442"/>
      <c r="AB52" s="442"/>
      <c r="AC52" s="442"/>
      <c r="AD52" s="456"/>
    </row>
    <row r="53" spans="1:32" ht="27" customHeight="1">
      <c r="A53" s="451" t="s">
        <v>154</v>
      </c>
      <c r="B53" s="452"/>
      <c r="C53" s="382" t="s">
        <v>182</v>
      </c>
      <c r="D53" s="382" t="s">
        <v>117</v>
      </c>
      <c r="E53" s="382" t="s">
        <v>565</v>
      </c>
      <c r="F53" s="453" t="s">
        <v>121</v>
      </c>
      <c r="G53" s="454"/>
      <c r="H53" s="454"/>
      <c r="I53" s="454"/>
      <c r="J53" s="454"/>
      <c r="K53" s="454"/>
      <c r="L53" s="454"/>
      <c r="M53" s="455"/>
      <c r="N53" s="381"/>
      <c r="O53" s="387"/>
      <c r="P53" s="463"/>
      <c r="Q53" s="464"/>
      <c r="R53" s="452"/>
      <c r="S53" s="452"/>
      <c r="T53" s="452"/>
      <c r="U53" s="452"/>
      <c r="V53" s="442"/>
      <c r="W53" s="442"/>
      <c r="X53" s="442"/>
      <c r="Y53" s="442"/>
      <c r="Z53" s="442"/>
      <c r="AA53" s="442"/>
      <c r="AB53" s="442"/>
      <c r="AC53" s="442"/>
      <c r="AD53" s="456"/>
    </row>
    <row r="54" spans="1:32" ht="27" customHeight="1">
      <c r="A54" s="451" t="s">
        <v>126</v>
      </c>
      <c r="B54" s="452"/>
      <c r="C54" s="382" t="s">
        <v>188</v>
      </c>
      <c r="D54" s="382" t="s">
        <v>123</v>
      </c>
      <c r="E54" s="382" t="s">
        <v>187</v>
      </c>
      <c r="F54" s="453" t="s">
        <v>573</v>
      </c>
      <c r="G54" s="454"/>
      <c r="H54" s="454"/>
      <c r="I54" s="454"/>
      <c r="J54" s="454"/>
      <c r="K54" s="454"/>
      <c r="L54" s="454"/>
      <c r="M54" s="455"/>
      <c r="N54" s="381"/>
      <c r="O54" s="387"/>
      <c r="P54" s="463"/>
      <c r="Q54" s="464"/>
      <c r="R54" s="452"/>
      <c r="S54" s="452"/>
      <c r="T54" s="452"/>
      <c r="U54" s="452"/>
      <c r="V54" s="442"/>
      <c r="W54" s="442"/>
      <c r="X54" s="442"/>
      <c r="Y54" s="442"/>
      <c r="Z54" s="442"/>
      <c r="AA54" s="442"/>
      <c r="AB54" s="442"/>
      <c r="AC54" s="442"/>
      <c r="AD54" s="456"/>
    </row>
    <row r="55" spans="1:32" ht="27" customHeight="1">
      <c r="A55" s="451" t="s">
        <v>351</v>
      </c>
      <c r="B55" s="452"/>
      <c r="C55" s="382" t="s">
        <v>287</v>
      </c>
      <c r="D55" s="382" t="s">
        <v>359</v>
      </c>
      <c r="E55" s="382" t="s">
        <v>561</v>
      </c>
      <c r="F55" s="453" t="s">
        <v>137</v>
      </c>
      <c r="G55" s="454"/>
      <c r="H55" s="454"/>
      <c r="I55" s="454"/>
      <c r="J55" s="454"/>
      <c r="K55" s="454"/>
      <c r="L55" s="454"/>
      <c r="M55" s="455"/>
      <c r="N55" s="381"/>
      <c r="O55" s="387"/>
      <c r="P55" s="463"/>
      <c r="Q55" s="464"/>
      <c r="R55" s="452"/>
      <c r="S55" s="452"/>
      <c r="T55" s="452"/>
      <c r="U55" s="452"/>
      <c r="V55" s="442"/>
      <c r="W55" s="442"/>
      <c r="X55" s="442"/>
      <c r="Y55" s="442"/>
      <c r="Z55" s="442"/>
      <c r="AA55" s="442"/>
      <c r="AB55" s="442"/>
      <c r="AC55" s="442"/>
      <c r="AD55" s="456"/>
    </row>
    <row r="56" spans="1:32" ht="27" customHeight="1">
      <c r="A56" s="451" t="s">
        <v>114</v>
      </c>
      <c r="B56" s="452"/>
      <c r="C56" s="382" t="s">
        <v>147</v>
      </c>
      <c r="D56" s="382" t="s">
        <v>123</v>
      </c>
      <c r="E56" s="382" t="s">
        <v>473</v>
      </c>
      <c r="F56" s="453" t="s">
        <v>137</v>
      </c>
      <c r="G56" s="454"/>
      <c r="H56" s="454"/>
      <c r="I56" s="454"/>
      <c r="J56" s="454"/>
      <c r="K56" s="454"/>
      <c r="L56" s="454"/>
      <c r="M56" s="455"/>
      <c r="N56" s="381"/>
      <c r="O56" s="387"/>
      <c r="P56" s="463"/>
      <c r="Q56" s="464"/>
      <c r="R56" s="452"/>
      <c r="S56" s="452"/>
      <c r="T56" s="452"/>
      <c r="U56" s="452"/>
      <c r="V56" s="442"/>
      <c r="W56" s="442"/>
      <c r="X56" s="442"/>
      <c r="Y56" s="442"/>
      <c r="Z56" s="442"/>
      <c r="AA56" s="442"/>
      <c r="AB56" s="442"/>
      <c r="AC56" s="442"/>
      <c r="AD56" s="456"/>
    </row>
    <row r="57" spans="1:32" ht="27" customHeight="1">
      <c r="A57" s="451" t="s">
        <v>339</v>
      </c>
      <c r="B57" s="452"/>
      <c r="C57" s="382" t="s">
        <v>263</v>
      </c>
      <c r="D57" s="382" t="s">
        <v>575</v>
      </c>
      <c r="E57" s="382" t="s">
        <v>340</v>
      </c>
      <c r="F57" s="453" t="s">
        <v>121</v>
      </c>
      <c r="G57" s="454"/>
      <c r="H57" s="454"/>
      <c r="I57" s="454"/>
      <c r="J57" s="454"/>
      <c r="K57" s="454"/>
      <c r="L57" s="454"/>
      <c r="M57" s="455"/>
      <c r="N57" s="381"/>
      <c r="O57" s="387"/>
      <c r="P57" s="463"/>
      <c r="Q57" s="464"/>
      <c r="R57" s="452"/>
      <c r="S57" s="452"/>
      <c r="T57" s="452"/>
      <c r="U57" s="452"/>
      <c r="V57" s="442"/>
      <c r="W57" s="442"/>
      <c r="X57" s="442"/>
      <c r="Y57" s="442"/>
      <c r="Z57" s="442"/>
      <c r="AA57" s="442"/>
      <c r="AB57" s="442"/>
      <c r="AC57" s="442"/>
      <c r="AD57" s="456"/>
    </row>
    <row r="58" spans="1:32" ht="27" customHeight="1">
      <c r="A58" s="451"/>
      <c r="B58" s="452"/>
      <c r="C58" s="382"/>
      <c r="D58" s="382"/>
      <c r="E58" s="382"/>
      <c r="F58" s="453"/>
      <c r="G58" s="454"/>
      <c r="H58" s="454"/>
      <c r="I58" s="454"/>
      <c r="J58" s="454"/>
      <c r="K58" s="454"/>
      <c r="L58" s="454"/>
      <c r="M58" s="455"/>
      <c r="N58" s="381"/>
      <c r="O58" s="387"/>
      <c r="P58" s="463"/>
      <c r="Q58" s="464"/>
      <c r="R58" s="452"/>
      <c r="S58" s="452"/>
      <c r="T58" s="452"/>
      <c r="U58" s="452"/>
      <c r="V58" s="442"/>
      <c r="W58" s="442"/>
      <c r="X58" s="442"/>
      <c r="Y58" s="442"/>
      <c r="Z58" s="442"/>
      <c r="AA58" s="442"/>
      <c r="AB58" s="442"/>
      <c r="AC58" s="442"/>
      <c r="AD58" s="456"/>
    </row>
    <row r="59" spans="1:32" ht="27" customHeight="1">
      <c r="A59" s="451"/>
      <c r="B59" s="452"/>
      <c r="C59" s="382"/>
      <c r="D59" s="382"/>
      <c r="E59" s="382"/>
      <c r="F59" s="453"/>
      <c r="G59" s="454"/>
      <c r="H59" s="454"/>
      <c r="I59" s="454"/>
      <c r="J59" s="454"/>
      <c r="K59" s="454"/>
      <c r="L59" s="454"/>
      <c r="M59" s="455"/>
      <c r="N59" s="381"/>
      <c r="O59" s="387"/>
      <c r="P59" s="452"/>
      <c r="Q59" s="452"/>
      <c r="R59" s="452"/>
      <c r="S59" s="452"/>
      <c r="T59" s="452"/>
      <c r="U59" s="452"/>
      <c r="V59" s="442"/>
      <c r="W59" s="442"/>
      <c r="X59" s="442"/>
      <c r="Y59" s="442"/>
      <c r="Z59" s="442"/>
      <c r="AA59" s="442"/>
      <c r="AB59" s="442"/>
      <c r="AC59" s="442"/>
      <c r="AD59" s="456"/>
      <c r="AF59" s="87">
        <f>8*3000</f>
        <v>24000</v>
      </c>
    </row>
    <row r="60" spans="1:32" ht="27" customHeight="1" thickBot="1">
      <c r="A60" s="506"/>
      <c r="B60" s="507"/>
      <c r="C60" s="384"/>
      <c r="D60" s="384"/>
      <c r="E60" s="384"/>
      <c r="F60" s="508"/>
      <c r="G60" s="509"/>
      <c r="H60" s="509"/>
      <c r="I60" s="509"/>
      <c r="J60" s="509"/>
      <c r="K60" s="509"/>
      <c r="L60" s="509"/>
      <c r="M60" s="510"/>
      <c r="N60" s="383"/>
      <c r="O60" s="114"/>
      <c r="P60" s="458"/>
      <c r="Q60" s="458"/>
      <c r="R60" s="458"/>
      <c r="S60" s="458"/>
      <c r="T60" s="458"/>
      <c r="U60" s="458"/>
      <c r="V60" s="461"/>
      <c r="W60" s="461"/>
      <c r="X60" s="461"/>
      <c r="Y60" s="461"/>
      <c r="Z60" s="461"/>
      <c r="AA60" s="461"/>
      <c r="AB60" s="461"/>
      <c r="AC60" s="461"/>
      <c r="AD60" s="462"/>
      <c r="AF60" s="87">
        <f>16*3000</f>
        <v>48000</v>
      </c>
    </row>
    <row r="61" spans="1:32" ht="27.75" thickBot="1">
      <c r="A61" s="449" t="s">
        <v>576</v>
      </c>
      <c r="B61" s="449"/>
      <c r="C61" s="449"/>
      <c r="D61" s="449"/>
      <c r="E61" s="449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50" t="s">
        <v>113</v>
      </c>
      <c r="B62" s="447"/>
      <c r="C62" s="385" t="s">
        <v>2</v>
      </c>
      <c r="D62" s="385" t="s">
        <v>37</v>
      </c>
      <c r="E62" s="385" t="s">
        <v>3</v>
      </c>
      <c r="F62" s="447" t="s">
        <v>110</v>
      </c>
      <c r="G62" s="447"/>
      <c r="H62" s="447"/>
      <c r="I62" s="447"/>
      <c r="J62" s="447"/>
      <c r="K62" s="447" t="s">
        <v>39</v>
      </c>
      <c r="L62" s="447"/>
      <c r="M62" s="385" t="s">
        <v>40</v>
      </c>
      <c r="N62" s="447" t="s">
        <v>41</v>
      </c>
      <c r="O62" s="447"/>
      <c r="P62" s="444" t="s">
        <v>42</v>
      </c>
      <c r="Q62" s="446"/>
      <c r="R62" s="444" t="s">
        <v>43</v>
      </c>
      <c r="S62" s="445"/>
      <c r="T62" s="445"/>
      <c r="U62" s="445"/>
      <c r="V62" s="445"/>
      <c r="W62" s="445"/>
      <c r="X62" s="445"/>
      <c r="Y62" s="445"/>
      <c r="Z62" s="445"/>
      <c r="AA62" s="446"/>
      <c r="AB62" s="447" t="s">
        <v>44</v>
      </c>
      <c r="AC62" s="447"/>
      <c r="AD62" s="448"/>
      <c r="AF62" s="87">
        <f>SUM(AF59:AF61)</f>
        <v>96000</v>
      </c>
    </row>
    <row r="63" spans="1:32" ht="25.5" customHeight="1">
      <c r="A63" s="438">
        <v>1</v>
      </c>
      <c r="B63" s="439"/>
      <c r="C63" s="117"/>
      <c r="D63" s="389"/>
      <c r="E63" s="386"/>
      <c r="F63" s="440"/>
      <c r="G63" s="432"/>
      <c r="H63" s="432"/>
      <c r="I63" s="432"/>
      <c r="J63" s="432"/>
      <c r="K63" s="432"/>
      <c r="L63" s="432"/>
      <c r="M63" s="51"/>
      <c r="N63" s="443"/>
      <c r="O63" s="443"/>
      <c r="P63" s="441"/>
      <c r="Q63" s="441"/>
      <c r="R63" s="442"/>
      <c r="S63" s="442"/>
      <c r="T63" s="442"/>
      <c r="U63" s="442"/>
      <c r="V63" s="442"/>
      <c r="W63" s="442"/>
      <c r="X63" s="442"/>
      <c r="Y63" s="442"/>
      <c r="Z63" s="442"/>
      <c r="AA63" s="442"/>
      <c r="AB63" s="432"/>
      <c r="AC63" s="432"/>
      <c r="AD63" s="433"/>
      <c r="AF63" s="50"/>
    </row>
    <row r="64" spans="1:32" ht="25.5" customHeight="1">
      <c r="A64" s="438">
        <v>2</v>
      </c>
      <c r="B64" s="439"/>
      <c r="C64" s="117"/>
      <c r="D64" s="389"/>
      <c r="E64" s="386"/>
      <c r="F64" s="440"/>
      <c r="G64" s="432"/>
      <c r="H64" s="432"/>
      <c r="I64" s="432"/>
      <c r="J64" s="432"/>
      <c r="K64" s="432"/>
      <c r="L64" s="432"/>
      <c r="M64" s="51"/>
      <c r="N64" s="443"/>
      <c r="O64" s="443"/>
      <c r="P64" s="441"/>
      <c r="Q64" s="441"/>
      <c r="R64" s="442"/>
      <c r="S64" s="442"/>
      <c r="T64" s="442"/>
      <c r="U64" s="442"/>
      <c r="V64" s="442"/>
      <c r="W64" s="442"/>
      <c r="X64" s="442"/>
      <c r="Y64" s="442"/>
      <c r="Z64" s="442"/>
      <c r="AA64" s="442"/>
      <c r="AB64" s="432"/>
      <c r="AC64" s="432"/>
      <c r="AD64" s="433"/>
      <c r="AF64" s="50"/>
    </row>
    <row r="65" spans="1:32" ht="25.5" customHeight="1">
      <c r="A65" s="438">
        <v>3</v>
      </c>
      <c r="B65" s="439"/>
      <c r="C65" s="117"/>
      <c r="D65" s="389"/>
      <c r="E65" s="386"/>
      <c r="F65" s="440"/>
      <c r="G65" s="432"/>
      <c r="H65" s="432"/>
      <c r="I65" s="432"/>
      <c r="J65" s="432"/>
      <c r="K65" s="432"/>
      <c r="L65" s="432"/>
      <c r="M65" s="51"/>
      <c r="N65" s="443"/>
      <c r="O65" s="443"/>
      <c r="P65" s="441"/>
      <c r="Q65" s="441"/>
      <c r="R65" s="442"/>
      <c r="S65" s="442"/>
      <c r="T65" s="442"/>
      <c r="U65" s="442"/>
      <c r="V65" s="442"/>
      <c r="W65" s="442"/>
      <c r="X65" s="442"/>
      <c r="Y65" s="442"/>
      <c r="Z65" s="442"/>
      <c r="AA65" s="442"/>
      <c r="AB65" s="432"/>
      <c r="AC65" s="432"/>
      <c r="AD65" s="433"/>
      <c r="AF65" s="50"/>
    </row>
    <row r="66" spans="1:32" ht="25.5" customHeight="1">
      <c r="A66" s="438">
        <v>4</v>
      </c>
      <c r="B66" s="439"/>
      <c r="C66" s="117"/>
      <c r="D66" s="389"/>
      <c r="E66" s="386"/>
      <c r="F66" s="440"/>
      <c r="G66" s="432"/>
      <c r="H66" s="432"/>
      <c r="I66" s="432"/>
      <c r="J66" s="432"/>
      <c r="K66" s="432"/>
      <c r="L66" s="432"/>
      <c r="M66" s="51"/>
      <c r="N66" s="443"/>
      <c r="O66" s="443"/>
      <c r="P66" s="441"/>
      <c r="Q66" s="441"/>
      <c r="R66" s="442"/>
      <c r="S66" s="442"/>
      <c r="T66" s="442"/>
      <c r="U66" s="442"/>
      <c r="V66" s="442"/>
      <c r="W66" s="442"/>
      <c r="X66" s="442"/>
      <c r="Y66" s="442"/>
      <c r="Z66" s="442"/>
      <c r="AA66" s="442"/>
      <c r="AB66" s="432"/>
      <c r="AC66" s="432"/>
      <c r="AD66" s="433"/>
      <c r="AF66" s="50"/>
    </row>
    <row r="67" spans="1:32" ht="25.5" customHeight="1">
      <c r="A67" s="438">
        <v>5</v>
      </c>
      <c r="B67" s="439"/>
      <c r="C67" s="117"/>
      <c r="D67" s="389"/>
      <c r="E67" s="386"/>
      <c r="F67" s="440"/>
      <c r="G67" s="432"/>
      <c r="H67" s="432"/>
      <c r="I67" s="432"/>
      <c r="J67" s="432"/>
      <c r="K67" s="432"/>
      <c r="L67" s="432"/>
      <c r="M67" s="51"/>
      <c r="N67" s="443"/>
      <c r="O67" s="443"/>
      <c r="P67" s="441"/>
      <c r="Q67" s="441"/>
      <c r="R67" s="442"/>
      <c r="S67" s="442"/>
      <c r="T67" s="442"/>
      <c r="U67" s="442"/>
      <c r="V67" s="442"/>
      <c r="W67" s="442"/>
      <c r="X67" s="442"/>
      <c r="Y67" s="442"/>
      <c r="Z67" s="442"/>
      <c r="AA67" s="442"/>
      <c r="AB67" s="432"/>
      <c r="AC67" s="432"/>
      <c r="AD67" s="433"/>
      <c r="AF67" s="50"/>
    </row>
    <row r="68" spans="1:32" ht="25.5" customHeight="1">
      <c r="A68" s="438">
        <v>6</v>
      </c>
      <c r="B68" s="439"/>
      <c r="C68" s="117"/>
      <c r="D68" s="389"/>
      <c r="E68" s="386"/>
      <c r="F68" s="440"/>
      <c r="G68" s="432"/>
      <c r="H68" s="432"/>
      <c r="I68" s="432"/>
      <c r="J68" s="432"/>
      <c r="K68" s="432"/>
      <c r="L68" s="432"/>
      <c r="M68" s="51"/>
      <c r="N68" s="432"/>
      <c r="O68" s="432"/>
      <c r="P68" s="441"/>
      <c r="Q68" s="441"/>
      <c r="R68" s="442"/>
      <c r="S68" s="442"/>
      <c r="T68" s="442"/>
      <c r="U68" s="442"/>
      <c r="V68" s="442"/>
      <c r="W68" s="442"/>
      <c r="X68" s="442"/>
      <c r="Y68" s="442"/>
      <c r="Z68" s="442"/>
      <c r="AA68" s="442"/>
      <c r="AB68" s="432"/>
      <c r="AC68" s="432"/>
      <c r="AD68" s="433"/>
      <c r="AF68" s="50"/>
    </row>
    <row r="69" spans="1:32" ht="25.5" customHeight="1">
      <c r="A69" s="438">
        <v>7</v>
      </c>
      <c r="B69" s="439"/>
      <c r="C69" s="117"/>
      <c r="D69" s="389"/>
      <c r="E69" s="386"/>
      <c r="F69" s="440"/>
      <c r="G69" s="432"/>
      <c r="H69" s="432"/>
      <c r="I69" s="432"/>
      <c r="J69" s="432"/>
      <c r="K69" s="432"/>
      <c r="L69" s="432"/>
      <c r="M69" s="51"/>
      <c r="N69" s="432"/>
      <c r="O69" s="432"/>
      <c r="P69" s="441"/>
      <c r="Q69" s="441"/>
      <c r="R69" s="442"/>
      <c r="S69" s="442"/>
      <c r="T69" s="442"/>
      <c r="U69" s="442"/>
      <c r="V69" s="442"/>
      <c r="W69" s="442"/>
      <c r="X69" s="442"/>
      <c r="Y69" s="442"/>
      <c r="Z69" s="442"/>
      <c r="AA69" s="442"/>
      <c r="AB69" s="432"/>
      <c r="AC69" s="432"/>
      <c r="AD69" s="433"/>
      <c r="AF69" s="50"/>
    </row>
    <row r="70" spans="1:32" ht="25.5" customHeight="1">
      <c r="A70" s="438">
        <v>8</v>
      </c>
      <c r="B70" s="439"/>
      <c r="C70" s="117"/>
      <c r="D70" s="389"/>
      <c r="E70" s="386"/>
      <c r="F70" s="440"/>
      <c r="G70" s="432"/>
      <c r="H70" s="432"/>
      <c r="I70" s="432"/>
      <c r="J70" s="432"/>
      <c r="K70" s="432"/>
      <c r="L70" s="432"/>
      <c r="M70" s="51"/>
      <c r="N70" s="432"/>
      <c r="O70" s="432"/>
      <c r="P70" s="441"/>
      <c r="Q70" s="441"/>
      <c r="R70" s="442"/>
      <c r="S70" s="442"/>
      <c r="T70" s="442"/>
      <c r="U70" s="442"/>
      <c r="V70" s="442"/>
      <c r="W70" s="442"/>
      <c r="X70" s="442"/>
      <c r="Y70" s="442"/>
      <c r="Z70" s="442"/>
      <c r="AA70" s="442"/>
      <c r="AB70" s="432"/>
      <c r="AC70" s="432"/>
      <c r="AD70" s="433"/>
      <c r="AF70" s="50"/>
    </row>
    <row r="71" spans="1:32" ht="26.25" customHeight="1" thickBot="1">
      <c r="A71" s="412" t="s">
        <v>577</v>
      </c>
      <c r="B71" s="412"/>
      <c r="C71" s="412"/>
      <c r="D71" s="412"/>
      <c r="E71" s="412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13" t="s">
        <v>113</v>
      </c>
      <c r="B72" s="414"/>
      <c r="C72" s="388" t="s">
        <v>2</v>
      </c>
      <c r="D72" s="388" t="s">
        <v>37</v>
      </c>
      <c r="E72" s="388" t="s">
        <v>3</v>
      </c>
      <c r="F72" s="414" t="s">
        <v>38</v>
      </c>
      <c r="G72" s="414"/>
      <c r="H72" s="414"/>
      <c r="I72" s="414"/>
      <c r="J72" s="414"/>
      <c r="K72" s="434" t="s">
        <v>58</v>
      </c>
      <c r="L72" s="435"/>
      <c r="M72" s="435"/>
      <c r="N72" s="435"/>
      <c r="O72" s="435"/>
      <c r="P72" s="435"/>
      <c r="Q72" s="435"/>
      <c r="R72" s="435"/>
      <c r="S72" s="436"/>
      <c r="T72" s="414" t="s">
        <v>49</v>
      </c>
      <c r="U72" s="414"/>
      <c r="V72" s="434" t="s">
        <v>50</v>
      </c>
      <c r="W72" s="436"/>
      <c r="X72" s="435" t="s">
        <v>51</v>
      </c>
      <c r="Y72" s="435"/>
      <c r="Z72" s="435"/>
      <c r="AA72" s="435"/>
      <c r="AB72" s="435"/>
      <c r="AC72" s="435"/>
      <c r="AD72" s="437"/>
      <c r="AF72" s="50"/>
    </row>
    <row r="73" spans="1:32" ht="33.75" customHeight="1">
      <c r="A73" s="406">
        <v>1</v>
      </c>
      <c r="B73" s="407"/>
      <c r="C73" s="390" t="s">
        <v>114</v>
      </c>
      <c r="D73" s="390"/>
      <c r="E73" s="65" t="s">
        <v>119</v>
      </c>
      <c r="F73" s="421" t="s">
        <v>118</v>
      </c>
      <c r="G73" s="422"/>
      <c r="H73" s="422"/>
      <c r="I73" s="422"/>
      <c r="J73" s="423"/>
      <c r="K73" s="424" t="s">
        <v>120</v>
      </c>
      <c r="L73" s="425"/>
      <c r="M73" s="425"/>
      <c r="N73" s="425"/>
      <c r="O73" s="425"/>
      <c r="P73" s="425"/>
      <c r="Q73" s="425"/>
      <c r="R73" s="425"/>
      <c r="S73" s="426"/>
      <c r="T73" s="427">
        <v>43384</v>
      </c>
      <c r="U73" s="428"/>
      <c r="V73" s="429"/>
      <c r="W73" s="429"/>
      <c r="X73" s="430"/>
      <c r="Y73" s="430"/>
      <c r="Z73" s="430"/>
      <c r="AA73" s="430"/>
      <c r="AB73" s="430"/>
      <c r="AC73" s="430"/>
      <c r="AD73" s="431"/>
      <c r="AF73" s="50"/>
    </row>
    <row r="74" spans="1:32" ht="30" customHeight="1">
      <c r="A74" s="399">
        <f>A73+1</f>
        <v>2</v>
      </c>
      <c r="B74" s="400"/>
      <c r="C74" s="389"/>
      <c r="D74" s="389"/>
      <c r="E74" s="32"/>
      <c r="F74" s="400"/>
      <c r="G74" s="400"/>
      <c r="H74" s="400"/>
      <c r="I74" s="400"/>
      <c r="J74" s="400"/>
      <c r="K74" s="415"/>
      <c r="L74" s="416"/>
      <c r="M74" s="416"/>
      <c r="N74" s="416"/>
      <c r="O74" s="416"/>
      <c r="P74" s="416"/>
      <c r="Q74" s="416"/>
      <c r="R74" s="416"/>
      <c r="S74" s="417"/>
      <c r="T74" s="418"/>
      <c r="U74" s="418"/>
      <c r="V74" s="418"/>
      <c r="W74" s="418"/>
      <c r="X74" s="419"/>
      <c r="Y74" s="419"/>
      <c r="Z74" s="419"/>
      <c r="AA74" s="419"/>
      <c r="AB74" s="419"/>
      <c r="AC74" s="419"/>
      <c r="AD74" s="420"/>
      <c r="AF74" s="50"/>
    </row>
    <row r="75" spans="1:32" ht="30" customHeight="1">
      <c r="A75" s="399">
        <f t="shared" ref="A75:A81" si="13">A74+1</f>
        <v>3</v>
      </c>
      <c r="B75" s="400"/>
      <c r="C75" s="389"/>
      <c r="D75" s="389"/>
      <c r="E75" s="32"/>
      <c r="F75" s="400"/>
      <c r="G75" s="400"/>
      <c r="H75" s="400"/>
      <c r="I75" s="400"/>
      <c r="J75" s="400"/>
      <c r="K75" s="415"/>
      <c r="L75" s="416"/>
      <c r="M75" s="416"/>
      <c r="N75" s="416"/>
      <c r="O75" s="416"/>
      <c r="P75" s="416"/>
      <c r="Q75" s="416"/>
      <c r="R75" s="416"/>
      <c r="S75" s="417"/>
      <c r="T75" s="418"/>
      <c r="U75" s="418"/>
      <c r="V75" s="418"/>
      <c r="W75" s="418"/>
      <c r="X75" s="419"/>
      <c r="Y75" s="419"/>
      <c r="Z75" s="419"/>
      <c r="AA75" s="419"/>
      <c r="AB75" s="419"/>
      <c r="AC75" s="419"/>
      <c r="AD75" s="420"/>
      <c r="AF75" s="50"/>
    </row>
    <row r="76" spans="1:32" ht="30" customHeight="1">
      <c r="A76" s="399">
        <f t="shared" si="13"/>
        <v>4</v>
      </c>
      <c r="B76" s="400"/>
      <c r="C76" s="389"/>
      <c r="D76" s="389"/>
      <c r="E76" s="32"/>
      <c r="F76" s="400"/>
      <c r="G76" s="400"/>
      <c r="H76" s="400"/>
      <c r="I76" s="400"/>
      <c r="J76" s="400"/>
      <c r="K76" s="415"/>
      <c r="L76" s="416"/>
      <c r="M76" s="416"/>
      <c r="N76" s="416"/>
      <c r="O76" s="416"/>
      <c r="P76" s="416"/>
      <c r="Q76" s="416"/>
      <c r="R76" s="416"/>
      <c r="S76" s="417"/>
      <c r="T76" s="418"/>
      <c r="U76" s="418"/>
      <c r="V76" s="418"/>
      <c r="W76" s="418"/>
      <c r="X76" s="419"/>
      <c r="Y76" s="419"/>
      <c r="Z76" s="419"/>
      <c r="AA76" s="419"/>
      <c r="AB76" s="419"/>
      <c r="AC76" s="419"/>
      <c r="AD76" s="420"/>
      <c r="AF76" s="50"/>
    </row>
    <row r="77" spans="1:32" ht="30" customHeight="1">
      <c r="A77" s="399">
        <f t="shared" si="13"/>
        <v>5</v>
      </c>
      <c r="B77" s="400"/>
      <c r="C77" s="389"/>
      <c r="D77" s="389"/>
      <c r="E77" s="32"/>
      <c r="F77" s="400"/>
      <c r="G77" s="400"/>
      <c r="H77" s="400"/>
      <c r="I77" s="400"/>
      <c r="J77" s="400"/>
      <c r="K77" s="415"/>
      <c r="L77" s="416"/>
      <c r="M77" s="416"/>
      <c r="N77" s="416"/>
      <c r="O77" s="416"/>
      <c r="P77" s="416"/>
      <c r="Q77" s="416"/>
      <c r="R77" s="416"/>
      <c r="S77" s="417"/>
      <c r="T77" s="418"/>
      <c r="U77" s="418"/>
      <c r="V77" s="418"/>
      <c r="W77" s="418"/>
      <c r="X77" s="419"/>
      <c r="Y77" s="419"/>
      <c r="Z77" s="419"/>
      <c r="AA77" s="419"/>
      <c r="AB77" s="419"/>
      <c r="AC77" s="419"/>
      <c r="AD77" s="420"/>
      <c r="AF77" s="50"/>
    </row>
    <row r="78" spans="1:32" ht="30" customHeight="1">
      <c r="A78" s="399">
        <f t="shared" si="13"/>
        <v>6</v>
      </c>
      <c r="B78" s="400"/>
      <c r="C78" s="389"/>
      <c r="D78" s="389"/>
      <c r="E78" s="32"/>
      <c r="F78" s="400"/>
      <c r="G78" s="400"/>
      <c r="H78" s="400"/>
      <c r="I78" s="400"/>
      <c r="J78" s="400"/>
      <c r="K78" s="415"/>
      <c r="L78" s="416"/>
      <c r="M78" s="416"/>
      <c r="N78" s="416"/>
      <c r="O78" s="416"/>
      <c r="P78" s="416"/>
      <c r="Q78" s="416"/>
      <c r="R78" s="416"/>
      <c r="S78" s="417"/>
      <c r="T78" s="418"/>
      <c r="U78" s="418"/>
      <c r="V78" s="418"/>
      <c r="W78" s="418"/>
      <c r="X78" s="419"/>
      <c r="Y78" s="419"/>
      <c r="Z78" s="419"/>
      <c r="AA78" s="419"/>
      <c r="AB78" s="419"/>
      <c r="AC78" s="419"/>
      <c r="AD78" s="420"/>
      <c r="AF78" s="50"/>
    </row>
    <row r="79" spans="1:32" ht="30" customHeight="1">
      <c r="A79" s="399">
        <f t="shared" si="13"/>
        <v>7</v>
      </c>
      <c r="B79" s="400"/>
      <c r="C79" s="389"/>
      <c r="D79" s="389"/>
      <c r="E79" s="32"/>
      <c r="F79" s="400"/>
      <c r="G79" s="400"/>
      <c r="H79" s="400"/>
      <c r="I79" s="400"/>
      <c r="J79" s="400"/>
      <c r="K79" s="415"/>
      <c r="L79" s="416"/>
      <c r="M79" s="416"/>
      <c r="N79" s="416"/>
      <c r="O79" s="416"/>
      <c r="P79" s="416"/>
      <c r="Q79" s="416"/>
      <c r="R79" s="416"/>
      <c r="S79" s="417"/>
      <c r="T79" s="418"/>
      <c r="U79" s="418"/>
      <c r="V79" s="418"/>
      <c r="W79" s="418"/>
      <c r="X79" s="419"/>
      <c r="Y79" s="419"/>
      <c r="Z79" s="419"/>
      <c r="AA79" s="419"/>
      <c r="AB79" s="419"/>
      <c r="AC79" s="419"/>
      <c r="AD79" s="420"/>
      <c r="AF79" s="50"/>
    </row>
    <row r="80" spans="1:32" ht="30" customHeight="1">
      <c r="A80" s="399">
        <f t="shared" si="13"/>
        <v>8</v>
      </c>
      <c r="B80" s="400"/>
      <c r="C80" s="389"/>
      <c r="D80" s="389"/>
      <c r="E80" s="32"/>
      <c r="F80" s="400"/>
      <c r="G80" s="400"/>
      <c r="H80" s="400"/>
      <c r="I80" s="400"/>
      <c r="J80" s="400"/>
      <c r="K80" s="415"/>
      <c r="L80" s="416"/>
      <c r="M80" s="416"/>
      <c r="N80" s="416"/>
      <c r="O80" s="416"/>
      <c r="P80" s="416"/>
      <c r="Q80" s="416"/>
      <c r="R80" s="416"/>
      <c r="S80" s="417"/>
      <c r="T80" s="418"/>
      <c r="U80" s="418"/>
      <c r="V80" s="418"/>
      <c r="W80" s="418"/>
      <c r="X80" s="419"/>
      <c r="Y80" s="419"/>
      <c r="Z80" s="419"/>
      <c r="AA80" s="419"/>
      <c r="AB80" s="419"/>
      <c r="AC80" s="419"/>
      <c r="AD80" s="420"/>
      <c r="AF80" s="50"/>
    </row>
    <row r="81" spans="1:32" ht="30" customHeight="1">
      <c r="A81" s="399">
        <f t="shared" si="13"/>
        <v>9</v>
      </c>
      <c r="B81" s="400"/>
      <c r="C81" s="389"/>
      <c r="D81" s="389"/>
      <c r="E81" s="32"/>
      <c r="F81" s="400"/>
      <c r="G81" s="400"/>
      <c r="H81" s="400"/>
      <c r="I81" s="400"/>
      <c r="J81" s="400"/>
      <c r="K81" s="415"/>
      <c r="L81" s="416"/>
      <c r="M81" s="416"/>
      <c r="N81" s="416"/>
      <c r="O81" s="416"/>
      <c r="P81" s="416"/>
      <c r="Q81" s="416"/>
      <c r="R81" s="416"/>
      <c r="S81" s="417"/>
      <c r="T81" s="418"/>
      <c r="U81" s="418"/>
      <c r="V81" s="418"/>
      <c r="W81" s="418"/>
      <c r="X81" s="419"/>
      <c r="Y81" s="419"/>
      <c r="Z81" s="419"/>
      <c r="AA81" s="419"/>
      <c r="AB81" s="419"/>
      <c r="AC81" s="419"/>
      <c r="AD81" s="420"/>
      <c r="AF81" s="50"/>
    </row>
    <row r="82" spans="1:32" ht="36" thickBot="1">
      <c r="A82" s="412" t="s">
        <v>578</v>
      </c>
      <c r="B82" s="412"/>
      <c r="C82" s="412"/>
      <c r="D82" s="412"/>
      <c r="E82" s="412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13" t="s">
        <v>113</v>
      </c>
      <c r="B83" s="414"/>
      <c r="C83" s="404" t="s">
        <v>52</v>
      </c>
      <c r="D83" s="404"/>
      <c r="E83" s="404" t="s">
        <v>53</v>
      </c>
      <c r="F83" s="404"/>
      <c r="G83" s="404"/>
      <c r="H83" s="404"/>
      <c r="I83" s="404"/>
      <c r="J83" s="404"/>
      <c r="K83" s="404" t="s">
        <v>54</v>
      </c>
      <c r="L83" s="404"/>
      <c r="M83" s="404"/>
      <c r="N83" s="404"/>
      <c r="O83" s="404"/>
      <c r="P83" s="404"/>
      <c r="Q83" s="404"/>
      <c r="R83" s="404"/>
      <c r="S83" s="404"/>
      <c r="T83" s="404" t="s">
        <v>55</v>
      </c>
      <c r="U83" s="404"/>
      <c r="V83" s="404" t="s">
        <v>56</v>
      </c>
      <c r="W83" s="404"/>
      <c r="X83" s="404"/>
      <c r="Y83" s="404" t="s">
        <v>51</v>
      </c>
      <c r="Z83" s="404"/>
      <c r="AA83" s="404"/>
      <c r="AB83" s="404"/>
      <c r="AC83" s="404"/>
      <c r="AD83" s="405"/>
      <c r="AF83" s="50"/>
    </row>
    <row r="84" spans="1:32" ht="30.75" customHeight="1">
      <c r="A84" s="406">
        <v>1</v>
      </c>
      <c r="B84" s="407"/>
      <c r="C84" s="408"/>
      <c r="D84" s="408"/>
      <c r="E84" s="408"/>
      <c r="F84" s="408"/>
      <c r="G84" s="408"/>
      <c r="H84" s="408"/>
      <c r="I84" s="408"/>
      <c r="J84" s="408"/>
      <c r="K84" s="408"/>
      <c r="L84" s="408"/>
      <c r="M84" s="408"/>
      <c r="N84" s="408"/>
      <c r="O84" s="408"/>
      <c r="P84" s="408"/>
      <c r="Q84" s="408"/>
      <c r="R84" s="408"/>
      <c r="S84" s="408"/>
      <c r="T84" s="408"/>
      <c r="U84" s="408"/>
      <c r="V84" s="409"/>
      <c r="W84" s="409"/>
      <c r="X84" s="409"/>
      <c r="Y84" s="410"/>
      <c r="Z84" s="410"/>
      <c r="AA84" s="410"/>
      <c r="AB84" s="410"/>
      <c r="AC84" s="410"/>
      <c r="AD84" s="411"/>
      <c r="AF84" s="50"/>
    </row>
    <row r="85" spans="1:32" ht="30.75" customHeight="1">
      <c r="A85" s="399">
        <v>2</v>
      </c>
      <c r="B85" s="400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  <c r="Q85" s="401"/>
      <c r="R85" s="401"/>
      <c r="S85" s="401"/>
      <c r="T85" s="402"/>
      <c r="U85" s="402"/>
      <c r="V85" s="403"/>
      <c r="W85" s="403"/>
      <c r="X85" s="403"/>
      <c r="Y85" s="392"/>
      <c r="Z85" s="392"/>
      <c r="AA85" s="392"/>
      <c r="AB85" s="392"/>
      <c r="AC85" s="392"/>
      <c r="AD85" s="393"/>
      <c r="AF85" s="50"/>
    </row>
    <row r="86" spans="1:32" ht="30.75" customHeight="1" thickBot="1">
      <c r="A86" s="394">
        <v>3</v>
      </c>
      <c r="B86" s="395"/>
      <c r="C86" s="396"/>
      <c r="D86" s="396"/>
      <c r="E86" s="396"/>
      <c r="F86" s="396"/>
      <c r="G86" s="396"/>
      <c r="H86" s="396"/>
      <c r="I86" s="396"/>
      <c r="J86" s="396"/>
      <c r="K86" s="396"/>
      <c r="L86" s="396"/>
      <c r="M86" s="396"/>
      <c r="N86" s="396"/>
      <c r="O86" s="396"/>
      <c r="P86" s="396"/>
      <c r="Q86" s="396"/>
      <c r="R86" s="396"/>
      <c r="S86" s="396"/>
      <c r="T86" s="396"/>
      <c r="U86" s="396"/>
      <c r="V86" s="396"/>
      <c r="W86" s="396"/>
      <c r="X86" s="396"/>
      <c r="Y86" s="397"/>
      <c r="Z86" s="397"/>
      <c r="AA86" s="397"/>
      <c r="AB86" s="397"/>
      <c r="AC86" s="397"/>
      <c r="AD86" s="398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horizontalDpi="4294967293" verticalDpi="4294967293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25</vt:i4>
      </vt:variant>
      <vt:variant>
        <vt:lpstr>이름 지정된 범위</vt:lpstr>
      </vt:variant>
      <vt:variant>
        <vt:i4>48</vt:i4>
      </vt:variant>
    </vt:vector>
  </HeadingPairs>
  <TitlesOfParts>
    <vt:vector size="73" baseType="lpstr">
      <vt:lpstr>총괄</vt:lpstr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13</vt:lpstr>
      <vt:lpstr>14</vt:lpstr>
      <vt:lpstr>15</vt:lpstr>
      <vt:lpstr>16</vt:lpstr>
      <vt:lpstr>17</vt:lpstr>
      <vt:lpstr>20</vt:lpstr>
      <vt:lpstr>21</vt:lpstr>
      <vt:lpstr>22</vt:lpstr>
      <vt:lpstr>23</vt:lpstr>
      <vt:lpstr>24</vt:lpstr>
      <vt:lpstr>27</vt:lpstr>
      <vt:lpstr>28</vt:lpstr>
      <vt:lpstr>29</vt:lpstr>
      <vt:lpstr>30</vt:lpstr>
      <vt:lpstr>31</vt:lpstr>
      <vt:lpstr>'01'!Print_Area</vt:lpstr>
      <vt:lpstr>'02'!Print_Area</vt:lpstr>
      <vt:lpstr>'03'!Print_Area</vt:lpstr>
      <vt:lpstr>'04'!Print_Area</vt:lpstr>
      <vt:lpstr>'06'!Print_Area</vt:lpstr>
      <vt:lpstr>'07'!Print_Area</vt:lpstr>
      <vt:lpstr>'08'!Print_Area</vt:lpstr>
      <vt:lpstr>'09'!Print_Area</vt:lpstr>
      <vt:lpstr>'10'!Print_Area</vt:lpstr>
      <vt:lpstr>'13'!Print_Area</vt:lpstr>
      <vt:lpstr>'14'!Print_Area</vt:lpstr>
      <vt:lpstr>'15'!Print_Area</vt:lpstr>
      <vt:lpstr>'16'!Print_Area</vt:lpstr>
      <vt:lpstr>'17'!Print_Area</vt:lpstr>
      <vt:lpstr>'20'!Print_Area</vt:lpstr>
      <vt:lpstr>'21'!Print_Area</vt:lpstr>
      <vt:lpstr>'22'!Print_Area</vt:lpstr>
      <vt:lpstr>'23'!Print_Area</vt:lpstr>
      <vt:lpstr>'24'!Print_Area</vt:lpstr>
      <vt:lpstr>'27'!Print_Area</vt:lpstr>
      <vt:lpstr>'28'!Print_Area</vt:lpstr>
      <vt:lpstr>'29'!Print_Area</vt:lpstr>
      <vt:lpstr>'30'!Print_Area</vt:lpstr>
      <vt:lpstr>'31'!Print_Area</vt:lpstr>
      <vt:lpstr>'01'!ㅁ1</vt:lpstr>
      <vt:lpstr>'02'!ㅁ1</vt:lpstr>
      <vt:lpstr>'03'!ㅁ1</vt:lpstr>
      <vt:lpstr>'04'!ㅁ1</vt:lpstr>
      <vt:lpstr>'06'!ㅁ1</vt:lpstr>
      <vt:lpstr>'07'!ㅁ1</vt:lpstr>
      <vt:lpstr>'08'!ㅁ1</vt:lpstr>
      <vt:lpstr>'09'!ㅁ1</vt:lpstr>
      <vt:lpstr>'10'!ㅁ1</vt:lpstr>
      <vt:lpstr>'13'!ㅁ1</vt:lpstr>
      <vt:lpstr>'14'!ㅁ1</vt:lpstr>
      <vt:lpstr>'15'!ㅁ1</vt:lpstr>
      <vt:lpstr>'16'!ㅁ1</vt:lpstr>
      <vt:lpstr>'17'!ㅁ1</vt:lpstr>
      <vt:lpstr>'20'!ㅁ1</vt:lpstr>
      <vt:lpstr>'21'!ㅁ1</vt:lpstr>
      <vt:lpstr>'22'!ㅁ1</vt:lpstr>
      <vt:lpstr>'23'!ㅁ1</vt:lpstr>
      <vt:lpstr>'24'!ㅁ1</vt:lpstr>
      <vt:lpstr>'27'!ㅁ1</vt:lpstr>
      <vt:lpstr>'28'!ㅁ1</vt:lpstr>
      <vt:lpstr>'29'!ㅁ1</vt:lpstr>
      <vt:lpstr>'30'!ㅁ1</vt:lpstr>
      <vt:lpstr>'31'!ㅁ1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2018-10-10T23:54:56Z</cp:lastPrinted>
  <dcterms:created xsi:type="dcterms:W3CDTF">2014-05-16T00:06:55Z</dcterms:created>
  <dcterms:modified xsi:type="dcterms:W3CDTF">2019-06-01T05:36:45Z</dcterms:modified>
</cp:coreProperties>
</file>