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6FFDD6BF-812E-4DBA-94C3-8B700E1358FD}" xr6:coauthVersionLast="43" xr6:coauthVersionMax="43" xr10:uidLastSave="{00000000-0000-0000-0000-000000000000}"/>
  <bookViews>
    <workbookView xWindow="-120" yWindow="-120" windowWidth="29040" windowHeight="15840" firstSheet="1" activeTab="24" xr2:uid="{00000000-000D-0000-FFFF-FFFF00000000}"/>
  </bookViews>
  <sheets>
    <sheet name="총괄" sheetId="16" r:id="rId1"/>
    <sheet name="01" sheetId="1476" r:id="rId2"/>
    <sheet name="02" sheetId="1477" r:id="rId3"/>
    <sheet name="03" sheetId="1478" r:id="rId4"/>
    <sheet name="04" sheetId="1479" r:id="rId5"/>
    <sheet name="05" sheetId="1480" r:id="rId6"/>
    <sheet name="06" sheetId="1481" r:id="rId7"/>
    <sheet name="08" sheetId="1482" r:id="rId8"/>
    <sheet name="09" sheetId="1483" r:id="rId9"/>
    <sheet name="10" sheetId="1484" r:id="rId10"/>
    <sheet name="11" sheetId="1485" r:id="rId11"/>
    <sheet name="12" sheetId="1486" r:id="rId12"/>
    <sheet name="15" sheetId="1487" r:id="rId13"/>
    <sheet name="16" sheetId="1488" r:id="rId14"/>
    <sheet name="17" sheetId="1489" r:id="rId15"/>
    <sheet name="18" sheetId="1490" r:id="rId16"/>
    <sheet name="19" sheetId="1491" r:id="rId17"/>
    <sheet name="22" sheetId="1492" r:id="rId18"/>
    <sheet name="23" sheetId="1493" r:id="rId19"/>
    <sheet name="24" sheetId="1494" r:id="rId20"/>
    <sheet name="25" sheetId="1495" r:id="rId21"/>
    <sheet name="26" sheetId="1496" r:id="rId22"/>
    <sheet name="29" sheetId="1497" r:id="rId23"/>
    <sheet name="30" sheetId="1498" r:id="rId24"/>
    <sheet name="31" sheetId="1499" r:id="rId25"/>
  </sheets>
  <definedNames>
    <definedName name="_xlnm.Print_Area" localSheetId="1">'01'!$A$1:$AD$90</definedName>
    <definedName name="_xlnm.Print_Area" localSheetId="2">'02'!$A$1:$AD$88</definedName>
    <definedName name="_xlnm.Print_Area" localSheetId="3">'03'!$A$1:$AD$87</definedName>
    <definedName name="_xlnm.Print_Area" localSheetId="4">'04'!$A$1:$AD$86</definedName>
    <definedName name="_xlnm.Print_Area" localSheetId="5">'05'!$A$1:$AD$86</definedName>
    <definedName name="_xlnm.Print_Area" localSheetId="6">'06'!$A$1:$AD$86</definedName>
    <definedName name="_xlnm.Print_Area" localSheetId="7">'08'!$A$1:$AD$86</definedName>
    <definedName name="_xlnm.Print_Area" localSheetId="8">'09'!$A$1:$AD$87</definedName>
    <definedName name="_xlnm.Print_Area" localSheetId="9">'10'!$A$1:$AD$86</definedName>
    <definedName name="_xlnm.Print_Area" localSheetId="10">'11'!$A$1:$AD$86</definedName>
    <definedName name="_xlnm.Print_Area" localSheetId="11">'12'!$A$1:$AD$86</definedName>
    <definedName name="_xlnm.Print_Area" localSheetId="12">'15'!$A$1:$AD$87</definedName>
    <definedName name="_xlnm.Print_Area" localSheetId="13">'16'!$A$1:$AD$86</definedName>
    <definedName name="_xlnm.Print_Area" localSheetId="14">'17'!$A$1:$AD$86</definedName>
    <definedName name="_xlnm.Print_Area" localSheetId="15">'18'!$A$1:$AD$87</definedName>
    <definedName name="_xlnm.Print_Area" localSheetId="16">'19'!$A$1:$AD$88</definedName>
    <definedName name="_xlnm.Print_Area" localSheetId="17">'22'!$A$1:$AD$88</definedName>
    <definedName name="_xlnm.Print_Area" localSheetId="18">'23'!$A$1:$AD$86</definedName>
    <definedName name="_xlnm.Print_Area" localSheetId="19">'24'!$A$1:$AD$86</definedName>
    <definedName name="_xlnm.Print_Area" localSheetId="20">'25'!$A$1:$AD$87</definedName>
    <definedName name="_xlnm.Print_Area" localSheetId="21">'26'!$A$1:$AD$87</definedName>
    <definedName name="_xlnm.Print_Area" localSheetId="22">'29'!$A$1:$AD$86</definedName>
    <definedName name="_xlnm.Print_Area" localSheetId="23">'30'!$A$1:$AD$87</definedName>
    <definedName name="_xlnm.Print_Area" localSheetId="24">'31'!$A$1:$AD$88</definedName>
    <definedName name="ㅁ1" localSheetId="1">'01'!$M$1048525:$M$1048576</definedName>
    <definedName name="ㅁ1" localSheetId="2">'02'!$M$1048523:$M$1048576</definedName>
    <definedName name="ㅁ1" localSheetId="3">'03'!$M$1048522:$M$1048576</definedName>
    <definedName name="ㅁ1" localSheetId="4">'04'!$M$1048521:$M$1048576</definedName>
    <definedName name="ㅁ1" localSheetId="5">'05'!$M$1048521:$M$1048576</definedName>
    <definedName name="ㅁ1" localSheetId="6">'06'!$M$1048521:$M$1048576</definedName>
    <definedName name="ㅁ1" localSheetId="7">'08'!$M$1048521:$M$1048576</definedName>
    <definedName name="ㅁ1" localSheetId="8">'09'!$M$1048522:$M$1048576</definedName>
    <definedName name="ㅁ1" localSheetId="9">'10'!$M$1048521:$M$1048576</definedName>
    <definedName name="ㅁ1" localSheetId="10">'11'!$M$1048521:$M$1048576</definedName>
    <definedName name="ㅁ1" localSheetId="11">'12'!$M$1048521:$M$1048576</definedName>
    <definedName name="ㅁ1" localSheetId="12">'15'!$M$1048522:$M$1048576</definedName>
    <definedName name="ㅁ1" localSheetId="13">'16'!$M$1048521:$M$1048576</definedName>
    <definedName name="ㅁ1" localSheetId="14">'17'!$M$1048521:$M$1048576</definedName>
    <definedName name="ㅁ1" localSheetId="15">'18'!$M$1048522:$M$1048576</definedName>
    <definedName name="ㅁ1" localSheetId="16">'19'!$M$1048523:$M$1048576</definedName>
    <definedName name="ㅁ1" localSheetId="17">'22'!$M$1048523:$M$1048576</definedName>
    <definedName name="ㅁ1" localSheetId="18">'23'!$M$1048521:$M$1048576</definedName>
    <definedName name="ㅁ1" localSheetId="19">'24'!$M$1048521:$M$1048576</definedName>
    <definedName name="ㅁ1" localSheetId="20">'25'!$M$1048522:$M$1048576</definedName>
    <definedName name="ㅁ1" localSheetId="21">'26'!$M$1048522:$M$1048576</definedName>
    <definedName name="ㅁ1" localSheetId="22">'29'!$M$1048521:$M$1048576</definedName>
    <definedName name="ㅁ1" localSheetId="23">'30'!$M$1048522:$M$1048576</definedName>
    <definedName name="ㅁ1" localSheetId="24">'31'!$M$1048523:$M$1048576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2" i="1499"/>
  <c r="K21" i="1499"/>
  <c r="AF20" i="1499"/>
  <c r="Q20" i="1499"/>
  <c r="P20" i="1499"/>
  <c r="AC20" i="1499" s="1"/>
  <c r="L20" i="1499"/>
  <c r="AB20" i="1499" s="1"/>
  <c r="K20" i="1499"/>
  <c r="L19" i="1499"/>
  <c r="L17" i="1499"/>
  <c r="L14" i="1499"/>
  <c r="K14" i="1499" s="1"/>
  <c r="L13" i="1499"/>
  <c r="L12" i="1499"/>
  <c r="L11" i="1499"/>
  <c r="AF10" i="1499"/>
  <c r="AB10" i="1499"/>
  <c r="Q10" i="1499"/>
  <c r="P10" i="1499" s="1"/>
  <c r="AC10" i="1499" s="1"/>
  <c r="O10" i="1499"/>
  <c r="M10" i="1499"/>
  <c r="K10" i="1499"/>
  <c r="K9" i="1499"/>
  <c r="L8" i="1499"/>
  <c r="K8" i="1499"/>
  <c r="M20" i="1499" l="1"/>
  <c r="O20" i="1499"/>
  <c r="AD20" i="1499" s="1"/>
  <c r="AD10" i="1499"/>
  <c r="K22" i="1499"/>
  <c r="K19" i="1499"/>
  <c r="K17" i="1499"/>
  <c r="K13" i="1499"/>
  <c r="K12" i="1499"/>
  <c r="K11" i="1499"/>
  <c r="A76" i="1499"/>
  <c r="A77" i="1499" s="1"/>
  <c r="A78" i="1499" s="1"/>
  <c r="A79" i="1499" s="1"/>
  <c r="A80" i="1499" s="1"/>
  <c r="A81" i="1499" s="1"/>
  <c r="A82" i="1499" s="1"/>
  <c r="A83" i="1499" s="1"/>
  <c r="AF62" i="1499"/>
  <c r="AF61" i="1499"/>
  <c r="AF64" i="1499" s="1"/>
  <c r="AA23" i="1499"/>
  <c r="Z23" i="1499"/>
  <c r="Y23" i="1499"/>
  <c r="X23" i="1499"/>
  <c r="W23" i="1499"/>
  <c r="V23" i="1499"/>
  <c r="U23" i="1499"/>
  <c r="T23" i="1499"/>
  <c r="S23" i="1499"/>
  <c r="R23" i="1499"/>
  <c r="N23" i="1499"/>
  <c r="J23" i="1499"/>
  <c r="I23" i="1499"/>
  <c r="AF22" i="1499"/>
  <c r="Q22" i="1499"/>
  <c r="O22" i="1499"/>
  <c r="AF21" i="1499"/>
  <c r="Q21" i="1499"/>
  <c r="P21" i="1499" s="1"/>
  <c r="AC21" i="1499" s="1"/>
  <c r="AB21" i="1499"/>
  <c r="AF19" i="1499"/>
  <c r="Q19" i="1499"/>
  <c r="P19" i="1499"/>
  <c r="AC19" i="1499" s="1"/>
  <c r="O19" i="1499"/>
  <c r="AB19" i="1499"/>
  <c r="AF18" i="1499"/>
  <c r="AB18" i="1499"/>
  <c r="Q18" i="1499"/>
  <c r="P18" i="1499"/>
  <c r="AC18" i="1499" s="1"/>
  <c r="O18" i="1499"/>
  <c r="M18" i="1499"/>
  <c r="K18" i="1499"/>
  <c r="AF17" i="1499"/>
  <c r="Q17" i="1499"/>
  <c r="P17" i="1499" s="1"/>
  <c r="AC17" i="1499" s="1"/>
  <c r="AB17" i="1499"/>
  <c r="AF16" i="1499"/>
  <c r="AB16" i="1499"/>
  <c r="Q16" i="1499"/>
  <c r="P16" i="1499"/>
  <c r="AC16" i="1499" s="1"/>
  <c r="O16" i="1499"/>
  <c r="M16" i="1499"/>
  <c r="K16" i="1499"/>
  <c r="AF15" i="1499"/>
  <c r="AB15" i="1499"/>
  <c r="Q15" i="1499"/>
  <c r="P15" i="1499"/>
  <c r="AC15" i="1499" s="1"/>
  <c r="O15" i="1499"/>
  <c r="M15" i="1499"/>
  <c r="K15" i="1499"/>
  <c r="AF14" i="1499"/>
  <c r="Q14" i="1499"/>
  <c r="P14" i="1499" s="1"/>
  <c r="AC14" i="1499" s="1"/>
  <c r="O14" i="1499"/>
  <c r="AB14" i="1499"/>
  <c r="AF13" i="1499"/>
  <c r="Q13" i="1499"/>
  <c r="P13" i="1499" s="1"/>
  <c r="AC13" i="1499" s="1"/>
  <c r="AB13" i="1499"/>
  <c r="AF12" i="1499"/>
  <c r="Q12" i="1499"/>
  <c r="P12" i="1499" s="1"/>
  <c r="AC12" i="1499" s="1"/>
  <c r="O12" i="1499"/>
  <c r="AB12" i="1499"/>
  <c r="AF11" i="1499"/>
  <c r="AB11" i="1499"/>
  <c r="Q11" i="1499"/>
  <c r="P11" i="1499" s="1"/>
  <c r="AC11" i="1499" s="1"/>
  <c r="O11" i="1499"/>
  <c r="M11" i="1499"/>
  <c r="AF9" i="1499"/>
  <c r="AB9" i="1499"/>
  <c r="Q9" i="1499"/>
  <c r="P9" i="1499" s="1"/>
  <c r="AC9" i="1499" s="1"/>
  <c r="O9" i="1499"/>
  <c r="M9" i="1499"/>
  <c r="AF8" i="1499"/>
  <c r="Q8" i="1499"/>
  <c r="P8" i="1499" s="1"/>
  <c r="AC8" i="1499" s="1"/>
  <c r="O8" i="1499"/>
  <c r="L23" i="1499"/>
  <c r="O23" i="1499" s="1"/>
  <c r="AF7" i="1499"/>
  <c r="AB7" i="1499"/>
  <c r="Q7" i="1499"/>
  <c r="P7" i="1499"/>
  <c r="AC7" i="1499" s="1"/>
  <c r="AD7" i="1499" s="1"/>
  <c r="O7" i="1499"/>
  <c r="M7" i="1499"/>
  <c r="K7" i="1499"/>
  <c r="AF6" i="1499"/>
  <c r="AB6" i="1499"/>
  <c r="Q6" i="1499"/>
  <c r="P6" i="1499"/>
  <c r="O6" i="1499"/>
  <c r="M6" i="1499"/>
  <c r="K6" i="1499"/>
  <c r="AD11" i="1499" l="1"/>
  <c r="AD9" i="1499"/>
  <c r="Q23" i="1499"/>
  <c r="AD15" i="1499"/>
  <c r="AD16" i="1499"/>
  <c r="AD18" i="1499"/>
  <c r="AD12" i="1499"/>
  <c r="AD14" i="1499"/>
  <c r="AD19" i="1499"/>
  <c r="K23" i="1499"/>
  <c r="M13" i="1499"/>
  <c r="AC6" i="1499"/>
  <c r="M8" i="1499"/>
  <c r="AB8" i="1499"/>
  <c r="AD8" i="1499" s="1"/>
  <c r="M12" i="1499"/>
  <c r="O13" i="1499"/>
  <c r="AD13" i="1499" s="1"/>
  <c r="M14" i="1499"/>
  <c r="O17" i="1499"/>
  <c r="AD17" i="1499" s="1"/>
  <c r="M19" i="1499"/>
  <c r="O21" i="1499"/>
  <c r="AD21" i="1499" s="1"/>
  <c r="P22" i="1499"/>
  <c r="AC22" i="1499" s="1"/>
  <c r="M22" i="1499"/>
  <c r="AB22" i="1499"/>
  <c r="M17" i="1499"/>
  <c r="M21" i="1499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498"/>
  <c r="K21" i="1498"/>
  <c r="L20" i="1498"/>
  <c r="O20" i="1498" s="1"/>
  <c r="K20" i="1498"/>
  <c r="L19" i="1498"/>
  <c r="L17" i="1498"/>
  <c r="K17" i="1498" s="1"/>
  <c r="L14" i="1498"/>
  <c r="K14" i="1498"/>
  <c r="AF14" i="1498"/>
  <c r="AB14" i="1498"/>
  <c r="Q14" i="1498"/>
  <c r="P14" i="1498" s="1"/>
  <c r="AC14" i="1498" s="1"/>
  <c r="O14" i="1498"/>
  <c r="M14" i="1498"/>
  <c r="L12" i="1498"/>
  <c r="K12" i="1498" s="1"/>
  <c r="L11" i="1498"/>
  <c r="L10" i="1498"/>
  <c r="L8" i="1498"/>
  <c r="K19" i="1498"/>
  <c r="K13" i="1498"/>
  <c r="K11" i="1498"/>
  <c r="K10" i="1498"/>
  <c r="K9" i="1498"/>
  <c r="K8" i="1498"/>
  <c r="A76" i="1498"/>
  <c r="A77" i="1498" s="1"/>
  <c r="A78" i="1498" s="1"/>
  <c r="A79" i="1498" s="1"/>
  <c r="A80" i="1498" s="1"/>
  <c r="A81" i="1498" s="1"/>
  <c r="A82" i="1498" s="1"/>
  <c r="A75" i="1498"/>
  <c r="AF61" i="1498"/>
  <c r="AF60" i="1498"/>
  <c r="AF63" i="1498" s="1"/>
  <c r="AA22" i="1498"/>
  <c r="Z22" i="1498"/>
  <c r="Y22" i="1498"/>
  <c r="X22" i="1498"/>
  <c r="W22" i="1498"/>
  <c r="V22" i="1498"/>
  <c r="U22" i="1498"/>
  <c r="T22" i="1498"/>
  <c r="S22" i="1498"/>
  <c r="R22" i="1498"/>
  <c r="N22" i="1498"/>
  <c r="J22" i="1498"/>
  <c r="I22" i="1498"/>
  <c r="AF21" i="1498"/>
  <c r="AB21" i="1498"/>
  <c r="Q21" i="1498"/>
  <c r="O21" i="1498"/>
  <c r="M21" i="1498"/>
  <c r="AF20" i="1498"/>
  <c r="Q20" i="1498"/>
  <c r="P20" i="1498" s="1"/>
  <c r="AC20" i="1498" s="1"/>
  <c r="AF19" i="1498"/>
  <c r="AB19" i="1498"/>
  <c r="Q19" i="1498"/>
  <c r="P19" i="1498" s="1"/>
  <c r="AC19" i="1498" s="1"/>
  <c r="O19" i="1498"/>
  <c r="M19" i="1498"/>
  <c r="AF18" i="1498"/>
  <c r="AB18" i="1498"/>
  <c r="Q18" i="1498"/>
  <c r="P18" i="1498"/>
  <c r="AC18" i="1498" s="1"/>
  <c r="O18" i="1498"/>
  <c r="M18" i="1498"/>
  <c r="K18" i="1498"/>
  <c r="AF17" i="1498"/>
  <c r="AB17" i="1498"/>
  <c r="Q17" i="1498"/>
  <c r="P17" i="1498"/>
  <c r="AC17" i="1498" s="1"/>
  <c r="M17" i="1498"/>
  <c r="O17" i="1498"/>
  <c r="AF16" i="1498"/>
  <c r="AB16" i="1498"/>
  <c r="Q16" i="1498"/>
  <c r="P16" i="1498"/>
  <c r="AC16" i="1498" s="1"/>
  <c r="O16" i="1498"/>
  <c r="M16" i="1498"/>
  <c r="K16" i="1498"/>
  <c r="AF15" i="1498"/>
  <c r="AB15" i="1498"/>
  <c r="Q15" i="1498"/>
  <c r="P15" i="1498"/>
  <c r="AC15" i="1498" s="1"/>
  <c r="O15" i="1498"/>
  <c r="M15" i="1498"/>
  <c r="K15" i="1498"/>
  <c r="AF13" i="1498"/>
  <c r="Q13" i="1498"/>
  <c r="O13" i="1498"/>
  <c r="AF12" i="1498"/>
  <c r="AB12" i="1498"/>
  <c r="Q12" i="1498"/>
  <c r="P12" i="1498" s="1"/>
  <c r="AC12" i="1498" s="1"/>
  <c r="O12" i="1498"/>
  <c r="M12" i="1498"/>
  <c r="AF11" i="1498"/>
  <c r="AB11" i="1498"/>
  <c r="Q11" i="1498"/>
  <c r="P11" i="1498" s="1"/>
  <c r="AC11" i="1498" s="1"/>
  <c r="M11" i="1498"/>
  <c r="O11" i="1498"/>
  <c r="AF10" i="1498"/>
  <c r="Q10" i="1498"/>
  <c r="AB10" i="1498"/>
  <c r="AF9" i="1498"/>
  <c r="AB9" i="1498"/>
  <c r="Q9" i="1498"/>
  <c r="P9" i="1498"/>
  <c r="AC9" i="1498" s="1"/>
  <c r="O9" i="1498"/>
  <c r="M9" i="1498"/>
  <c r="AF8" i="1498"/>
  <c r="Q8" i="1498"/>
  <c r="O8" i="1498"/>
  <c r="L22" i="1498"/>
  <c r="O22" i="1498" s="1"/>
  <c r="AF7" i="1498"/>
  <c r="AB7" i="1498"/>
  <c r="Q7" i="1498"/>
  <c r="P7" i="1498"/>
  <c r="AC7" i="1498" s="1"/>
  <c r="O7" i="1498"/>
  <c r="M7" i="1498"/>
  <c r="K7" i="1498"/>
  <c r="AF6" i="1498"/>
  <c r="AB6" i="1498"/>
  <c r="Q6" i="1498"/>
  <c r="P6" i="1498"/>
  <c r="O6" i="1498"/>
  <c r="M6" i="1498"/>
  <c r="K6" i="1498"/>
  <c r="AD22" i="1499" l="1"/>
  <c r="M23" i="1499"/>
  <c r="P23" i="1499"/>
  <c r="AB23" i="1499"/>
  <c r="AC23" i="1499"/>
  <c r="AD6" i="1499"/>
  <c r="AD23" i="1499" s="1"/>
  <c r="AE10" i="1499" s="1"/>
  <c r="P21" i="1498"/>
  <c r="AC21" i="1498" s="1"/>
  <c r="AD21" i="1498" s="1"/>
  <c r="AE20" i="1498" s="1"/>
  <c r="AD14" i="1498"/>
  <c r="AD15" i="1498"/>
  <c r="AD19" i="1498"/>
  <c r="AD7" i="1498"/>
  <c r="AD16" i="1498"/>
  <c r="AD11" i="1498"/>
  <c r="Q22" i="1498"/>
  <c r="AD12" i="1498"/>
  <c r="AD18" i="1498"/>
  <c r="AD9" i="1498"/>
  <c r="AD17" i="1498"/>
  <c r="O10" i="1498"/>
  <c r="AC6" i="1498"/>
  <c r="M8" i="1498"/>
  <c r="AB8" i="1498"/>
  <c r="P10" i="1498"/>
  <c r="AC10" i="1498" s="1"/>
  <c r="AD10" i="1498" s="1"/>
  <c r="P13" i="1498"/>
  <c r="AC13" i="1498" s="1"/>
  <c r="M20" i="1498"/>
  <c r="AB20" i="1498"/>
  <c r="AD20" i="1498" s="1"/>
  <c r="P8" i="1498"/>
  <c r="AC8" i="1498" s="1"/>
  <c r="AD8" i="1498" s="1"/>
  <c r="M10" i="1498"/>
  <c r="M13" i="1498"/>
  <c r="AB13" i="1498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19" i="1497"/>
  <c r="K19" i="1497" s="1"/>
  <c r="K18" i="1497"/>
  <c r="L16" i="1497"/>
  <c r="K16" i="1497"/>
  <c r="L13" i="1497"/>
  <c r="K13" i="1497" s="1"/>
  <c r="L11" i="1497"/>
  <c r="AB11" i="1497" s="1"/>
  <c r="K11" i="1497"/>
  <c r="AF11" i="1497"/>
  <c r="Q11" i="1497"/>
  <c r="O11" i="1497"/>
  <c r="M11" i="1497"/>
  <c r="L10" i="1497"/>
  <c r="K10" i="1497" s="1"/>
  <c r="L9" i="1497"/>
  <c r="K9" i="1497" s="1"/>
  <c r="L8" i="1497"/>
  <c r="K17" i="1497"/>
  <c r="K15" i="1497"/>
  <c r="K12" i="1497"/>
  <c r="K8" i="1497"/>
  <c r="A74" i="1497"/>
  <c r="A75" i="1497" s="1"/>
  <c r="A76" i="1497" s="1"/>
  <c r="A77" i="1497" s="1"/>
  <c r="A78" i="1497" s="1"/>
  <c r="A79" i="1497" s="1"/>
  <c r="A80" i="1497" s="1"/>
  <c r="A81" i="1497" s="1"/>
  <c r="AF60" i="1497"/>
  <c r="AF59" i="1497"/>
  <c r="AF62" i="1497" s="1"/>
  <c r="AA21" i="1497"/>
  <c r="Z21" i="1497"/>
  <c r="Y21" i="1497"/>
  <c r="X21" i="1497"/>
  <c r="W21" i="1497"/>
  <c r="V21" i="1497"/>
  <c r="U21" i="1497"/>
  <c r="T21" i="1497"/>
  <c r="S21" i="1497"/>
  <c r="R21" i="1497"/>
  <c r="N21" i="1497"/>
  <c r="J21" i="1497"/>
  <c r="I21" i="1497"/>
  <c r="AF20" i="1497"/>
  <c r="AB20" i="1497"/>
  <c r="Q20" i="1497"/>
  <c r="P20" i="1497"/>
  <c r="AC20" i="1497" s="1"/>
  <c r="AD20" i="1497" s="1"/>
  <c r="AE19" i="1497" s="1"/>
  <c r="O20" i="1497"/>
  <c r="M20" i="1497"/>
  <c r="K20" i="1497"/>
  <c r="AF19" i="1497"/>
  <c r="Q19" i="1497"/>
  <c r="M19" i="1497"/>
  <c r="P19" i="1497"/>
  <c r="AC19" i="1497" s="1"/>
  <c r="AF18" i="1497"/>
  <c r="Q18" i="1497"/>
  <c r="P18" i="1497" s="1"/>
  <c r="AC18" i="1497" s="1"/>
  <c r="AF17" i="1497"/>
  <c r="AB17" i="1497"/>
  <c r="Q17" i="1497"/>
  <c r="P17" i="1497"/>
  <c r="AC17" i="1497" s="1"/>
  <c r="O17" i="1497"/>
  <c r="M17" i="1497"/>
  <c r="AF16" i="1497"/>
  <c r="AB16" i="1497"/>
  <c r="Q16" i="1497"/>
  <c r="M16" i="1497"/>
  <c r="AF15" i="1497"/>
  <c r="AB15" i="1497"/>
  <c r="Q15" i="1497"/>
  <c r="P15" i="1497" s="1"/>
  <c r="AC15" i="1497" s="1"/>
  <c r="O15" i="1497"/>
  <c r="M15" i="1497"/>
  <c r="AF14" i="1497"/>
  <c r="AB14" i="1497"/>
  <c r="Q14" i="1497"/>
  <c r="P14" i="1497"/>
  <c r="AC14" i="1497" s="1"/>
  <c r="O14" i="1497"/>
  <c r="M14" i="1497"/>
  <c r="K14" i="1497"/>
  <c r="AF13" i="1497"/>
  <c r="AB13" i="1497"/>
  <c r="Q13" i="1497"/>
  <c r="P13" i="1497" s="1"/>
  <c r="AC13" i="1497" s="1"/>
  <c r="M13" i="1497"/>
  <c r="AF12" i="1497"/>
  <c r="AB12" i="1497"/>
  <c r="Q12" i="1497"/>
  <c r="O12" i="1497"/>
  <c r="M12" i="1497"/>
  <c r="P12" i="1497"/>
  <c r="AC12" i="1497" s="1"/>
  <c r="AF10" i="1497"/>
  <c r="Q10" i="1497"/>
  <c r="P10" i="1497" s="1"/>
  <c r="AC10" i="1497" s="1"/>
  <c r="AF9" i="1497"/>
  <c r="Q9" i="1497"/>
  <c r="AB9" i="1497"/>
  <c r="AF8" i="1497"/>
  <c r="Q8" i="1497"/>
  <c r="AF7" i="1497"/>
  <c r="AB7" i="1497"/>
  <c r="Q7" i="1497"/>
  <c r="P7" i="1497"/>
  <c r="AC7" i="1497" s="1"/>
  <c r="O7" i="1497"/>
  <c r="M7" i="1497"/>
  <c r="K7" i="1497"/>
  <c r="AF6" i="1497"/>
  <c r="AB6" i="1497"/>
  <c r="Q6" i="1497"/>
  <c r="P6" i="1497"/>
  <c r="O6" i="1497"/>
  <c r="M6" i="1497"/>
  <c r="K6" i="1497"/>
  <c r="AE21" i="1499" l="1"/>
  <c r="AE20" i="1499"/>
  <c r="AE19" i="1499"/>
  <c r="AE16" i="1499"/>
  <c r="AE14" i="1499"/>
  <c r="AE12" i="1499"/>
  <c r="AE13" i="1499"/>
  <c r="AE6" i="1499"/>
  <c r="AE17" i="1499"/>
  <c r="AE15" i="1499"/>
  <c r="AE9" i="1499"/>
  <c r="AE18" i="1499"/>
  <c r="AE11" i="1499"/>
  <c r="AE7" i="1499"/>
  <c r="AE8" i="1499"/>
  <c r="AE22" i="1499"/>
  <c r="M22" i="1498"/>
  <c r="AB22" i="1498"/>
  <c r="K22" i="1498"/>
  <c r="AC22" i="1498"/>
  <c r="AD6" i="1498"/>
  <c r="AD13" i="1498"/>
  <c r="P22" i="1498"/>
  <c r="AD7" i="1497"/>
  <c r="AD12" i="1497"/>
  <c r="AD17" i="1497"/>
  <c r="P8" i="1497"/>
  <c r="AC8" i="1497" s="1"/>
  <c r="AD14" i="1497"/>
  <c r="AB19" i="1497"/>
  <c r="P16" i="1497"/>
  <c r="AC16" i="1497" s="1"/>
  <c r="O13" i="1497"/>
  <c r="AD13" i="1497" s="1"/>
  <c r="P11" i="1497"/>
  <c r="AC11" i="1497" s="1"/>
  <c r="AD11" i="1497"/>
  <c r="K21" i="1497"/>
  <c r="Q21" i="1497"/>
  <c r="P9" i="1497"/>
  <c r="AC9" i="1497" s="1"/>
  <c r="O9" i="1497"/>
  <c r="AD15" i="1497"/>
  <c r="AC6" i="1497"/>
  <c r="M8" i="1497"/>
  <c r="AB8" i="1497"/>
  <c r="M10" i="1497"/>
  <c r="AB10" i="1497"/>
  <c r="O16" i="1497"/>
  <c r="M18" i="1497"/>
  <c r="AB18" i="1497"/>
  <c r="O19" i="1497"/>
  <c r="O8" i="1497"/>
  <c r="M9" i="1497"/>
  <c r="O10" i="1497"/>
  <c r="O18" i="1497"/>
  <c r="L21" i="1497"/>
  <c r="O21" i="1497" s="1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0" i="1496"/>
  <c r="L19" i="1496"/>
  <c r="O19" i="1496" s="1"/>
  <c r="K18" i="1496"/>
  <c r="L17" i="1496"/>
  <c r="K16" i="1496"/>
  <c r="K14" i="1496"/>
  <c r="L13" i="1496"/>
  <c r="L12" i="1496"/>
  <c r="AB12" i="1496" s="1"/>
  <c r="K12" i="1496"/>
  <c r="L11" i="1496"/>
  <c r="K11" i="1496" s="1"/>
  <c r="L10" i="1496"/>
  <c r="O10" i="1496" s="1"/>
  <c r="K10" i="1496"/>
  <c r="K9" i="1496"/>
  <c r="L8" i="1496"/>
  <c r="K8" i="1496" s="1"/>
  <c r="K21" i="1496"/>
  <c r="K17" i="1496"/>
  <c r="K13" i="1496"/>
  <c r="A76" i="1496"/>
  <c r="A77" i="1496" s="1"/>
  <c r="A78" i="1496" s="1"/>
  <c r="A79" i="1496" s="1"/>
  <c r="A80" i="1496" s="1"/>
  <c r="A81" i="1496" s="1"/>
  <c r="A82" i="1496" s="1"/>
  <c r="A75" i="1496"/>
  <c r="AF61" i="1496"/>
  <c r="AF60" i="1496"/>
  <c r="AF63" i="1496" s="1"/>
  <c r="AA22" i="1496"/>
  <c r="Z22" i="1496"/>
  <c r="Y22" i="1496"/>
  <c r="X22" i="1496"/>
  <c r="W22" i="1496"/>
  <c r="V22" i="1496"/>
  <c r="U22" i="1496"/>
  <c r="T22" i="1496"/>
  <c r="S22" i="1496"/>
  <c r="R22" i="1496"/>
  <c r="N22" i="1496"/>
  <c r="J22" i="1496"/>
  <c r="I22" i="1496"/>
  <c r="AF21" i="1496"/>
  <c r="Q21" i="1496"/>
  <c r="O21" i="1496"/>
  <c r="AF20" i="1496"/>
  <c r="Q20" i="1496"/>
  <c r="AF19" i="1496"/>
  <c r="Q19" i="1496"/>
  <c r="AF18" i="1496"/>
  <c r="AB18" i="1496"/>
  <c r="Q18" i="1496"/>
  <c r="P18" i="1496"/>
  <c r="AC18" i="1496" s="1"/>
  <c r="O18" i="1496"/>
  <c r="M18" i="1496"/>
  <c r="AF17" i="1496"/>
  <c r="AB17" i="1496"/>
  <c r="Q17" i="1496"/>
  <c r="P17" i="1496"/>
  <c r="AC17" i="1496" s="1"/>
  <c r="M17" i="1496"/>
  <c r="O17" i="1496"/>
  <c r="AF16" i="1496"/>
  <c r="AB16" i="1496"/>
  <c r="Q16" i="1496"/>
  <c r="P16" i="1496"/>
  <c r="AC16" i="1496" s="1"/>
  <c r="O16" i="1496"/>
  <c r="M16" i="1496"/>
  <c r="AF15" i="1496"/>
  <c r="AC15" i="1496"/>
  <c r="AB15" i="1496"/>
  <c r="Q15" i="1496"/>
  <c r="P15" i="1496"/>
  <c r="O15" i="1496"/>
  <c r="M15" i="1496"/>
  <c r="K15" i="1496"/>
  <c r="AF14" i="1496"/>
  <c r="AB14" i="1496"/>
  <c r="Q14" i="1496"/>
  <c r="P14" i="1496"/>
  <c r="AC14" i="1496" s="1"/>
  <c r="O14" i="1496"/>
  <c r="M14" i="1496"/>
  <c r="AF13" i="1496"/>
  <c r="Q13" i="1496"/>
  <c r="AB13" i="1496"/>
  <c r="AF12" i="1496"/>
  <c r="Q12" i="1496"/>
  <c r="P12" i="1496"/>
  <c r="AC12" i="1496" s="1"/>
  <c r="M12" i="1496"/>
  <c r="AF11" i="1496"/>
  <c r="Q11" i="1496"/>
  <c r="O11" i="1496"/>
  <c r="AF10" i="1496"/>
  <c r="AB10" i="1496"/>
  <c r="Q10" i="1496"/>
  <c r="P10" i="1496"/>
  <c r="AC10" i="1496" s="1"/>
  <c r="M10" i="1496"/>
  <c r="AF9" i="1496"/>
  <c r="Q9" i="1496"/>
  <c r="AF8" i="1496"/>
  <c r="AB8" i="1496"/>
  <c r="Q8" i="1496"/>
  <c r="O8" i="1496"/>
  <c r="M8" i="1496"/>
  <c r="AF7" i="1496"/>
  <c r="AB7" i="1496"/>
  <c r="Q7" i="1496"/>
  <c r="P7" i="1496"/>
  <c r="AC7" i="1496" s="1"/>
  <c r="O7" i="1496"/>
  <c r="M7" i="1496"/>
  <c r="K7" i="1496"/>
  <c r="AF6" i="1496"/>
  <c r="AB6" i="1496"/>
  <c r="Q6" i="1496"/>
  <c r="P6" i="1496"/>
  <c r="O6" i="1496"/>
  <c r="M6" i="1496"/>
  <c r="K6" i="1496"/>
  <c r="AD22" i="1498" l="1"/>
  <c r="AD19" i="1497"/>
  <c r="AB21" i="1497"/>
  <c r="M21" i="1497"/>
  <c r="AD16" i="1497"/>
  <c r="P21" i="1497"/>
  <c r="AD9" i="1497"/>
  <c r="AD8" i="1497"/>
  <c r="AD18" i="1497"/>
  <c r="AD10" i="1497"/>
  <c r="AC21" i="1497"/>
  <c r="AD6" i="1497"/>
  <c r="P20" i="1496"/>
  <c r="AC20" i="1496" s="1"/>
  <c r="AB20" i="1496"/>
  <c r="AD20" i="1496" s="1"/>
  <c r="K20" i="1496"/>
  <c r="O20" i="1496"/>
  <c r="M20" i="1496"/>
  <c r="P19" i="1496"/>
  <c r="AC19" i="1496" s="1"/>
  <c r="K19" i="1496"/>
  <c r="AD17" i="1496"/>
  <c r="AD16" i="1496"/>
  <c r="AD14" i="1496"/>
  <c r="O12" i="1496"/>
  <c r="P11" i="1496"/>
  <c r="AC11" i="1496" s="1"/>
  <c r="Q22" i="1496"/>
  <c r="P8" i="1496"/>
  <c r="AC8" i="1496" s="1"/>
  <c r="AD8" i="1496" s="1"/>
  <c r="L22" i="1496"/>
  <c r="O22" i="1496" s="1"/>
  <c r="AD15" i="1496"/>
  <c r="AD7" i="1496"/>
  <c r="AD18" i="1496"/>
  <c r="AD10" i="1496"/>
  <c r="AD12" i="1496"/>
  <c r="AD11" i="1496"/>
  <c r="O9" i="1496"/>
  <c r="O13" i="1496"/>
  <c r="AC6" i="1496"/>
  <c r="P9" i="1496"/>
  <c r="AC9" i="1496" s="1"/>
  <c r="M11" i="1496"/>
  <c r="AB11" i="1496"/>
  <c r="P13" i="1496"/>
  <c r="AC13" i="1496" s="1"/>
  <c r="M19" i="1496"/>
  <c r="AB19" i="1496"/>
  <c r="P21" i="1496"/>
  <c r="AC21" i="1496" s="1"/>
  <c r="M9" i="1496"/>
  <c r="AB9" i="1496"/>
  <c r="M13" i="1496"/>
  <c r="M21" i="1496"/>
  <c r="AB21" i="149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495"/>
  <c r="L20" i="1495"/>
  <c r="L19" i="1495"/>
  <c r="L17" i="1495"/>
  <c r="L13" i="1495"/>
  <c r="L12" i="1495"/>
  <c r="L11" i="1495"/>
  <c r="L10" i="1495"/>
  <c r="K10" i="1495"/>
  <c r="AF10" i="1495"/>
  <c r="Q10" i="1495"/>
  <c r="AB10" i="1495"/>
  <c r="L9" i="1495"/>
  <c r="K9" i="1495"/>
  <c r="AE8" i="1498" l="1"/>
  <c r="AE14" i="1498"/>
  <c r="AE7" i="1498"/>
  <c r="AE16" i="1498"/>
  <c r="AE12" i="1498"/>
  <c r="AE11" i="1498"/>
  <c r="AE21" i="1498"/>
  <c r="AE18" i="1498"/>
  <c r="AE10" i="1498"/>
  <c r="AE17" i="1498"/>
  <c r="AE6" i="1498"/>
  <c r="AE13" i="1498"/>
  <c r="AE15" i="1498"/>
  <c r="AE19" i="1498"/>
  <c r="AE9" i="1498"/>
  <c r="AD21" i="1497"/>
  <c r="AE11" i="1497" s="1"/>
  <c r="AD19" i="1496"/>
  <c r="AD13" i="1496"/>
  <c r="AD9" i="1496"/>
  <c r="AB22" i="1496"/>
  <c r="M22" i="1496"/>
  <c r="AD21" i="1496"/>
  <c r="AE20" i="1496" s="1"/>
  <c r="K22" i="1496"/>
  <c r="AC22" i="1496"/>
  <c r="AD6" i="1496"/>
  <c r="P22" i="1496"/>
  <c r="M10" i="1495"/>
  <c r="O10" i="1495"/>
  <c r="P10" i="1495"/>
  <c r="AC10" i="1495" s="1"/>
  <c r="AD10" i="1495" s="1"/>
  <c r="K21" i="1495"/>
  <c r="K20" i="1495"/>
  <c r="K19" i="1495"/>
  <c r="K17" i="1495"/>
  <c r="K13" i="1495"/>
  <c r="K12" i="1495"/>
  <c r="K11" i="1495"/>
  <c r="K8" i="1495"/>
  <c r="A75" i="1495"/>
  <c r="A76" i="1495" s="1"/>
  <c r="A77" i="1495" s="1"/>
  <c r="A78" i="1495" s="1"/>
  <c r="A79" i="1495" s="1"/>
  <c r="A80" i="1495" s="1"/>
  <c r="A81" i="1495" s="1"/>
  <c r="A82" i="1495" s="1"/>
  <c r="AF61" i="1495"/>
  <c r="AF60" i="1495"/>
  <c r="AF63" i="1495" s="1"/>
  <c r="AA22" i="1495"/>
  <c r="Z22" i="1495"/>
  <c r="Y22" i="1495"/>
  <c r="X22" i="1495"/>
  <c r="W22" i="1495"/>
  <c r="V22" i="1495"/>
  <c r="U22" i="1495"/>
  <c r="T22" i="1495"/>
  <c r="S22" i="1495"/>
  <c r="R22" i="1495"/>
  <c r="N22" i="1495"/>
  <c r="J22" i="1495"/>
  <c r="I22" i="1495"/>
  <c r="AF21" i="1495"/>
  <c r="AB21" i="1495"/>
  <c r="Q21" i="1495"/>
  <c r="P21" i="1495" s="1"/>
  <c r="AC21" i="1495" s="1"/>
  <c r="M21" i="1495"/>
  <c r="O21" i="1495"/>
  <c r="AF20" i="1495"/>
  <c r="Q20" i="1495"/>
  <c r="O20" i="1495"/>
  <c r="AB20" i="1495"/>
  <c r="AF19" i="1495"/>
  <c r="AB19" i="1495"/>
  <c r="Q19" i="1495"/>
  <c r="P19" i="1495"/>
  <c r="AC19" i="1495" s="1"/>
  <c r="O19" i="1495"/>
  <c r="M19" i="1495"/>
  <c r="AF18" i="1495"/>
  <c r="AC18" i="1495"/>
  <c r="AB18" i="1495"/>
  <c r="Q18" i="1495"/>
  <c r="P18" i="1495"/>
  <c r="O18" i="1495"/>
  <c r="M18" i="1495"/>
  <c r="K18" i="1495"/>
  <c r="AF17" i="1495"/>
  <c r="Q17" i="1495"/>
  <c r="O17" i="1495"/>
  <c r="AB17" i="1495"/>
  <c r="AF16" i="1495"/>
  <c r="AB16" i="1495"/>
  <c r="Q16" i="1495"/>
  <c r="P16" i="1495"/>
  <c r="AC16" i="1495" s="1"/>
  <c r="O16" i="1495"/>
  <c r="M16" i="1495"/>
  <c r="K16" i="1495"/>
  <c r="AF15" i="1495"/>
  <c r="AB15" i="1495"/>
  <c r="Q15" i="1495"/>
  <c r="P15" i="1495"/>
  <c r="AC15" i="1495" s="1"/>
  <c r="O15" i="1495"/>
  <c r="M15" i="1495"/>
  <c r="K15" i="1495"/>
  <c r="AF14" i="1495"/>
  <c r="AB14" i="1495"/>
  <c r="Q14" i="1495"/>
  <c r="P14" i="1495"/>
  <c r="AC14" i="1495" s="1"/>
  <c r="O14" i="1495"/>
  <c r="M14" i="1495"/>
  <c r="K14" i="1495"/>
  <c r="AF13" i="1495"/>
  <c r="AB13" i="1495"/>
  <c r="Q13" i="1495"/>
  <c r="P13" i="1495"/>
  <c r="AC13" i="1495" s="1"/>
  <c r="M13" i="1495"/>
  <c r="O13" i="1495"/>
  <c r="AF12" i="1495"/>
  <c r="Q12" i="1495"/>
  <c r="O12" i="1495"/>
  <c r="AB12" i="1495"/>
  <c r="AF11" i="1495"/>
  <c r="AB11" i="1495"/>
  <c r="Q11" i="1495"/>
  <c r="P11" i="1495" s="1"/>
  <c r="AC11" i="1495" s="1"/>
  <c r="AD11" i="1495" s="1"/>
  <c r="M11" i="1495"/>
  <c r="O11" i="1495"/>
  <c r="AF9" i="1495"/>
  <c r="AB9" i="1495"/>
  <c r="Q9" i="1495"/>
  <c r="P9" i="1495" s="1"/>
  <c r="AC9" i="1495" s="1"/>
  <c r="O9" i="1495"/>
  <c r="M9" i="1495"/>
  <c r="AF8" i="1495"/>
  <c r="AC8" i="1495"/>
  <c r="Q8" i="1495"/>
  <c r="P8" i="1495"/>
  <c r="O8" i="1495"/>
  <c r="AB8" i="1495"/>
  <c r="AF7" i="1495"/>
  <c r="AB7" i="1495"/>
  <c r="Q7" i="1495"/>
  <c r="P7" i="1495"/>
  <c r="AC7" i="1495" s="1"/>
  <c r="O7" i="1495"/>
  <c r="M7" i="1495"/>
  <c r="K7" i="1495"/>
  <c r="AF6" i="1495"/>
  <c r="AB6" i="1495"/>
  <c r="Q6" i="1495"/>
  <c r="P6" i="1495"/>
  <c r="AC6" i="1495" s="1"/>
  <c r="O6" i="1495"/>
  <c r="M6" i="1495"/>
  <c r="K6" i="1495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494"/>
  <c r="K20" i="1494"/>
  <c r="L19" i="1494"/>
  <c r="L18" i="1494"/>
  <c r="L16" i="1494"/>
  <c r="L12" i="1494"/>
  <c r="K12" i="1494" s="1"/>
  <c r="L11" i="1494"/>
  <c r="L10" i="1494"/>
  <c r="L8" i="1494"/>
  <c r="AE16" i="1497" l="1"/>
  <c r="AE7" i="1497"/>
  <c r="AE14" i="1497"/>
  <c r="AE15" i="1497"/>
  <c r="AE17" i="1497"/>
  <c r="AE13" i="1497"/>
  <c r="AE9" i="1497"/>
  <c r="AE18" i="1497"/>
  <c r="AE10" i="1497"/>
  <c r="AE8" i="1497"/>
  <c r="AE20" i="1497"/>
  <c r="AE12" i="1497"/>
  <c r="AE6" i="1497"/>
  <c r="AD22" i="1496"/>
  <c r="AE16" i="1496" s="1"/>
  <c r="AD15" i="1495"/>
  <c r="Q22" i="1495"/>
  <c r="AD7" i="1495"/>
  <c r="AD16" i="1495"/>
  <c r="AD9" i="1495"/>
  <c r="AD14" i="1495"/>
  <c r="AD18" i="1495"/>
  <c r="AD19" i="1495"/>
  <c r="AB22" i="1495"/>
  <c r="AD8" i="1495"/>
  <c r="AD13" i="1495"/>
  <c r="AD21" i="1495"/>
  <c r="AE20" i="1495" s="1"/>
  <c r="AD6" i="1495"/>
  <c r="K22" i="1495"/>
  <c r="P12" i="1495"/>
  <c r="AC12" i="1495" s="1"/>
  <c r="AD12" i="1495" s="1"/>
  <c r="P17" i="1495"/>
  <c r="AC17" i="1495" s="1"/>
  <c r="AD17" i="1495" s="1"/>
  <c r="P20" i="1495"/>
  <c r="AC20" i="1495" s="1"/>
  <c r="AD20" i="1495" s="1"/>
  <c r="L22" i="1495"/>
  <c r="O22" i="1495" s="1"/>
  <c r="M8" i="1495"/>
  <c r="M12" i="1495"/>
  <c r="M17" i="1495"/>
  <c r="M20" i="1495"/>
  <c r="AE19" i="1496" l="1"/>
  <c r="AE18" i="1496"/>
  <c r="AE14" i="1496"/>
  <c r="AE13" i="1496"/>
  <c r="AE12" i="1496"/>
  <c r="AE11" i="1496"/>
  <c r="AE8" i="1496"/>
  <c r="AE9" i="1496"/>
  <c r="AE7" i="1496"/>
  <c r="AE21" i="1496"/>
  <c r="AE17" i="1496"/>
  <c r="AE15" i="1496"/>
  <c r="AE10" i="1496"/>
  <c r="AE6" i="1496"/>
  <c r="P22" i="1495"/>
  <c r="AD22" i="1495"/>
  <c r="M22" i="1495"/>
  <c r="AC22" i="1495"/>
  <c r="AE11" i="1495" l="1"/>
  <c r="AE10" i="1495"/>
  <c r="AE9" i="1495"/>
  <c r="AE12" i="1495"/>
  <c r="AE14" i="1495"/>
  <c r="AE13" i="1495"/>
  <c r="AE18" i="1495"/>
  <c r="AE17" i="1495"/>
  <c r="AE16" i="1495"/>
  <c r="AE15" i="1495"/>
  <c r="AE6" i="1495"/>
  <c r="AE7" i="1495"/>
  <c r="AE19" i="1495"/>
  <c r="AE21" i="1495"/>
  <c r="AE8" i="1495"/>
  <c r="K19" i="1494"/>
  <c r="K18" i="1494"/>
  <c r="K16" i="1494"/>
  <c r="K13" i="1494"/>
  <c r="K11" i="1494"/>
  <c r="K10" i="1494"/>
  <c r="K9" i="1494"/>
  <c r="K8" i="1494"/>
  <c r="A75" i="1494"/>
  <c r="A76" i="1494" s="1"/>
  <c r="A77" i="1494" s="1"/>
  <c r="A78" i="1494" s="1"/>
  <c r="A79" i="1494" s="1"/>
  <c r="A80" i="1494" s="1"/>
  <c r="A81" i="1494" s="1"/>
  <c r="A74" i="1494"/>
  <c r="AF60" i="1494"/>
  <c r="AF59" i="1494"/>
  <c r="AF62" i="1494" s="1"/>
  <c r="AA21" i="1494"/>
  <c r="Z21" i="1494"/>
  <c r="Y21" i="1494"/>
  <c r="X21" i="1494"/>
  <c r="W21" i="1494"/>
  <c r="V21" i="1494"/>
  <c r="U21" i="1494"/>
  <c r="T21" i="1494"/>
  <c r="S21" i="1494"/>
  <c r="R21" i="1494"/>
  <c r="N21" i="1494"/>
  <c r="J21" i="1494"/>
  <c r="I21" i="1494"/>
  <c r="AF20" i="1494"/>
  <c r="Q20" i="1494"/>
  <c r="O20" i="1494"/>
  <c r="AF19" i="1494"/>
  <c r="Q19" i="1494"/>
  <c r="P19" i="1494" s="1"/>
  <c r="AC19" i="1494" s="1"/>
  <c r="AB19" i="1494"/>
  <c r="AF18" i="1494"/>
  <c r="Q18" i="1494"/>
  <c r="P18" i="1494" s="1"/>
  <c r="AC18" i="1494" s="1"/>
  <c r="O18" i="1494"/>
  <c r="AB18" i="1494"/>
  <c r="AF17" i="1494"/>
  <c r="AB17" i="1494"/>
  <c r="Q17" i="1494"/>
  <c r="P17" i="1494"/>
  <c r="AC17" i="1494" s="1"/>
  <c r="AD17" i="1494" s="1"/>
  <c r="O17" i="1494"/>
  <c r="M17" i="1494"/>
  <c r="K17" i="1494"/>
  <c r="AF16" i="1494"/>
  <c r="Q16" i="1494"/>
  <c r="P16" i="1494"/>
  <c r="AC16" i="1494" s="1"/>
  <c r="AB16" i="1494"/>
  <c r="AF15" i="1494"/>
  <c r="AB15" i="1494"/>
  <c r="Q15" i="1494"/>
  <c r="P15" i="1494"/>
  <c r="AC15" i="1494" s="1"/>
  <c r="AD15" i="1494" s="1"/>
  <c r="O15" i="1494"/>
  <c r="M15" i="1494"/>
  <c r="K15" i="1494"/>
  <c r="AF14" i="1494"/>
  <c r="AB14" i="1494"/>
  <c r="Q14" i="1494"/>
  <c r="P14" i="1494"/>
  <c r="AC14" i="1494" s="1"/>
  <c r="AD14" i="1494" s="1"/>
  <c r="O14" i="1494"/>
  <c r="M14" i="1494"/>
  <c r="K14" i="1494"/>
  <c r="AF13" i="1494"/>
  <c r="Q13" i="1494"/>
  <c r="P13" i="1494"/>
  <c r="AC13" i="1494" s="1"/>
  <c r="O13" i="1494"/>
  <c r="AB13" i="1494"/>
  <c r="AF12" i="1494"/>
  <c r="AB12" i="1494"/>
  <c r="Q12" i="1494"/>
  <c r="P12" i="1494"/>
  <c r="AC12" i="1494" s="1"/>
  <c r="O12" i="1494"/>
  <c r="M12" i="1494"/>
  <c r="AF11" i="1494"/>
  <c r="Q11" i="1494"/>
  <c r="M11" i="1494"/>
  <c r="AF10" i="1494"/>
  <c r="Q10" i="1494"/>
  <c r="P10" i="1494" s="1"/>
  <c r="AC10" i="1494" s="1"/>
  <c r="M10" i="1494"/>
  <c r="AF9" i="1494"/>
  <c r="AB9" i="1494"/>
  <c r="Q9" i="1494"/>
  <c r="P9" i="1494"/>
  <c r="AC9" i="1494" s="1"/>
  <c r="AD9" i="1494" s="1"/>
  <c r="O9" i="1494"/>
  <c r="M9" i="1494"/>
  <c r="AF8" i="1494"/>
  <c r="Q8" i="1494"/>
  <c r="O8" i="1494"/>
  <c r="AF7" i="1494"/>
  <c r="AB7" i="1494"/>
  <c r="Q7" i="1494"/>
  <c r="P7" i="1494"/>
  <c r="O7" i="1494"/>
  <c r="M7" i="1494"/>
  <c r="K7" i="1494"/>
  <c r="AF6" i="1494"/>
  <c r="AC6" i="1494"/>
  <c r="AB6" i="1494"/>
  <c r="Q6" i="1494"/>
  <c r="P6" i="1494"/>
  <c r="O6" i="1494"/>
  <c r="M6" i="1494"/>
  <c r="K6" i="1494"/>
  <c r="AD12" i="1494" l="1"/>
  <c r="Q21" i="1494"/>
  <c r="AD13" i="1494"/>
  <c r="AD18" i="1494"/>
  <c r="M8" i="1494"/>
  <c r="AB11" i="1494"/>
  <c r="AB20" i="1494"/>
  <c r="L21" i="1494"/>
  <c r="O21" i="1494" s="1"/>
  <c r="AD6" i="1494"/>
  <c r="AB10" i="1494"/>
  <c r="O11" i="1494"/>
  <c r="AC7" i="1494"/>
  <c r="AD7" i="1494" s="1"/>
  <c r="P8" i="1494"/>
  <c r="AC8" i="1494" s="1"/>
  <c r="O10" i="1494"/>
  <c r="AD10" i="1494" s="1"/>
  <c r="P11" i="1494"/>
  <c r="AC11" i="1494" s="1"/>
  <c r="M13" i="1494"/>
  <c r="O16" i="1494"/>
  <c r="AD16" i="1494" s="1"/>
  <c r="M18" i="1494"/>
  <c r="O19" i="1494"/>
  <c r="AD19" i="1494" s="1"/>
  <c r="P20" i="1494"/>
  <c r="AC20" i="1494" s="1"/>
  <c r="AB8" i="1494"/>
  <c r="M20" i="1494"/>
  <c r="M16" i="1494"/>
  <c r="M19" i="1494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493"/>
  <c r="O20" i="1493" s="1"/>
  <c r="K20" i="1493"/>
  <c r="L19" i="1493"/>
  <c r="AB19" i="1493" s="1"/>
  <c r="L18" i="1493"/>
  <c r="L16" i="1493"/>
  <c r="K16" i="1493" s="1"/>
  <c r="L13" i="1493"/>
  <c r="K13" i="1493" s="1"/>
  <c r="L12" i="1493"/>
  <c r="M12" i="1493" s="1"/>
  <c r="L11" i="1493"/>
  <c r="K11" i="1493" s="1"/>
  <c r="L10" i="1493"/>
  <c r="O10" i="1493" s="1"/>
  <c r="L8" i="1493"/>
  <c r="O8" i="1493" s="1"/>
  <c r="K19" i="1493"/>
  <c r="K18" i="1493"/>
  <c r="K9" i="1493"/>
  <c r="A75" i="1493"/>
  <c r="A76" i="1493" s="1"/>
  <c r="A77" i="1493" s="1"/>
  <c r="A78" i="1493" s="1"/>
  <c r="A79" i="1493" s="1"/>
  <c r="A80" i="1493" s="1"/>
  <c r="A81" i="1493" s="1"/>
  <c r="A74" i="1493"/>
  <c r="AF60" i="1493"/>
  <c r="AF59" i="1493"/>
  <c r="AF62" i="1493" s="1"/>
  <c r="AA21" i="1493"/>
  <c r="Z21" i="1493"/>
  <c r="Y21" i="1493"/>
  <c r="X21" i="1493"/>
  <c r="W21" i="1493"/>
  <c r="V21" i="1493"/>
  <c r="U21" i="1493"/>
  <c r="T21" i="1493"/>
  <c r="S21" i="1493"/>
  <c r="R21" i="1493"/>
  <c r="N21" i="1493"/>
  <c r="J21" i="1493"/>
  <c r="I21" i="1493"/>
  <c r="AF20" i="1493"/>
  <c r="Q20" i="1493"/>
  <c r="AF19" i="1493"/>
  <c r="Q19" i="1493"/>
  <c r="P19" i="1493"/>
  <c r="AC19" i="1493" s="1"/>
  <c r="AF18" i="1493"/>
  <c r="Q18" i="1493"/>
  <c r="P18" i="1493" s="1"/>
  <c r="AC18" i="1493" s="1"/>
  <c r="O18" i="1493"/>
  <c r="AB18" i="1493"/>
  <c r="AF17" i="1493"/>
  <c r="AB17" i="1493"/>
  <c r="Q17" i="1493"/>
  <c r="P17" i="1493"/>
  <c r="AC17" i="1493" s="1"/>
  <c r="O17" i="1493"/>
  <c r="M17" i="1493"/>
  <c r="K17" i="1493"/>
  <c r="AF16" i="1493"/>
  <c r="AB16" i="1493"/>
  <c r="Q16" i="1493"/>
  <c r="P16" i="1493" s="1"/>
  <c r="AC16" i="1493" s="1"/>
  <c r="AD16" i="1493" s="1"/>
  <c r="O16" i="1493"/>
  <c r="M16" i="1493"/>
  <c r="AF15" i="1493"/>
  <c r="AB15" i="1493"/>
  <c r="Q15" i="1493"/>
  <c r="P15" i="1493"/>
  <c r="AC15" i="1493" s="1"/>
  <c r="O15" i="1493"/>
  <c r="M15" i="1493"/>
  <c r="K15" i="1493"/>
  <c r="AF14" i="1493"/>
  <c r="AB14" i="1493"/>
  <c r="Q14" i="1493"/>
  <c r="P14" i="1493"/>
  <c r="AC14" i="1493" s="1"/>
  <c r="O14" i="1493"/>
  <c r="M14" i="1493"/>
  <c r="K14" i="1493"/>
  <c r="AF13" i="1493"/>
  <c r="Q13" i="1493"/>
  <c r="AB13" i="1493"/>
  <c r="AF12" i="1493"/>
  <c r="Q12" i="1493"/>
  <c r="AF11" i="1493"/>
  <c r="AB11" i="1493"/>
  <c r="Q11" i="1493"/>
  <c r="O11" i="1493"/>
  <c r="M11" i="1493"/>
  <c r="AF10" i="1493"/>
  <c r="Q10" i="1493"/>
  <c r="P10" i="1493"/>
  <c r="AC10" i="1493" s="1"/>
  <c r="M10" i="1493"/>
  <c r="AF9" i="1493"/>
  <c r="AB9" i="1493"/>
  <c r="Q9" i="1493"/>
  <c r="P9" i="1493" s="1"/>
  <c r="AC9" i="1493" s="1"/>
  <c r="O9" i="1493"/>
  <c r="M9" i="1493"/>
  <c r="AF8" i="1493"/>
  <c r="Q8" i="1493"/>
  <c r="AF7" i="1493"/>
  <c r="AB7" i="1493"/>
  <c r="Q7" i="1493"/>
  <c r="P7" i="1493"/>
  <c r="AC7" i="1493" s="1"/>
  <c r="O7" i="1493"/>
  <c r="M7" i="1493"/>
  <c r="K7" i="1493"/>
  <c r="AF6" i="1493"/>
  <c r="AB6" i="1493"/>
  <c r="Q6" i="1493"/>
  <c r="P6" i="1493"/>
  <c r="O6" i="1493"/>
  <c r="M6" i="1493"/>
  <c r="K6" i="1493"/>
  <c r="AD20" i="1494" l="1"/>
  <c r="AE19" i="1494" s="1"/>
  <c r="AB21" i="1494"/>
  <c r="M21" i="1494"/>
  <c r="AD8" i="1494"/>
  <c r="P21" i="1494"/>
  <c r="AD11" i="1494"/>
  <c r="K21" i="1494"/>
  <c r="AC21" i="1494"/>
  <c r="AD7" i="1493"/>
  <c r="P12" i="1493"/>
  <c r="AC12" i="1493" s="1"/>
  <c r="K10" i="1493"/>
  <c r="AB10" i="1493"/>
  <c r="AD10" i="1493" s="1"/>
  <c r="K12" i="1493"/>
  <c r="O12" i="1493"/>
  <c r="AB12" i="1493"/>
  <c r="AD12" i="1493" s="1"/>
  <c r="P11" i="1493"/>
  <c r="AC11" i="1493" s="1"/>
  <c r="AD11" i="1493" s="1"/>
  <c r="Q21" i="1493"/>
  <c r="K8" i="1493"/>
  <c r="AD9" i="1493"/>
  <c r="AD14" i="1493"/>
  <c r="AD15" i="1493"/>
  <c r="AD17" i="1493"/>
  <c r="AD18" i="1493"/>
  <c r="O13" i="1493"/>
  <c r="P8" i="1493"/>
  <c r="AC8" i="1493" s="1"/>
  <c r="P13" i="1493"/>
  <c r="AC13" i="1493" s="1"/>
  <c r="M18" i="1493"/>
  <c r="O19" i="1493"/>
  <c r="AD19" i="1493" s="1"/>
  <c r="P20" i="1493"/>
  <c r="AC20" i="1493" s="1"/>
  <c r="AC6" i="1493"/>
  <c r="M8" i="1493"/>
  <c r="AB8" i="1493"/>
  <c r="M13" i="1493"/>
  <c r="M20" i="1493"/>
  <c r="AB20" i="1493"/>
  <c r="L21" i="1493"/>
  <c r="O21" i="1493" s="1"/>
  <c r="M19" i="1493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2" i="1492"/>
  <c r="K22" i="1492"/>
  <c r="L21" i="1492"/>
  <c r="L20" i="1492"/>
  <c r="L18" i="1492"/>
  <c r="K18" i="1492"/>
  <c r="AF17" i="1492"/>
  <c r="AB17" i="1492"/>
  <c r="Q17" i="1492"/>
  <c r="P17" i="1492" s="1"/>
  <c r="AC17" i="1492" s="1"/>
  <c r="AD17" i="1492" s="1"/>
  <c r="O17" i="1492"/>
  <c r="M17" i="1492"/>
  <c r="K17" i="1492"/>
  <c r="L14" i="1492"/>
  <c r="K14" i="1492"/>
  <c r="L13" i="1492"/>
  <c r="K13" i="1492"/>
  <c r="L12" i="1492"/>
  <c r="AB12" i="1492" s="1"/>
  <c r="AF12" i="1492"/>
  <c r="Q12" i="1492"/>
  <c r="P12" i="1492" s="1"/>
  <c r="AC12" i="1492" s="1"/>
  <c r="K12" i="1492"/>
  <c r="L11" i="1492"/>
  <c r="K11" i="1492"/>
  <c r="K10" i="1492"/>
  <c r="K9" i="1492"/>
  <c r="AD21" i="1494" l="1"/>
  <c r="AE16" i="1494" s="1"/>
  <c r="AD13" i="1493"/>
  <c r="M21" i="1493"/>
  <c r="AB21" i="1493"/>
  <c r="AD20" i="1493"/>
  <c r="AE19" i="1493" s="1"/>
  <c r="AD8" i="1493"/>
  <c r="K21" i="1493"/>
  <c r="P21" i="1493"/>
  <c r="AC21" i="1493"/>
  <c r="AD6" i="1493"/>
  <c r="M12" i="1492"/>
  <c r="O12" i="1492"/>
  <c r="AD12" i="1492" s="1"/>
  <c r="AE14" i="1494" l="1"/>
  <c r="AE6" i="1494"/>
  <c r="AE7" i="1494"/>
  <c r="AE12" i="1494"/>
  <c r="AE10" i="1494"/>
  <c r="AE20" i="1494"/>
  <c r="AE9" i="1494"/>
  <c r="AE17" i="1494"/>
  <c r="AE15" i="1494"/>
  <c r="AE11" i="1494"/>
  <c r="AE13" i="1494"/>
  <c r="AE8" i="1494"/>
  <c r="AE18" i="1494"/>
  <c r="AD21" i="1493"/>
  <c r="AE18" i="1493" s="1"/>
  <c r="L8" i="1492"/>
  <c r="K8" i="1492" s="1"/>
  <c r="K21" i="1492"/>
  <c r="K20" i="1492"/>
  <c r="K19" i="1492"/>
  <c r="A76" i="1492"/>
  <c r="A77" i="1492" s="1"/>
  <c r="A78" i="1492" s="1"/>
  <c r="A79" i="1492" s="1"/>
  <c r="A80" i="1492" s="1"/>
  <c r="A81" i="1492" s="1"/>
  <c r="A82" i="1492" s="1"/>
  <c r="A83" i="1492" s="1"/>
  <c r="AF62" i="1492"/>
  <c r="AF64" i="1492" s="1"/>
  <c r="AF61" i="1492"/>
  <c r="AA23" i="1492"/>
  <c r="Z23" i="1492"/>
  <c r="Y23" i="1492"/>
  <c r="X23" i="1492"/>
  <c r="W23" i="1492"/>
  <c r="V23" i="1492"/>
  <c r="U23" i="1492"/>
  <c r="T23" i="1492"/>
  <c r="S23" i="1492"/>
  <c r="R23" i="1492"/>
  <c r="N23" i="1492"/>
  <c r="J23" i="1492"/>
  <c r="I23" i="1492"/>
  <c r="AF22" i="1492"/>
  <c r="AB22" i="1492"/>
  <c r="Q22" i="1492"/>
  <c r="P22" i="1492"/>
  <c r="AC22" i="1492" s="1"/>
  <c r="O22" i="1492"/>
  <c r="M22" i="1492"/>
  <c r="AF21" i="1492"/>
  <c r="AB21" i="1492"/>
  <c r="Q21" i="1492"/>
  <c r="P21" i="1492" s="1"/>
  <c r="AC21" i="1492" s="1"/>
  <c r="O21" i="1492"/>
  <c r="M21" i="1492"/>
  <c r="AF20" i="1492"/>
  <c r="Q20" i="1492"/>
  <c r="M20" i="1492"/>
  <c r="P20" i="1492"/>
  <c r="AC20" i="1492" s="1"/>
  <c r="AF19" i="1492"/>
  <c r="AB19" i="1492"/>
  <c r="Q19" i="1492"/>
  <c r="P19" i="1492" s="1"/>
  <c r="AC19" i="1492" s="1"/>
  <c r="O19" i="1492"/>
  <c r="M19" i="1492"/>
  <c r="AF18" i="1492"/>
  <c r="AB18" i="1492"/>
  <c r="Q18" i="1492"/>
  <c r="P18" i="1492" s="1"/>
  <c r="AC18" i="1492" s="1"/>
  <c r="O18" i="1492"/>
  <c r="M18" i="1492"/>
  <c r="AF16" i="1492"/>
  <c r="AB16" i="1492"/>
  <c r="Q16" i="1492"/>
  <c r="P16" i="1492"/>
  <c r="AC16" i="1492" s="1"/>
  <c r="O16" i="1492"/>
  <c r="M16" i="1492"/>
  <c r="K16" i="1492"/>
  <c r="AF15" i="1492"/>
  <c r="AB15" i="1492"/>
  <c r="Q15" i="1492"/>
  <c r="P15" i="1492"/>
  <c r="AC15" i="1492" s="1"/>
  <c r="O15" i="1492"/>
  <c r="M15" i="1492"/>
  <c r="K15" i="1492"/>
  <c r="AF14" i="1492"/>
  <c r="Q14" i="1492"/>
  <c r="P14" i="1492"/>
  <c r="AC14" i="1492" s="1"/>
  <c r="AF13" i="1492"/>
  <c r="AB13" i="1492"/>
  <c r="Q13" i="1492"/>
  <c r="P13" i="1492" s="1"/>
  <c r="AC13" i="1492" s="1"/>
  <c r="O13" i="1492"/>
  <c r="M13" i="1492"/>
  <c r="AF11" i="1492"/>
  <c r="Q11" i="1492"/>
  <c r="P11" i="1492" s="1"/>
  <c r="AC11" i="1492" s="1"/>
  <c r="AF10" i="1492"/>
  <c r="AB10" i="1492"/>
  <c r="Q10" i="1492"/>
  <c r="P10" i="1492"/>
  <c r="AC10" i="1492" s="1"/>
  <c r="O10" i="1492"/>
  <c r="M10" i="1492"/>
  <c r="AF9" i="1492"/>
  <c r="Q9" i="1492"/>
  <c r="P9" i="1492" s="1"/>
  <c r="AC9" i="1492" s="1"/>
  <c r="AF8" i="1492"/>
  <c r="Q8" i="1492"/>
  <c r="AF7" i="1492"/>
  <c r="AC7" i="1492"/>
  <c r="AB7" i="1492"/>
  <c r="Q7" i="1492"/>
  <c r="P7" i="1492"/>
  <c r="O7" i="1492"/>
  <c r="M7" i="1492"/>
  <c r="K7" i="1492"/>
  <c r="AF6" i="1492"/>
  <c r="AC6" i="1492"/>
  <c r="AB6" i="1492"/>
  <c r="Q6" i="1492"/>
  <c r="P6" i="1492"/>
  <c r="O6" i="1492"/>
  <c r="M6" i="1492"/>
  <c r="K6" i="1492"/>
  <c r="AE20" i="1493" l="1"/>
  <c r="AE14" i="1493"/>
  <c r="AE10" i="1493"/>
  <c r="AE8" i="1493"/>
  <c r="AE6" i="1493"/>
  <c r="AE7" i="1493"/>
  <c r="AE15" i="1493"/>
  <c r="AE13" i="1493"/>
  <c r="AE11" i="1493"/>
  <c r="AE12" i="1493"/>
  <c r="AE9" i="1493"/>
  <c r="AE17" i="1493"/>
  <c r="AE16" i="1493"/>
  <c r="AD10" i="1492"/>
  <c r="AD21" i="1492"/>
  <c r="Q23" i="1492"/>
  <c r="L23" i="1492"/>
  <c r="O23" i="1492" s="1"/>
  <c r="P8" i="1492"/>
  <c r="AC8" i="1492" s="1"/>
  <c r="AD7" i="1492"/>
  <c r="AD18" i="1492"/>
  <c r="AD22" i="1492"/>
  <c r="AE21" i="1492" s="1"/>
  <c r="AD13" i="1492"/>
  <c r="AD16" i="1492"/>
  <c r="AD15" i="1492"/>
  <c r="AD19" i="1492"/>
  <c r="AC23" i="1492"/>
  <c r="AB20" i="1492"/>
  <c r="AB8" i="1492"/>
  <c r="O20" i="1492"/>
  <c r="M9" i="1492"/>
  <c r="AB9" i="1492"/>
  <c r="M11" i="1492"/>
  <c r="AB11" i="1492"/>
  <c r="M14" i="1492"/>
  <c r="AB14" i="1492"/>
  <c r="M8" i="1492"/>
  <c r="O9" i="1492"/>
  <c r="O11" i="1492"/>
  <c r="O14" i="1492"/>
  <c r="AD6" i="1492"/>
  <c r="O8" i="1492"/>
  <c r="K23" i="1492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2" i="1491"/>
  <c r="O22" i="1491" s="1"/>
  <c r="L21" i="1491"/>
  <c r="AB21" i="1491" s="1"/>
  <c r="L20" i="1491"/>
  <c r="L18" i="1491"/>
  <c r="M18" i="1491" s="1"/>
  <c r="L15" i="1491"/>
  <c r="K15" i="1491" s="1"/>
  <c r="AF15" i="1491"/>
  <c r="Q15" i="1491"/>
  <c r="L13" i="1491"/>
  <c r="K13" i="1491" s="1"/>
  <c r="L12" i="1491"/>
  <c r="K11" i="1491"/>
  <c r="AF11" i="1491"/>
  <c r="Q11" i="1491"/>
  <c r="P11" i="1491" s="1"/>
  <c r="AC11" i="1491" s="1"/>
  <c r="AB11" i="1491"/>
  <c r="L10" i="1491"/>
  <c r="L9" i="1491"/>
  <c r="AB9" i="1491" s="1"/>
  <c r="K9" i="1491"/>
  <c r="L8" i="1491"/>
  <c r="K22" i="1491"/>
  <c r="K21" i="1491"/>
  <c r="K20" i="1491"/>
  <c r="K19" i="1491"/>
  <c r="K14" i="1491"/>
  <c r="K12" i="1491"/>
  <c r="K10" i="1491"/>
  <c r="K8" i="1491"/>
  <c r="A76" i="1491"/>
  <c r="A77" i="1491" s="1"/>
  <c r="A78" i="1491" s="1"/>
  <c r="A79" i="1491" s="1"/>
  <c r="A80" i="1491" s="1"/>
  <c r="A81" i="1491" s="1"/>
  <c r="A82" i="1491" s="1"/>
  <c r="A83" i="1491" s="1"/>
  <c r="AF62" i="1491"/>
  <c r="AF61" i="1491"/>
  <c r="AF64" i="1491" s="1"/>
  <c r="AA23" i="1491"/>
  <c r="Z23" i="1491"/>
  <c r="Y23" i="1491"/>
  <c r="X23" i="1491"/>
  <c r="W23" i="1491"/>
  <c r="V23" i="1491"/>
  <c r="U23" i="1491"/>
  <c r="T23" i="1491"/>
  <c r="S23" i="1491"/>
  <c r="R23" i="1491"/>
  <c r="N23" i="1491"/>
  <c r="J23" i="1491"/>
  <c r="I23" i="1491"/>
  <c r="AF22" i="1491"/>
  <c r="Q22" i="1491"/>
  <c r="AF21" i="1491"/>
  <c r="Q21" i="1491"/>
  <c r="P21" i="1491"/>
  <c r="AC21" i="1491" s="1"/>
  <c r="AF20" i="1491"/>
  <c r="Q20" i="1491"/>
  <c r="P20" i="1491"/>
  <c r="AC20" i="1491" s="1"/>
  <c r="O20" i="1491"/>
  <c r="AB20" i="1491"/>
  <c r="AF19" i="1491"/>
  <c r="AB19" i="1491"/>
  <c r="Q19" i="1491"/>
  <c r="P19" i="1491"/>
  <c r="AC19" i="1491" s="1"/>
  <c r="O19" i="1491"/>
  <c r="M19" i="1491"/>
  <c r="AF18" i="1491"/>
  <c r="Q18" i="1491"/>
  <c r="AF17" i="1491"/>
  <c r="AB17" i="1491"/>
  <c r="Q17" i="1491"/>
  <c r="P17" i="1491"/>
  <c r="AC17" i="1491" s="1"/>
  <c r="O17" i="1491"/>
  <c r="M17" i="1491"/>
  <c r="K17" i="1491"/>
  <c r="AF16" i="1491"/>
  <c r="AB16" i="1491"/>
  <c r="Q16" i="1491"/>
  <c r="P16" i="1491"/>
  <c r="AC16" i="1491" s="1"/>
  <c r="O16" i="1491"/>
  <c r="M16" i="1491"/>
  <c r="K16" i="1491"/>
  <c r="AF14" i="1491"/>
  <c r="AB14" i="1491"/>
  <c r="Q14" i="1491"/>
  <c r="P14" i="1491"/>
  <c r="AC14" i="1491" s="1"/>
  <c r="O14" i="1491"/>
  <c r="M14" i="1491"/>
  <c r="AF13" i="1491"/>
  <c r="Q13" i="1491"/>
  <c r="O13" i="1491"/>
  <c r="AF12" i="1491"/>
  <c r="Q12" i="1491"/>
  <c r="AB12" i="1491"/>
  <c r="AF10" i="1491"/>
  <c r="Q10" i="1491"/>
  <c r="P10" i="1491" s="1"/>
  <c r="AC10" i="1491" s="1"/>
  <c r="O10" i="1491"/>
  <c r="AB10" i="1491"/>
  <c r="AF9" i="1491"/>
  <c r="Q9" i="1491"/>
  <c r="P9" i="1491" s="1"/>
  <c r="AC9" i="1491" s="1"/>
  <c r="O9" i="1491"/>
  <c r="M9" i="1491"/>
  <c r="AF8" i="1491"/>
  <c r="Q8" i="1491"/>
  <c r="O8" i="1491"/>
  <c r="AF7" i="1491"/>
  <c r="AB7" i="1491"/>
  <c r="Q7" i="1491"/>
  <c r="P7" i="1491"/>
  <c r="AC7" i="1491" s="1"/>
  <c r="O7" i="1491"/>
  <c r="M7" i="1491"/>
  <c r="K7" i="1491"/>
  <c r="AF6" i="1491"/>
  <c r="AB6" i="1491"/>
  <c r="Q6" i="1491"/>
  <c r="P6" i="1491"/>
  <c r="AC6" i="1491" s="1"/>
  <c r="O6" i="1491"/>
  <c r="M6" i="1491"/>
  <c r="K6" i="1491"/>
  <c r="AD20" i="1492" l="1"/>
  <c r="P23" i="1492"/>
  <c r="AD11" i="1492"/>
  <c r="AD14" i="1492"/>
  <c r="AD9" i="1492"/>
  <c r="M23" i="1492"/>
  <c r="AD8" i="1492"/>
  <c r="AB23" i="1492"/>
  <c r="M15" i="1491"/>
  <c r="AB15" i="1491"/>
  <c r="O15" i="1491"/>
  <c r="O18" i="1491"/>
  <c r="P15" i="1491"/>
  <c r="AC15" i="1491" s="1"/>
  <c r="AB18" i="1491"/>
  <c r="K18" i="1491"/>
  <c r="P18" i="1491"/>
  <c r="AC18" i="1491" s="1"/>
  <c r="AD18" i="1491" s="1"/>
  <c r="AD15" i="1491"/>
  <c r="P12" i="1491"/>
  <c r="AC12" i="1491" s="1"/>
  <c r="AD14" i="1491"/>
  <c r="AD7" i="1491"/>
  <c r="AD17" i="1491"/>
  <c r="AD9" i="1491"/>
  <c r="AD16" i="1491"/>
  <c r="O11" i="1491"/>
  <c r="AD11" i="1491" s="1"/>
  <c r="AD19" i="1491"/>
  <c r="M11" i="1491"/>
  <c r="Q23" i="1491"/>
  <c r="AD10" i="1491"/>
  <c r="AD20" i="1491"/>
  <c r="M22" i="1491"/>
  <c r="P8" i="1491"/>
  <c r="AC8" i="1491" s="1"/>
  <c r="M10" i="1491"/>
  <c r="O12" i="1491"/>
  <c r="AD12" i="1491" s="1"/>
  <c r="P13" i="1491"/>
  <c r="AC13" i="1491" s="1"/>
  <c r="M20" i="1491"/>
  <c r="O21" i="1491"/>
  <c r="AD21" i="1491" s="1"/>
  <c r="P22" i="1491"/>
  <c r="AC22" i="1491" s="1"/>
  <c r="M8" i="1491"/>
  <c r="AB8" i="1491"/>
  <c r="M13" i="1491"/>
  <c r="AB13" i="1491"/>
  <c r="AB22" i="1491"/>
  <c r="L23" i="1491"/>
  <c r="O23" i="1491" s="1"/>
  <c r="AD6" i="1491"/>
  <c r="M12" i="1491"/>
  <c r="M21" i="1491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1490"/>
  <c r="L19" i="1490"/>
  <c r="AB19" i="1490"/>
  <c r="L20" i="1490"/>
  <c r="K20" i="1490" s="1"/>
  <c r="L18" i="1490"/>
  <c r="K18" i="1490"/>
  <c r="K17" i="1490"/>
  <c r="AF17" i="1490"/>
  <c r="Q17" i="1490"/>
  <c r="P17" i="1490" s="1"/>
  <c r="AC17" i="1490" s="1"/>
  <c r="M17" i="1490"/>
  <c r="AB17" i="1490"/>
  <c r="L16" i="1490"/>
  <c r="L13" i="1490"/>
  <c r="M13" i="1490" s="1"/>
  <c r="L12" i="1490"/>
  <c r="L11" i="1490"/>
  <c r="K11" i="1490"/>
  <c r="L10" i="1490"/>
  <c r="K10" i="1490"/>
  <c r="L9" i="1490"/>
  <c r="L8" i="1490"/>
  <c r="K21" i="1490"/>
  <c r="K16" i="1490"/>
  <c r="K13" i="1490"/>
  <c r="K12" i="1490"/>
  <c r="K9" i="1490"/>
  <c r="K8" i="1490"/>
  <c r="A76" i="1490"/>
  <c r="A77" i="1490" s="1"/>
  <c r="A78" i="1490" s="1"/>
  <c r="A79" i="1490" s="1"/>
  <c r="A80" i="1490" s="1"/>
  <c r="A81" i="1490" s="1"/>
  <c r="A82" i="1490" s="1"/>
  <c r="A75" i="1490"/>
  <c r="AF61" i="1490"/>
  <c r="AF60" i="1490"/>
  <c r="AF63" i="1490" s="1"/>
  <c r="AA22" i="1490"/>
  <c r="Z22" i="1490"/>
  <c r="Y22" i="1490"/>
  <c r="X22" i="1490"/>
  <c r="W22" i="1490"/>
  <c r="V22" i="1490"/>
  <c r="U22" i="1490"/>
  <c r="T22" i="1490"/>
  <c r="S22" i="1490"/>
  <c r="R22" i="1490"/>
  <c r="N22" i="1490"/>
  <c r="J22" i="1490"/>
  <c r="I22" i="1490"/>
  <c r="AF21" i="1490"/>
  <c r="Q21" i="1490"/>
  <c r="O21" i="1490"/>
  <c r="AF20" i="1490"/>
  <c r="Q20" i="1490"/>
  <c r="P20" i="1490" s="1"/>
  <c r="AC20" i="1490" s="1"/>
  <c r="AB20" i="1490"/>
  <c r="AF19" i="1490"/>
  <c r="Q19" i="1490"/>
  <c r="O19" i="1490"/>
  <c r="M19" i="1490"/>
  <c r="AF18" i="1490"/>
  <c r="AB18" i="1490"/>
  <c r="Q18" i="1490"/>
  <c r="P18" i="1490"/>
  <c r="AC18" i="1490" s="1"/>
  <c r="O18" i="1490"/>
  <c r="M18" i="1490"/>
  <c r="AF16" i="1490"/>
  <c r="Q16" i="1490"/>
  <c r="P16" i="1490" s="1"/>
  <c r="AC16" i="1490" s="1"/>
  <c r="O16" i="1490"/>
  <c r="M16" i="1490"/>
  <c r="AF15" i="1490"/>
  <c r="AB15" i="1490"/>
  <c r="Q15" i="1490"/>
  <c r="P15" i="1490"/>
  <c r="AC15" i="1490" s="1"/>
  <c r="O15" i="1490"/>
  <c r="M15" i="1490"/>
  <c r="K15" i="1490"/>
  <c r="AF14" i="1490"/>
  <c r="AB14" i="1490"/>
  <c r="Q14" i="1490"/>
  <c r="P14" i="1490"/>
  <c r="AC14" i="1490" s="1"/>
  <c r="O14" i="1490"/>
  <c r="M14" i="1490"/>
  <c r="K14" i="1490"/>
  <c r="AF13" i="1490"/>
  <c r="AB13" i="1490"/>
  <c r="Q13" i="1490"/>
  <c r="P13" i="1490"/>
  <c r="AC13" i="1490" s="1"/>
  <c r="AF12" i="1490"/>
  <c r="Q12" i="1490"/>
  <c r="O12" i="1490"/>
  <c r="AF11" i="1490"/>
  <c r="AB11" i="1490"/>
  <c r="Q11" i="1490"/>
  <c r="P11" i="1490" s="1"/>
  <c r="AC11" i="1490" s="1"/>
  <c r="O11" i="1490"/>
  <c r="M11" i="1490"/>
  <c r="AF10" i="1490"/>
  <c r="Q10" i="1490"/>
  <c r="O10" i="1490"/>
  <c r="P10" i="1490"/>
  <c r="AC10" i="1490" s="1"/>
  <c r="AF9" i="1490"/>
  <c r="AB9" i="1490"/>
  <c r="Q9" i="1490"/>
  <c r="M9" i="1490"/>
  <c r="P9" i="1490"/>
  <c r="AC9" i="1490" s="1"/>
  <c r="AF8" i="1490"/>
  <c r="Q8" i="1490"/>
  <c r="O8" i="1490"/>
  <c r="AF7" i="1490"/>
  <c r="AB7" i="1490"/>
  <c r="Q7" i="1490"/>
  <c r="P7" i="1490"/>
  <c r="AC7" i="1490" s="1"/>
  <c r="AD7" i="1490" s="1"/>
  <c r="O7" i="1490"/>
  <c r="M7" i="1490"/>
  <c r="K7" i="1490"/>
  <c r="AF6" i="1490"/>
  <c r="AB6" i="1490"/>
  <c r="Q6" i="1490"/>
  <c r="P6" i="1490"/>
  <c r="O6" i="1490"/>
  <c r="M6" i="1490"/>
  <c r="K6" i="1490"/>
  <c r="AD23" i="1492" l="1"/>
  <c r="AC23" i="1491"/>
  <c r="AB23" i="1491"/>
  <c r="M23" i="1491"/>
  <c r="AD13" i="1491"/>
  <c r="P23" i="1491"/>
  <c r="AD8" i="1491"/>
  <c r="K23" i="1491"/>
  <c r="AD22" i="1491"/>
  <c r="AE21" i="1491" s="1"/>
  <c r="P19" i="1490"/>
  <c r="AC19" i="1490" s="1"/>
  <c r="AD19" i="1490" s="1"/>
  <c r="K19" i="1490"/>
  <c r="O17" i="1490"/>
  <c r="AD17" i="1490" s="1"/>
  <c r="AD11" i="1490"/>
  <c r="Q22" i="1490"/>
  <c r="AD15" i="1490"/>
  <c r="AD14" i="1490"/>
  <c r="AD18" i="1490"/>
  <c r="P8" i="1490"/>
  <c r="AC8" i="1490" s="1"/>
  <c r="M10" i="1490"/>
  <c r="AB10" i="1490"/>
  <c r="AD10" i="1490" s="1"/>
  <c r="P12" i="1490"/>
  <c r="AC12" i="1490" s="1"/>
  <c r="AB16" i="1490"/>
  <c r="AD16" i="1490" s="1"/>
  <c r="O20" i="1490"/>
  <c r="AD20" i="1490" s="1"/>
  <c r="P21" i="1490"/>
  <c r="AC21" i="1490" s="1"/>
  <c r="AD21" i="1490" s="1"/>
  <c r="AE20" i="1490" s="1"/>
  <c r="AC6" i="1490"/>
  <c r="M8" i="1490"/>
  <c r="AB8" i="1490"/>
  <c r="O9" i="1490"/>
  <c r="AD9" i="1490" s="1"/>
  <c r="M12" i="1490"/>
  <c r="AB12" i="1490"/>
  <c r="O13" i="1490"/>
  <c r="AD13" i="1490" s="1"/>
  <c r="M21" i="1490"/>
  <c r="AB21" i="1490"/>
  <c r="L22" i="1490"/>
  <c r="O22" i="1490" s="1"/>
  <c r="M20" i="1490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1489"/>
  <c r="L19" i="1489"/>
  <c r="L16" i="1489"/>
  <c r="L13" i="1489"/>
  <c r="K13" i="1489"/>
  <c r="L12" i="1489"/>
  <c r="K12" i="1489" s="1"/>
  <c r="L11" i="1489"/>
  <c r="L10" i="1489"/>
  <c r="K10" i="1489" s="1"/>
  <c r="L9" i="1489"/>
  <c r="K9" i="1489" s="1"/>
  <c r="L8" i="1489"/>
  <c r="K8" i="1489" s="1"/>
  <c r="K20" i="1489"/>
  <c r="K19" i="1489"/>
  <c r="K18" i="1489"/>
  <c r="K16" i="1489"/>
  <c r="K11" i="1489"/>
  <c r="A74" i="1489"/>
  <c r="A75" i="1489" s="1"/>
  <c r="A76" i="1489" s="1"/>
  <c r="A77" i="1489" s="1"/>
  <c r="A78" i="1489" s="1"/>
  <c r="A79" i="1489" s="1"/>
  <c r="A80" i="1489" s="1"/>
  <c r="A81" i="1489" s="1"/>
  <c r="AF60" i="1489"/>
  <c r="AF62" i="1489" s="1"/>
  <c r="AF59" i="1489"/>
  <c r="AA21" i="1489"/>
  <c r="Z21" i="1489"/>
  <c r="Y21" i="1489"/>
  <c r="X21" i="1489"/>
  <c r="W21" i="1489"/>
  <c r="V21" i="1489"/>
  <c r="U21" i="1489"/>
  <c r="T21" i="1489"/>
  <c r="S21" i="1489"/>
  <c r="R21" i="1489"/>
  <c r="N21" i="1489"/>
  <c r="J21" i="1489"/>
  <c r="I21" i="1489"/>
  <c r="AF20" i="1489"/>
  <c r="AB20" i="1489"/>
  <c r="Q20" i="1489"/>
  <c r="P20" i="1489"/>
  <c r="AC20" i="1489" s="1"/>
  <c r="O20" i="1489"/>
  <c r="M20" i="1489"/>
  <c r="AF19" i="1489"/>
  <c r="Q19" i="1489"/>
  <c r="AB19" i="1489"/>
  <c r="AF18" i="1489"/>
  <c r="AB18" i="1489"/>
  <c r="Q18" i="1489"/>
  <c r="P18" i="1489"/>
  <c r="AC18" i="1489" s="1"/>
  <c r="M18" i="1489"/>
  <c r="O18" i="1489"/>
  <c r="AF17" i="1489"/>
  <c r="AB17" i="1489"/>
  <c r="Q17" i="1489"/>
  <c r="P17" i="1489"/>
  <c r="AC17" i="1489" s="1"/>
  <c r="AD17" i="1489" s="1"/>
  <c r="O17" i="1489"/>
  <c r="M17" i="1489"/>
  <c r="K17" i="1489"/>
  <c r="AF16" i="1489"/>
  <c r="Q16" i="1489"/>
  <c r="AB16" i="1489"/>
  <c r="AF15" i="1489"/>
  <c r="AB15" i="1489"/>
  <c r="Q15" i="1489"/>
  <c r="P15" i="1489"/>
  <c r="AC15" i="1489" s="1"/>
  <c r="AD15" i="1489" s="1"/>
  <c r="O15" i="1489"/>
  <c r="M15" i="1489"/>
  <c r="K15" i="1489"/>
  <c r="AF14" i="1489"/>
  <c r="AB14" i="1489"/>
  <c r="Q14" i="1489"/>
  <c r="P14" i="1489"/>
  <c r="AC14" i="1489" s="1"/>
  <c r="O14" i="1489"/>
  <c r="M14" i="1489"/>
  <c r="K14" i="1489"/>
  <c r="AF13" i="1489"/>
  <c r="AB13" i="1489"/>
  <c r="Q13" i="1489"/>
  <c r="O13" i="1489"/>
  <c r="AF12" i="1489"/>
  <c r="Q12" i="1489"/>
  <c r="P12" i="1489"/>
  <c r="AC12" i="1489" s="1"/>
  <c r="AF11" i="1489"/>
  <c r="AB11" i="1489"/>
  <c r="Q11" i="1489"/>
  <c r="O11" i="1489"/>
  <c r="M11" i="1489"/>
  <c r="AF10" i="1489"/>
  <c r="Q10" i="1489"/>
  <c r="AB10" i="1489"/>
  <c r="AF9" i="1489"/>
  <c r="AB9" i="1489"/>
  <c r="Q9" i="1489"/>
  <c r="P9" i="1489"/>
  <c r="AC9" i="1489" s="1"/>
  <c r="M9" i="1489"/>
  <c r="O9" i="1489"/>
  <c r="AF8" i="1489"/>
  <c r="Q8" i="1489"/>
  <c r="O8" i="1489"/>
  <c r="P8" i="1489"/>
  <c r="AC8" i="1489" s="1"/>
  <c r="AF7" i="1489"/>
  <c r="AB7" i="1489"/>
  <c r="Q7" i="1489"/>
  <c r="P7" i="1489"/>
  <c r="AC7" i="1489" s="1"/>
  <c r="O7" i="1489"/>
  <c r="M7" i="1489"/>
  <c r="K7" i="1489"/>
  <c r="AF6" i="1489"/>
  <c r="AB6" i="1489"/>
  <c r="Q6" i="1489"/>
  <c r="P6" i="1489"/>
  <c r="O6" i="1489"/>
  <c r="M6" i="1489"/>
  <c r="K6" i="1489"/>
  <c r="AE12" i="1492" l="1"/>
  <c r="AE17" i="1492"/>
  <c r="AE8" i="1492"/>
  <c r="AE13" i="1492"/>
  <c r="AE22" i="1492"/>
  <c r="AE9" i="1492"/>
  <c r="AE6" i="1492"/>
  <c r="AE10" i="1492"/>
  <c r="AE18" i="1492"/>
  <c r="AE19" i="1492"/>
  <c r="AE11" i="1492"/>
  <c r="AE16" i="1492"/>
  <c r="AE15" i="1492"/>
  <c r="AE14" i="1492"/>
  <c r="AE7" i="1492"/>
  <c r="AE20" i="1492"/>
  <c r="AD23" i="1491"/>
  <c r="AB22" i="1490"/>
  <c r="M22" i="1490"/>
  <c r="P22" i="1490"/>
  <c r="AC22" i="1490"/>
  <c r="AD6" i="1490"/>
  <c r="AD12" i="1490"/>
  <c r="AD8" i="1490"/>
  <c r="K22" i="1490"/>
  <c r="P13" i="1489"/>
  <c r="AC13" i="1489" s="1"/>
  <c r="AD13" i="1489" s="1"/>
  <c r="M13" i="1489"/>
  <c r="O12" i="1489"/>
  <c r="P11" i="1489"/>
  <c r="AC11" i="1489" s="1"/>
  <c r="Q21" i="1489"/>
  <c r="AD11" i="1489"/>
  <c r="AD14" i="1489"/>
  <c r="AD20" i="1489"/>
  <c r="AE19" i="1489" s="1"/>
  <c r="AD7" i="1489"/>
  <c r="AD9" i="1489"/>
  <c r="AD18" i="1489"/>
  <c r="O10" i="1489"/>
  <c r="O16" i="1489"/>
  <c r="O19" i="1489"/>
  <c r="AC6" i="1489"/>
  <c r="M8" i="1489"/>
  <c r="AB8" i="1489"/>
  <c r="AD8" i="1489" s="1"/>
  <c r="P10" i="1489"/>
  <c r="AC10" i="1489" s="1"/>
  <c r="M12" i="1489"/>
  <c r="AB12" i="1489"/>
  <c r="AD12" i="1489" s="1"/>
  <c r="P16" i="1489"/>
  <c r="AC16" i="1489" s="1"/>
  <c r="AD16" i="1489" s="1"/>
  <c r="P19" i="1489"/>
  <c r="AC19" i="1489" s="1"/>
  <c r="AD19" i="1489" s="1"/>
  <c r="L21" i="1489"/>
  <c r="O21" i="1489" s="1"/>
  <c r="K21" i="1489"/>
  <c r="M10" i="1489"/>
  <c r="M16" i="1489"/>
  <c r="M19" i="1489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1488"/>
  <c r="O20" i="1488" s="1"/>
  <c r="L19" i="1488"/>
  <c r="AB19" i="1488" s="1"/>
  <c r="L18" i="1488"/>
  <c r="K18" i="1488" s="1"/>
  <c r="L16" i="1488"/>
  <c r="AB16" i="1488" s="1"/>
  <c r="L13" i="1488"/>
  <c r="M13" i="1488" s="1"/>
  <c r="K13" i="1488"/>
  <c r="L12" i="1488"/>
  <c r="K12" i="1488" s="1"/>
  <c r="L11" i="1488"/>
  <c r="K11" i="1488"/>
  <c r="L10" i="1488"/>
  <c r="K10" i="1488" s="1"/>
  <c r="L9" i="1488"/>
  <c r="M9" i="1488" s="1"/>
  <c r="L8" i="1488"/>
  <c r="K8" i="1488"/>
  <c r="K20" i="1488"/>
  <c r="K19" i="1488"/>
  <c r="K17" i="1488"/>
  <c r="K16" i="1488"/>
  <c r="K15" i="1488"/>
  <c r="A74" i="1488"/>
  <c r="A75" i="1488" s="1"/>
  <c r="A76" i="1488" s="1"/>
  <c r="A77" i="1488" s="1"/>
  <c r="A78" i="1488" s="1"/>
  <c r="A79" i="1488" s="1"/>
  <c r="A80" i="1488" s="1"/>
  <c r="A81" i="1488" s="1"/>
  <c r="AF62" i="1488"/>
  <c r="AF60" i="1488"/>
  <c r="AF59" i="1488"/>
  <c r="AA21" i="1488"/>
  <c r="Z21" i="1488"/>
  <c r="Y21" i="1488"/>
  <c r="X21" i="1488"/>
  <c r="W21" i="1488"/>
  <c r="V21" i="1488"/>
  <c r="U21" i="1488"/>
  <c r="T21" i="1488"/>
  <c r="S21" i="1488"/>
  <c r="R21" i="1488"/>
  <c r="N21" i="1488"/>
  <c r="J21" i="1488"/>
  <c r="I21" i="1488"/>
  <c r="AF20" i="1488"/>
  <c r="AB20" i="1488"/>
  <c r="Q20" i="1488"/>
  <c r="P20" i="1488"/>
  <c r="AC20" i="1488" s="1"/>
  <c r="M20" i="1488"/>
  <c r="AF19" i="1488"/>
  <c r="Q19" i="1488"/>
  <c r="M19" i="1488"/>
  <c r="AF18" i="1488"/>
  <c r="Q18" i="1488"/>
  <c r="P18" i="1488"/>
  <c r="AC18" i="1488" s="1"/>
  <c r="AF17" i="1488"/>
  <c r="AB17" i="1488"/>
  <c r="Q17" i="1488"/>
  <c r="P17" i="1488"/>
  <c r="AC17" i="1488" s="1"/>
  <c r="O17" i="1488"/>
  <c r="M17" i="1488"/>
  <c r="AF16" i="1488"/>
  <c r="Q16" i="1488"/>
  <c r="P16" i="1488" s="1"/>
  <c r="AC16" i="1488" s="1"/>
  <c r="M16" i="1488"/>
  <c r="AF15" i="1488"/>
  <c r="Q15" i="1488"/>
  <c r="P15" i="1488"/>
  <c r="AC15" i="1488" s="1"/>
  <c r="AF14" i="1488"/>
  <c r="AB14" i="1488"/>
  <c r="Q14" i="1488"/>
  <c r="P14" i="1488"/>
  <c r="AC14" i="1488" s="1"/>
  <c r="O14" i="1488"/>
  <c r="M14" i="1488"/>
  <c r="K14" i="1488"/>
  <c r="AF13" i="1488"/>
  <c r="AB13" i="1488"/>
  <c r="Q13" i="1488"/>
  <c r="P13" i="1488" s="1"/>
  <c r="AC13" i="1488" s="1"/>
  <c r="AF12" i="1488"/>
  <c r="Q12" i="1488"/>
  <c r="AF11" i="1488"/>
  <c r="Q11" i="1488"/>
  <c r="P11" i="1488"/>
  <c r="AC11" i="1488" s="1"/>
  <c r="O11" i="1488"/>
  <c r="AB11" i="1488"/>
  <c r="AF10" i="1488"/>
  <c r="AB10" i="1488"/>
  <c r="Q10" i="1488"/>
  <c r="P10" i="1488" s="1"/>
  <c r="AC10" i="1488" s="1"/>
  <c r="O10" i="1488"/>
  <c r="AF9" i="1488"/>
  <c r="AB9" i="1488"/>
  <c r="Q9" i="1488"/>
  <c r="AF8" i="1488"/>
  <c r="Q8" i="1488"/>
  <c r="P8" i="1488" s="1"/>
  <c r="AC8" i="1488" s="1"/>
  <c r="AF7" i="1488"/>
  <c r="AB7" i="1488"/>
  <c r="Q7" i="1488"/>
  <c r="P7" i="1488"/>
  <c r="AC7" i="1488" s="1"/>
  <c r="AD7" i="1488" s="1"/>
  <c r="O7" i="1488"/>
  <c r="M7" i="1488"/>
  <c r="K7" i="1488"/>
  <c r="AF6" i="1488"/>
  <c r="AB6" i="1488"/>
  <c r="Q6" i="1488"/>
  <c r="P6" i="1488"/>
  <c r="O6" i="1488"/>
  <c r="M6" i="1488"/>
  <c r="K6" i="1488"/>
  <c r="AE11" i="1491" l="1"/>
  <c r="AE15" i="1491"/>
  <c r="AE6" i="1491"/>
  <c r="AE20" i="1491"/>
  <c r="AE17" i="1491"/>
  <c r="AE8" i="1491"/>
  <c r="AE7" i="1491"/>
  <c r="AE9" i="1491"/>
  <c r="AE12" i="1491"/>
  <c r="AE18" i="1491"/>
  <c r="AE19" i="1491"/>
  <c r="AE16" i="1491"/>
  <c r="AE13" i="1491"/>
  <c r="AE14" i="1491"/>
  <c r="AE22" i="1491"/>
  <c r="AE10" i="1491"/>
  <c r="AD22" i="1490"/>
  <c r="AE17" i="1490" s="1"/>
  <c r="AB21" i="1489"/>
  <c r="P21" i="1489"/>
  <c r="M21" i="1489"/>
  <c r="AD10" i="1489"/>
  <c r="AC21" i="1489"/>
  <c r="AD6" i="1489"/>
  <c r="AB18" i="1488"/>
  <c r="K9" i="1488"/>
  <c r="M18" i="1488"/>
  <c r="P9" i="1488"/>
  <c r="AC9" i="1488" s="1"/>
  <c r="O19" i="1488"/>
  <c r="P19" i="1488"/>
  <c r="AC19" i="1488" s="1"/>
  <c r="AD19" i="1488" s="1"/>
  <c r="P12" i="1488"/>
  <c r="AC12" i="1488" s="1"/>
  <c r="AD10" i="1488"/>
  <c r="M10" i="1488"/>
  <c r="Q21" i="1488"/>
  <c r="AD17" i="1488"/>
  <c r="AD14" i="1488"/>
  <c r="AD20" i="1488"/>
  <c r="AE19" i="1488" s="1"/>
  <c r="AD11" i="1488"/>
  <c r="AD15" i="1488"/>
  <c r="AC6" i="1488"/>
  <c r="M8" i="1488"/>
  <c r="AB8" i="1488"/>
  <c r="O9" i="1488"/>
  <c r="AD9" i="1488" s="1"/>
  <c r="M12" i="1488"/>
  <c r="AB12" i="1488"/>
  <c r="O13" i="1488"/>
  <c r="AD13" i="1488" s="1"/>
  <c r="M15" i="1488"/>
  <c r="AB15" i="1488"/>
  <c r="O16" i="1488"/>
  <c r="AD16" i="1488" s="1"/>
  <c r="O18" i="1488"/>
  <c r="AD18" i="1488" s="1"/>
  <c r="O8" i="1488"/>
  <c r="M11" i="1488"/>
  <c r="O12" i="1488"/>
  <c r="O15" i="1488"/>
  <c r="L21" i="1488"/>
  <c r="O21" i="1488" s="1"/>
  <c r="K21" i="1488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487"/>
  <c r="L20" i="1487"/>
  <c r="M20" i="1487" s="1"/>
  <c r="L19" i="1487"/>
  <c r="K19" i="1487"/>
  <c r="AF18" i="1487"/>
  <c r="Q18" i="1487"/>
  <c r="L18" i="1487"/>
  <c r="AB18" i="1487" s="1"/>
  <c r="L16" i="1487"/>
  <c r="K16" i="1487" s="1"/>
  <c r="L15" i="1487"/>
  <c r="AB15" i="1487" s="1"/>
  <c r="L13" i="1487"/>
  <c r="O13" i="1487" s="1"/>
  <c r="L12" i="1487"/>
  <c r="L11" i="1487"/>
  <c r="L10" i="1487"/>
  <c r="L9" i="1487"/>
  <c r="K9" i="1487" s="1"/>
  <c r="L8" i="1487"/>
  <c r="K21" i="1487"/>
  <c r="K17" i="1487"/>
  <c r="K12" i="1487"/>
  <c r="K10" i="1487"/>
  <c r="K8" i="1487"/>
  <c r="A75" i="1487"/>
  <c r="A76" i="1487" s="1"/>
  <c r="A77" i="1487" s="1"/>
  <c r="A78" i="1487" s="1"/>
  <c r="A79" i="1487" s="1"/>
  <c r="A80" i="1487" s="1"/>
  <c r="A81" i="1487" s="1"/>
  <c r="A82" i="1487" s="1"/>
  <c r="AF63" i="1487"/>
  <c r="AF61" i="1487"/>
  <c r="AF60" i="1487"/>
  <c r="AA22" i="1487"/>
  <c r="Z22" i="1487"/>
  <c r="Y22" i="1487"/>
  <c r="X22" i="1487"/>
  <c r="W22" i="1487"/>
  <c r="V22" i="1487"/>
  <c r="U22" i="1487"/>
  <c r="T22" i="1487"/>
  <c r="S22" i="1487"/>
  <c r="R22" i="1487"/>
  <c r="N22" i="1487"/>
  <c r="J22" i="1487"/>
  <c r="I22" i="1487"/>
  <c r="AF21" i="1487"/>
  <c r="AB21" i="1487"/>
  <c r="Q21" i="1487"/>
  <c r="P21" i="1487" s="1"/>
  <c r="AC21" i="1487" s="1"/>
  <c r="M21" i="1487"/>
  <c r="O21" i="1487"/>
  <c r="AF20" i="1487"/>
  <c r="AB20" i="1487"/>
  <c r="Q20" i="1487"/>
  <c r="AF19" i="1487"/>
  <c r="AB19" i="1487"/>
  <c r="Q19" i="1487"/>
  <c r="P19" i="1487" s="1"/>
  <c r="AC19" i="1487" s="1"/>
  <c r="O19" i="1487"/>
  <c r="M19" i="1487"/>
  <c r="AF17" i="1487"/>
  <c r="AB17" i="1487"/>
  <c r="Q17" i="1487"/>
  <c r="P17" i="1487" s="1"/>
  <c r="AC17" i="1487" s="1"/>
  <c r="O17" i="1487"/>
  <c r="M17" i="1487"/>
  <c r="AF16" i="1487"/>
  <c r="AB16" i="1487"/>
  <c r="Q16" i="1487"/>
  <c r="M16" i="1487"/>
  <c r="AF15" i="1487"/>
  <c r="Q15" i="1487"/>
  <c r="O15" i="1487"/>
  <c r="AF14" i="1487"/>
  <c r="AC14" i="1487"/>
  <c r="AB14" i="1487"/>
  <c r="Q14" i="1487"/>
  <c r="P14" i="1487"/>
  <c r="O14" i="1487"/>
  <c r="M14" i="1487"/>
  <c r="K14" i="1487"/>
  <c r="AF13" i="1487"/>
  <c r="AB13" i="1487"/>
  <c r="Q13" i="1487"/>
  <c r="AF12" i="1487"/>
  <c r="AB12" i="1487"/>
  <c r="Q12" i="1487"/>
  <c r="P12" i="1487" s="1"/>
  <c r="AC12" i="1487" s="1"/>
  <c r="AD12" i="1487" s="1"/>
  <c r="O12" i="1487"/>
  <c r="M12" i="1487"/>
  <c r="AF11" i="1487"/>
  <c r="AB11" i="1487"/>
  <c r="Q11" i="1487"/>
  <c r="M11" i="1487"/>
  <c r="K11" i="1487"/>
  <c r="AF10" i="1487"/>
  <c r="Q10" i="1487"/>
  <c r="O10" i="1487"/>
  <c r="AB10" i="1487"/>
  <c r="AF9" i="1487"/>
  <c r="AB9" i="1487"/>
  <c r="Q9" i="1487"/>
  <c r="P9" i="1487" s="1"/>
  <c r="AC9" i="1487" s="1"/>
  <c r="O9" i="1487"/>
  <c r="M9" i="1487"/>
  <c r="AF8" i="1487"/>
  <c r="AB8" i="1487"/>
  <c r="Q8" i="1487"/>
  <c r="P8" i="1487" s="1"/>
  <c r="AC8" i="1487" s="1"/>
  <c r="O8" i="1487"/>
  <c r="M8" i="1487"/>
  <c r="AF7" i="1487"/>
  <c r="AB7" i="1487"/>
  <c r="Q7" i="1487"/>
  <c r="P7" i="1487"/>
  <c r="AC7" i="1487" s="1"/>
  <c r="O7" i="1487"/>
  <c r="M7" i="1487"/>
  <c r="K7" i="1487"/>
  <c r="AF6" i="1487"/>
  <c r="AB6" i="1487"/>
  <c r="Q6" i="1487"/>
  <c r="P6" i="1487"/>
  <c r="AC6" i="1487" s="1"/>
  <c r="O6" i="1487"/>
  <c r="M6" i="1487"/>
  <c r="K6" i="1487"/>
  <c r="AE19" i="1490" l="1"/>
  <c r="AE16" i="1490"/>
  <c r="AE10" i="1490"/>
  <c r="AE12" i="1490"/>
  <c r="AE8" i="1490"/>
  <c r="AE14" i="1490"/>
  <c r="AE11" i="1490"/>
  <c r="AE7" i="1490"/>
  <c r="AE21" i="1490"/>
  <c r="AE15" i="1490"/>
  <c r="AE13" i="1490"/>
  <c r="AE9" i="1490"/>
  <c r="AE6" i="1490"/>
  <c r="AE18" i="1490"/>
  <c r="AD21" i="1489"/>
  <c r="AE13" i="1489" s="1"/>
  <c r="AD8" i="1488"/>
  <c r="P21" i="1488"/>
  <c r="AD12" i="1488"/>
  <c r="M21" i="1488"/>
  <c r="AB21" i="1488"/>
  <c r="AC21" i="1488"/>
  <c r="AD6" i="1488"/>
  <c r="K20" i="1487"/>
  <c r="O20" i="1487"/>
  <c r="P20" i="1487"/>
  <c r="AC20" i="1487" s="1"/>
  <c r="AD20" i="1487" s="1"/>
  <c r="AD7" i="1487"/>
  <c r="O18" i="1487"/>
  <c r="AD17" i="1487"/>
  <c r="K18" i="1487"/>
  <c r="P18" i="1487"/>
  <c r="AC18" i="1487" s="1"/>
  <c r="M18" i="1487"/>
  <c r="O16" i="1487"/>
  <c r="P16" i="1487"/>
  <c r="AC16" i="1487" s="1"/>
  <c r="K15" i="1487"/>
  <c r="P15" i="1487"/>
  <c r="AC15" i="1487" s="1"/>
  <c r="AD15" i="1487" s="1"/>
  <c r="M15" i="1487"/>
  <c r="M13" i="1487"/>
  <c r="K13" i="1487"/>
  <c r="P13" i="1487"/>
  <c r="AC13" i="1487" s="1"/>
  <c r="AD13" i="1487" s="1"/>
  <c r="P11" i="1487"/>
  <c r="AC11" i="1487" s="1"/>
  <c r="AD11" i="1487" s="1"/>
  <c r="O11" i="1487"/>
  <c r="Q22" i="1487"/>
  <c r="AD14" i="1487"/>
  <c r="AD9" i="1487"/>
  <c r="AD19" i="1487"/>
  <c r="AD8" i="1487"/>
  <c r="AB22" i="1487"/>
  <c r="AD6" i="1487"/>
  <c r="AD21" i="1487"/>
  <c r="AE20" i="1487" s="1"/>
  <c r="P10" i="1487"/>
  <c r="AC10" i="1487" s="1"/>
  <c r="AD10" i="1487" s="1"/>
  <c r="L22" i="1487"/>
  <c r="O22" i="1487" s="1"/>
  <c r="M10" i="1487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0" i="1486"/>
  <c r="K20" i="1486" s="1"/>
  <c r="L17" i="1486"/>
  <c r="K17" i="1486"/>
  <c r="L15" i="1486"/>
  <c r="O15" i="1486" s="1"/>
  <c r="K15" i="1486"/>
  <c r="L10" i="1486"/>
  <c r="K10" i="1486" s="1"/>
  <c r="K19" i="1486"/>
  <c r="K16" i="1486"/>
  <c r="K13" i="1486"/>
  <c r="K12" i="1486"/>
  <c r="K11" i="1486"/>
  <c r="K9" i="1486"/>
  <c r="K8" i="1486"/>
  <c r="A75" i="1486"/>
  <c r="A76" i="1486" s="1"/>
  <c r="A77" i="1486" s="1"/>
  <c r="A78" i="1486" s="1"/>
  <c r="A79" i="1486" s="1"/>
  <c r="A80" i="1486" s="1"/>
  <c r="A81" i="1486" s="1"/>
  <c r="A74" i="1486"/>
  <c r="AF60" i="1486"/>
  <c r="AF59" i="1486"/>
  <c r="AF62" i="1486" s="1"/>
  <c r="AA21" i="1486"/>
  <c r="Z21" i="1486"/>
  <c r="Y21" i="1486"/>
  <c r="X21" i="1486"/>
  <c r="W21" i="1486"/>
  <c r="V21" i="1486"/>
  <c r="U21" i="1486"/>
  <c r="T21" i="1486"/>
  <c r="S21" i="1486"/>
  <c r="R21" i="1486"/>
  <c r="N21" i="1486"/>
  <c r="J21" i="1486"/>
  <c r="I21" i="1486"/>
  <c r="AF20" i="1486"/>
  <c r="Q20" i="1486"/>
  <c r="P20" i="1486" s="1"/>
  <c r="AC20" i="1486" s="1"/>
  <c r="O20" i="1486"/>
  <c r="AF19" i="1486"/>
  <c r="AB19" i="1486"/>
  <c r="Q19" i="1486"/>
  <c r="P19" i="1486"/>
  <c r="AC19" i="1486" s="1"/>
  <c r="O19" i="1486"/>
  <c r="M19" i="1486"/>
  <c r="AF18" i="1486"/>
  <c r="AC18" i="1486"/>
  <c r="AD18" i="1486" s="1"/>
  <c r="AB18" i="1486"/>
  <c r="Q18" i="1486"/>
  <c r="P18" i="1486"/>
  <c r="O18" i="1486"/>
  <c r="M18" i="1486"/>
  <c r="K18" i="1486"/>
  <c r="AF17" i="1486"/>
  <c r="AB17" i="1486"/>
  <c r="Q17" i="1486"/>
  <c r="O17" i="1486"/>
  <c r="M17" i="1486"/>
  <c r="AF16" i="1486"/>
  <c r="AB16" i="1486"/>
  <c r="Q16" i="1486"/>
  <c r="O16" i="1486"/>
  <c r="M16" i="1486"/>
  <c r="P16" i="1486"/>
  <c r="AC16" i="1486" s="1"/>
  <c r="AD16" i="1486" s="1"/>
  <c r="AF15" i="1486"/>
  <c r="AB15" i="1486"/>
  <c r="Q15" i="1486"/>
  <c r="P15" i="1486"/>
  <c r="AC15" i="1486" s="1"/>
  <c r="M15" i="1486"/>
  <c r="AF14" i="1486"/>
  <c r="AC14" i="1486"/>
  <c r="AD14" i="1486" s="1"/>
  <c r="AB14" i="1486"/>
  <c r="Q14" i="1486"/>
  <c r="P14" i="1486"/>
  <c r="O14" i="1486"/>
  <c r="M14" i="1486"/>
  <c r="K14" i="1486"/>
  <c r="AF13" i="1486"/>
  <c r="Q13" i="1486"/>
  <c r="P13" i="1486"/>
  <c r="AC13" i="1486" s="1"/>
  <c r="AF12" i="1486"/>
  <c r="Q12" i="1486"/>
  <c r="P12" i="1486"/>
  <c r="AC12" i="1486" s="1"/>
  <c r="O12" i="1486"/>
  <c r="AF11" i="1486"/>
  <c r="Q11" i="1486"/>
  <c r="P11" i="1486"/>
  <c r="AC11" i="1486" s="1"/>
  <c r="O11" i="1486"/>
  <c r="M11" i="1486"/>
  <c r="AB11" i="1486"/>
  <c r="AF10" i="1486"/>
  <c r="AB10" i="1486"/>
  <c r="Q10" i="1486"/>
  <c r="O10" i="1486"/>
  <c r="P10" i="1486"/>
  <c r="AC10" i="1486" s="1"/>
  <c r="AF9" i="1486"/>
  <c r="Q9" i="1486"/>
  <c r="P9" i="1486"/>
  <c r="AC9" i="1486" s="1"/>
  <c r="AF8" i="1486"/>
  <c r="Q8" i="1486"/>
  <c r="P8" i="1486" s="1"/>
  <c r="AC8" i="1486" s="1"/>
  <c r="O8" i="1486"/>
  <c r="AF7" i="1486"/>
  <c r="AC7" i="1486"/>
  <c r="AD7" i="1486" s="1"/>
  <c r="AB7" i="1486"/>
  <c r="Q7" i="1486"/>
  <c r="P7" i="1486"/>
  <c r="O7" i="1486"/>
  <c r="M7" i="1486"/>
  <c r="K7" i="1486"/>
  <c r="AF6" i="1486"/>
  <c r="AB6" i="1486"/>
  <c r="Q6" i="1486"/>
  <c r="P6" i="1486"/>
  <c r="O6" i="1486"/>
  <c r="M6" i="1486"/>
  <c r="K6" i="1486"/>
  <c r="AE20" i="1489" l="1"/>
  <c r="AE16" i="1489"/>
  <c r="AE12" i="1489"/>
  <c r="AE15" i="1489"/>
  <c r="AE11" i="1489"/>
  <c r="AE18" i="1489"/>
  <c r="AE17" i="1489"/>
  <c r="AE6" i="1489"/>
  <c r="AE8" i="1489"/>
  <c r="AE14" i="1489"/>
  <c r="AE9" i="1489"/>
  <c r="AE7" i="1489"/>
  <c r="AE10" i="1489"/>
  <c r="AD21" i="1488"/>
  <c r="AE16" i="1488" s="1"/>
  <c r="K22" i="1487"/>
  <c r="AD18" i="1487"/>
  <c r="AD16" i="1487"/>
  <c r="AD22" i="1487" s="1"/>
  <c r="AE18" i="1487" s="1"/>
  <c r="M22" i="1487"/>
  <c r="AC22" i="1487"/>
  <c r="P22" i="1487"/>
  <c r="AD19" i="1486"/>
  <c r="P17" i="1486"/>
  <c r="AC17" i="1486" s="1"/>
  <c r="AD17" i="1486" s="1"/>
  <c r="M10" i="1486"/>
  <c r="Q21" i="1486"/>
  <c r="AD11" i="1486"/>
  <c r="AD10" i="1486"/>
  <c r="AD15" i="1486"/>
  <c r="AD8" i="1486"/>
  <c r="AB9" i="1486"/>
  <c r="M13" i="1486"/>
  <c r="AB13" i="1486"/>
  <c r="AD13" i="1486" s="1"/>
  <c r="AC6" i="1486"/>
  <c r="M8" i="1486"/>
  <c r="AB8" i="1486"/>
  <c r="O9" i="1486"/>
  <c r="M12" i="1486"/>
  <c r="AB12" i="1486"/>
  <c r="AD12" i="1486" s="1"/>
  <c r="O13" i="1486"/>
  <c r="M20" i="1486"/>
  <c r="AB20" i="1486"/>
  <c r="AD20" i="1486" s="1"/>
  <c r="AE19" i="1486" s="1"/>
  <c r="L21" i="1486"/>
  <c r="O21" i="1486" s="1"/>
  <c r="M9" i="1486"/>
  <c r="K21" i="148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1485"/>
  <c r="O20" i="1485" s="1"/>
  <c r="L19" i="1485"/>
  <c r="L16" i="1485"/>
  <c r="K16" i="1485"/>
  <c r="L13" i="1485"/>
  <c r="K13" i="1485"/>
  <c r="L12" i="1485"/>
  <c r="K12" i="1485" s="1"/>
  <c r="L11" i="1485"/>
  <c r="K11" i="1485" s="1"/>
  <c r="L10" i="1485"/>
  <c r="K10" i="1485" s="1"/>
  <c r="L9" i="1485"/>
  <c r="K9" i="1485" s="1"/>
  <c r="L8" i="1485"/>
  <c r="M8" i="1485" s="1"/>
  <c r="K20" i="1485"/>
  <c r="K19" i="1485"/>
  <c r="K18" i="1485"/>
  <c r="A75" i="1485"/>
  <c r="A76" i="1485" s="1"/>
  <c r="A77" i="1485" s="1"/>
  <c r="A78" i="1485" s="1"/>
  <c r="A79" i="1485" s="1"/>
  <c r="A80" i="1485" s="1"/>
  <c r="A81" i="1485" s="1"/>
  <c r="A74" i="1485"/>
  <c r="AF60" i="1485"/>
  <c r="AF59" i="1485"/>
  <c r="AF62" i="1485" s="1"/>
  <c r="AA21" i="1485"/>
  <c r="Z21" i="1485"/>
  <c r="Y21" i="1485"/>
  <c r="X21" i="1485"/>
  <c r="W21" i="1485"/>
  <c r="V21" i="1485"/>
  <c r="U21" i="1485"/>
  <c r="T21" i="1485"/>
  <c r="S21" i="1485"/>
  <c r="R21" i="1485"/>
  <c r="N21" i="1485"/>
  <c r="J21" i="1485"/>
  <c r="I21" i="1485"/>
  <c r="AF20" i="1485"/>
  <c r="Q20" i="1485"/>
  <c r="AF19" i="1485"/>
  <c r="AB19" i="1485"/>
  <c r="Q19" i="1485"/>
  <c r="P19" i="1485"/>
  <c r="AC19" i="1485" s="1"/>
  <c r="M19" i="1485"/>
  <c r="O19" i="1485"/>
  <c r="AF18" i="1485"/>
  <c r="Q18" i="1485"/>
  <c r="O18" i="1485"/>
  <c r="P18" i="1485"/>
  <c r="AC18" i="1485" s="1"/>
  <c r="AF17" i="1485"/>
  <c r="AB17" i="1485"/>
  <c r="Q17" i="1485"/>
  <c r="P17" i="1485"/>
  <c r="AC17" i="1485" s="1"/>
  <c r="AD17" i="1485" s="1"/>
  <c r="O17" i="1485"/>
  <c r="M17" i="1485"/>
  <c r="K17" i="1485"/>
  <c r="AF16" i="1485"/>
  <c r="Q16" i="1485"/>
  <c r="P16" i="1485"/>
  <c r="AC16" i="1485" s="1"/>
  <c r="AB16" i="1485"/>
  <c r="AF15" i="1485"/>
  <c r="AB15" i="1485"/>
  <c r="Q15" i="1485"/>
  <c r="P15" i="1485"/>
  <c r="AC15" i="1485" s="1"/>
  <c r="AD15" i="1485" s="1"/>
  <c r="O15" i="1485"/>
  <c r="M15" i="1485"/>
  <c r="K15" i="1485"/>
  <c r="AF14" i="1485"/>
  <c r="AB14" i="1485"/>
  <c r="Q14" i="1485"/>
  <c r="P14" i="1485"/>
  <c r="AC14" i="1485" s="1"/>
  <c r="O14" i="1485"/>
  <c r="M14" i="1485"/>
  <c r="K14" i="1485"/>
  <c r="AF13" i="1485"/>
  <c r="AB13" i="1485"/>
  <c r="Q13" i="1485"/>
  <c r="P13" i="1485" s="1"/>
  <c r="AC13" i="1485" s="1"/>
  <c r="O13" i="1485"/>
  <c r="M13" i="1485"/>
  <c r="AF12" i="1485"/>
  <c r="AB12" i="1485"/>
  <c r="Q12" i="1485"/>
  <c r="M12" i="1485"/>
  <c r="AF11" i="1485"/>
  <c r="Q11" i="1485"/>
  <c r="O11" i="1485"/>
  <c r="AF10" i="1485"/>
  <c r="Q10" i="1485"/>
  <c r="P10" i="1485" s="1"/>
  <c r="AC10" i="1485" s="1"/>
  <c r="O10" i="1485"/>
  <c r="AB10" i="1485"/>
  <c r="AF9" i="1485"/>
  <c r="AB9" i="1485"/>
  <c r="Q9" i="1485"/>
  <c r="O9" i="1485"/>
  <c r="M9" i="1485"/>
  <c r="P9" i="1485"/>
  <c r="AC9" i="1485" s="1"/>
  <c r="AF8" i="1485"/>
  <c r="Q8" i="1485"/>
  <c r="AF7" i="1485"/>
  <c r="AB7" i="1485"/>
  <c r="Q7" i="1485"/>
  <c r="P7" i="1485"/>
  <c r="AC7" i="1485" s="1"/>
  <c r="AD7" i="1485" s="1"/>
  <c r="O7" i="1485"/>
  <c r="M7" i="1485"/>
  <c r="K7" i="1485"/>
  <c r="AF6" i="1485"/>
  <c r="AC6" i="1485"/>
  <c r="AB6" i="1485"/>
  <c r="Q6" i="1485"/>
  <c r="P6" i="1485"/>
  <c r="O6" i="1485"/>
  <c r="M6" i="1485"/>
  <c r="K6" i="1485"/>
  <c r="AE6" i="1488" l="1"/>
  <c r="AE18" i="1488"/>
  <c r="AE15" i="1488"/>
  <c r="AE17" i="1488"/>
  <c r="AE8" i="1488"/>
  <c r="AE11" i="1488"/>
  <c r="AE13" i="1488"/>
  <c r="AE7" i="1488"/>
  <c r="AE20" i="1488"/>
  <c r="AE9" i="1488"/>
  <c r="AE12" i="1488"/>
  <c r="AE14" i="1488"/>
  <c r="AE10" i="1488"/>
  <c r="AE16" i="1487"/>
  <c r="AE9" i="1487"/>
  <c r="AE7" i="1487"/>
  <c r="AE19" i="1487"/>
  <c r="AE13" i="1487"/>
  <c r="AE11" i="1487"/>
  <c r="AE17" i="1487"/>
  <c r="AE14" i="1487"/>
  <c r="AE12" i="1487"/>
  <c r="AE10" i="1487"/>
  <c r="AE21" i="1487"/>
  <c r="AE15" i="1487"/>
  <c r="AE8" i="1487"/>
  <c r="AE6" i="1487"/>
  <c r="P21" i="1486"/>
  <c r="AB21" i="1486"/>
  <c r="M21" i="1486"/>
  <c r="AD9" i="1486"/>
  <c r="AC21" i="1486"/>
  <c r="AD6" i="1486"/>
  <c r="P12" i="1485"/>
  <c r="AC12" i="1485" s="1"/>
  <c r="AD10" i="1485"/>
  <c r="AD9" i="1485"/>
  <c r="Q21" i="1485"/>
  <c r="K8" i="1485"/>
  <c r="P8" i="1485"/>
  <c r="AC8" i="1485" s="1"/>
  <c r="AB8" i="1485"/>
  <c r="AD13" i="1485"/>
  <c r="AD14" i="1485"/>
  <c r="AD19" i="1485"/>
  <c r="P11" i="1485"/>
  <c r="AC11" i="1485" s="1"/>
  <c r="O16" i="1485"/>
  <c r="AD16" i="1485" s="1"/>
  <c r="M18" i="1485"/>
  <c r="AB18" i="1485"/>
  <c r="AD18" i="1485" s="1"/>
  <c r="K21" i="1485"/>
  <c r="P20" i="1485"/>
  <c r="AC20" i="1485" s="1"/>
  <c r="AD6" i="1485"/>
  <c r="O8" i="1485"/>
  <c r="M11" i="1485"/>
  <c r="AB11" i="1485"/>
  <c r="O12" i="1485"/>
  <c r="AD12" i="1485" s="1"/>
  <c r="M20" i="1485"/>
  <c r="AB20" i="1485"/>
  <c r="L21" i="1485"/>
  <c r="O21" i="1485" s="1"/>
  <c r="M10" i="1485"/>
  <c r="M16" i="1485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0" i="1484"/>
  <c r="K20" i="1484" s="1"/>
  <c r="L19" i="1484"/>
  <c r="AB19" i="1484" s="1"/>
  <c r="L18" i="1484"/>
  <c r="M18" i="1484" s="1"/>
  <c r="K18" i="1484"/>
  <c r="L16" i="1484"/>
  <c r="L12" i="1484"/>
  <c r="M12" i="1484" s="1"/>
  <c r="L11" i="1484"/>
  <c r="L10" i="1484"/>
  <c r="O10" i="1484" s="1"/>
  <c r="L9" i="1484"/>
  <c r="AB9" i="1484" s="1"/>
  <c r="L8" i="1484"/>
  <c r="AB8" i="1484" s="1"/>
  <c r="K8" i="1484"/>
  <c r="K16" i="1484"/>
  <c r="K15" i="1484"/>
  <c r="K11" i="1484"/>
  <c r="K9" i="1484"/>
  <c r="A74" i="1484"/>
  <c r="A75" i="1484" s="1"/>
  <c r="A76" i="1484" s="1"/>
  <c r="A77" i="1484" s="1"/>
  <c r="A78" i="1484" s="1"/>
  <c r="A79" i="1484" s="1"/>
  <c r="A80" i="1484" s="1"/>
  <c r="A81" i="1484" s="1"/>
  <c r="AF60" i="1484"/>
  <c r="AF59" i="1484"/>
  <c r="AF62" i="1484" s="1"/>
  <c r="AA21" i="1484"/>
  <c r="Z21" i="1484"/>
  <c r="Y21" i="1484"/>
  <c r="X21" i="1484"/>
  <c r="W21" i="1484"/>
  <c r="V21" i="1484"/>
  <c r="U21" i="1484"/>
  <c r="T21" i="1484"/>
  <c r="S21" i="1484"/>
  <c r="R21" i="1484"/>
  <c r="N21" i="1484"/>
  <c r="J21" i="1484"/>
  <c r="AF20" i="1484"/>
  <c r="Q20" i="1484"/>
  <c r="AB20" i="1484"/>
  <c r="AF19" i="1484"/>
  <c r="Q19" i="1484"/>
  <c r="AF18" i="1484"/>
  <c r="AB18" i="1484"/>
  <c r="Q18" i="1484"/>
  <c r="P18" i="1484" s="1"/>
  <c r="AC18" i="1484" s="1"/>
  <c r="O18" i="1484"/>
  <c r="AF17" i="1484"/>
  <c r="AB17" i="1484"/>
  <c r="Q17" i="1484"/>
  <c r="P17" i="1484"/>
  <c r="AC17" i="1484" s="1"/>
  <c r="O17" i="1484"/>
  <c r="M17" i="1484"/>
  <c r="K17" i="1484"/>
  <c r="AF16" i="1484"/>
  <c r="Q16" i="1484"/>
  <c r="AB16" i="1484"/>
  <c r="I16" i="1484"/>
  <c r="I21" i="1484" s="1"/>
  <c r="AF15" i="1484"/>
  <c r="Q15" i="1484"/>
  <c r="O15" i="1484"/>
  <c r="AF14" i="1484"/>
  <c r="AB14" i="1484"/>
  <c r="Q14" i="1484"/>
  <c r="P14" i="1484"/>
  <c r="AC14" i="1484" s="1"/>
  <c r="O14" i="1484"/>
  <c r="M14" i="1484"/>
  <c r="K14" i="1484"/>
  <c r="AF13" i="1484"/>
  <c r="AB13" i="1484"/>
  <c r="Q13" i="1484"/>
  <c r="P13" i="1484"/>
  <c r="AC13" i="1484" s="1"/>
  <c r="AD13" i="1484" s="1"/>
  <c r="O13" i="1484"/>
  <c r="M13" i="1484"/>
  <c r="K13" i="1484"/>
  <c r="AF12" i="1484"/>
  <c r="Q12" i="1484"/>
  <c r="O12" i="1484"/>
  <c r="AF11" i="1484"/>
  <c r="Q11" i="1484"/>
  <c r="O11" i="1484"/>
  <c r="AF10" i="1484"/>
  <c r="AB10" i="1484"/>
  <c r="Q10" i="1484"/>
  <c r="P10" i="1484"/>
  <c r="AC10" i="1484" s="1"/>
  <c r="M10" i="1484"/>
  <c r="AF9" i="1484"/>
  <c r="Q9" i="1484"/>
  <c r="AF8" i="1484"/>
  <c r="Q8" i="1484"/>
  <c r="P8" i="1484" s="1"/>
  <c r="AC8" i="1484" s="1"/>
  <c r="M8" i="1484"/>
  <c r="AF7" i="1484"/>
  <c r="AB7" i="1484"/>
  <c r="Q7" i="1484"/>
  <c r="P7" i="1484"/>
  <c r="AC7" i="1484" s="1"/>
  <c r="O7" i="1484"/>
  <c r="M7" i="1484"/>
  <c r="K7" i="1484"/>
  <c r="AF6" i="1484"/>
  <c r="AC6" i="1484"/>
  <c r="AD6" i="1484" s="1"/>
  <c r="AB6" i="1484"/>
  <c r="Q6" i="1484"/>
  <c r="P6" i="1484"/>
  <c r="O6" i="1484"/>
  <c r="M6" i="1484"/>
  <c r="K6" i="1484"/>
  <c r="AD21" i="1486" l="1"/>
  <c r="AE10" i="1486" s="1"/>
  <c r="M21" i="1485"/>
  <c r="AD8" i="1485"/>
  <c r="AB21" i="1485"/>
  <c r="AD11" i="1485"/>
  <c r="AC21" i="1485"/>
  <c r="AD20" i="1485"/>
  <c r="AE19" i="1485" s="1"/>
  <c r="P21" i="1485"/>
  <c r="AD7" i="1484"/>
  <c r="AB12" i="1484"/>
  <c r="P11" i="1484"/>
  <c r="AC11" i="1484" s="1"/>
  <c r="P12" i="1484"/>
  <c r="AC12" i="1484" s="1"/>
  <c r="AD12" i="1484" s="1"/>
  <c r="AD17" i="1484"/>
  <c r="M19" i="1484"/>
  <c r="K19" i="1484"/>
  <c r="K10" i="1484"/>
  <c r="Q21" i="1484"/>
  <c r="P19" i="1484"/>
  <c r="AC19" i="1484" s="1"/>
  <c r="K12" i="1484"/>
  <c r="O19" i="1484"/>
  <c r="AD19" i="1484" s="1"/>
  <c r="AD18" i="1484"/>
  <c r="L21" i="1484"/>
  <c r="O21" i="1484" s="1"/>
  <c r="AD10" i="1484"/>
  <c r="AD14" i="1484"/>
  <c r="O9" i="1484"/>
  <c r="O16" i="1484"/>
  <c r="O20" i="1484"/>
  <c r="O8" i="1484"/>
  <c r="AD8" i="1484" s="1"/>
  <c r="K21" i="1484"/>
  <c r="P9" i="1484"/>
  <c r="AC9" i="1484" s="1"/>
  <c r="M11" i="1484"/>
  <c r="AB11" i="1484"/>
  <c r="AB21" i="1484" s="1"/>
  <c r="P15" i="1484"/>
  <c r="AC15" i="1484" s="1"/>
  <c r="P16" i="1484"/>
  <c r="AC16" i="1484" s="1"/>
  <c r="P20" i="1484"/>
  <c r="AC20" i="1484" s="1"/>
  <c r="AD20" i="1484" s="1"/>
  <c r="AE19" i="1484" s="1"/>
  <c r="M9" i="1484"/>
  <c r="M15" i="1484"/>
  <c r="AB15" i="1484"/>
  <c r="M16" i="1484"/>
  <c r="M20" i="1484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483"/>
  <c r="L20" i="1483"/>
  <c r="K20" i="1483"/>
  <c r="AF20" i="1483"/>
  <c r="Q20" i="1483"/>
  <c r="P20" i="1483" s="1"/>
  <c r="AC20" i="1483" s="1"/>
  <c r="O20" i="1483"/>
  <c r="AF18" i="1483"/>
  <c r="AB18" i="1483"/>
  <c r="Q18" i="1483"/>
  <c r="P18" i="1483"/>
  <c r="AC18" i="1483" s="1"/>
  <c r="AD18" i="1483" s="1"/>
  <c r="O18" i="1483"/>
  <c r="M18" i="1483"/>
  <c r="K18" i="1483"/>
  <c r="K19" i="1483"/>
  <c r="L16" i="1483"/>
  <c r="L15" i="1483"/>
  <c r="K15" i="1483"/>
  <c r="AE16" i="1486" l="1"/>
  <c r="AE18" i="1486"/>
  <c r="AE13" i="1486"/>
  <c r="AE17" i="1486"/>
  <c r="AE7" i="1486"/>
  <c r="AE14" i="1486"/>
  <c r="AE8" i="1486"/>
  <c r="AE9" i="1486"/>
  <c r="AE6" i="1486"/>
  <c r="AE20" i="1486"/>
  <c r="AE15" i="1486"/>
  <c r="AE12" i="1486"/>
  <c r="AE11" i="1486"/>
  <c r="AD21" i="1485"/>
  <c r="AE9" i="1485" s="1"/>
  <c r="AC21" i="1484"/>
  <c r="M21" i="1484"/>
  <c r="AD16" i="1484"/>
  <c r="AD9" i="1484"/>
  <c r="AD11" i="1484"/>
  <c r="P21" i="1484"/>
  <c r="AD15" i="1484"/>
  <c r="M20" i="1483"/>
  <c r="AB20" i="1483"/>
  <c r="AD20" i="1483" s="1"/>
  <c r="AE11" i="1485" l="1"/>
  <c r="AE13" i="1485"/>
  <c r="AE10" i="1485"/>
  <c r="AE8" i="1485"/>
  <c r="AE7" i="1485"/>
  <c r="AE12" i="1485"/>
  <c r="AE20" i="1485"/>
  <c r="AE18" i="1485"/>
  <c r="AE14" i="1485"/>
  <c r="AE15" i="1485"/>
  <c r="AE6" i="1485"/>
  <c r="AE17" i="1485"/>
  <c r="AE16" i="1485"/>
  <c r="AD21" i="1484"/>
  <c r="AE15" i="1484" s="1"/>
  <c r="L12" i="1483"/>
  <c r="K12" i="1483" s="1"/>
  <c r="L11" i="1483"/>
  <c r="K11" i="1483"/>
  <c r="L10" i="1483"/>
  <c r="K10" i="1483" s="1"/>
  <c r="L9" i="1483"/>
  <c r="L8" i="1483"/>
  <c r="K8" i="1483"/>
  <c r="AF8" i="1483"/>
  <c r="Q8" i="1483"/>
  <c r="P8" i="1483"/>
  <c r="AC8" i="1483" s="1"/>
  <c r="K21" i="1483"/>
  <c r="K16" i="1483"/>
  <c r="K9" i="1483"/>
  <c r="A76" i="1483"/>
  <c r="A77" i="1483" s="1"/>
  <c r="A78" i="1483" s="1"/>
  <c r="A79" i="1483" s="1"/>
  <c r="A80" i="1483" s="1"/>
  <c r="A81" i="1483" s="1"/>
  <c r="A82" i="1483" s="1"/>
  <c r="A75" i="1483"/>
  <c r="AF61" i="1483"/>
  <c r="AF60" i="1483"/>
  <c r="AF63" i="1483" s="1"/>
  <c r="AA22" i="1483"/>
  <c r="Z22" i="1483"/>
  <c r="Y22" i="1483"/>
  <c r="X22" i="1483"/>
  <c r="W22" i="1483"/>
  <c r="V22" i="1483"/>
  <c r="U22" i="1483"/>
  <c r="T22" i="1483"/>
  <c r="S22" i="1483"/>
  <c r="R22" i="1483"/>
  <c r="N22" i="1483"/>
  <c r="J22" i="1483"/>
  <c r="AF21" i="1483"/>
  <c r="Q21" i="1483"/>
  <c r="O21" i="1483"/>
  <c r="AF19" i="1483"/>
  <c r="Q19" i="1483"/>
  <c r="P19" i="1483" s="1"/>
  <c r="AC19" i="1483" s="1"/>
  <c r="O19" i="1483"/>
  <c r="AB19" i="1483"/>
  <c r="AF17" i="1483"/>
  <c r="AB17" i="1483"/>
  <c r="Q17" i="1483"/>
  <c r="P17" i="1483"/>
  <c r="AC17" i="1483" s="1"/>
  <c r="AD17" i="1483" s="1"/>
  <c r="O17" i="1483"/>
  <c r="M17" i="1483"/>
  <c r="K17" i="1483"/>
  <c r="AF16" i="1483"/>
  <c r="Q16" i="1483"/>
  <c r="P16" i="1483"/>
  <c r="AC16" i="1483" s="1"/>
  <c r="AB16" i="1483"/>
  <c r="I16" i="1483"/>
  <c r="I22" i="1483" s="1"/>
  <c r="AF15" i="1483"/>
  <c r="AB15" i="1483"/>
  <c r="Q15" i="1483"/>
  <c r="P15" i="1483"/>
  <c r="AC15" i="1483" s="1"/>
  <c r="O15" i="1483"/>
  <c r="M15" i="1483"/>
  <c r="AF14" i="1483"/>
  <c r="AC14" i="1483"/>
  <c r="AD14" i="1483" s="1"/>
  <c r="AB14" i="1483"/>
  <c r="Q14" i="1483"/>
  <c r="P14" i="1483"/>
  <c r="O14" i="1483"/>
  <c r="M14" i="1483"/>
  <c r="K14" i="1483"/>
  <c r="AF13" i="1483"/>
  <c r="AB13" i="1483"/>
  <c r="Q13" i="1483"/>
  <c r="P13" i="1483"/>
  <c r="AC13" i="1483" s="1"/>
  <c r="O13" i="1483"/>
  <c r="M13" i="1483"/>
  <c r="K13" i="1483"/>
  <c r="AF12" i="1483"/>
  <c r="AB12" i="1483"/>
  <c r="Q12" i="1483"/>
  <c r="O12" i="1483"/>
  <c r="M12" i="1483"/>
  <c r="AF11" i="1483"/>
  <c r="Q11" i="1483"/>
  <c r="O11" i="1483"/>
  <c r="AF10" i="1483"/>
  <c r="Q10" i="1483"/>
  <c r="P10" i="1483"/>
  <c r="AC10" i="1483" s="1"/>
  <c r="AF9" i="1483"/>
  <c r="Q9" i="1483"/>
  <c r="P9" i="1483" s="1"/>
  <c r="AC9" i="1483" s="1"/>
  <c r="O9" i="1483"/>
  <c r="AB9" i="1483"/>
  <c r="AF7" i="1483"/>
  <c r="AB7" i="1483"/>
  <c r="Q7" i="1483"/>
  <c r="P7" i="1483"/>
  <c r="AC7" i="1483" s="1"/>
  <c r="AD7" i="1483" s="1"/>
  <c r="O7" i="1483"/>
  <c r="M7" i="1483"/>
  <c r="K7" i="1483"/>
  <c r="AF6" i="1483"/>
  <c r="AB6" i="1483"/>
  <c r="Q6" i="1483"/>
  <c r="P6" i="1483"/>
  <c r="AC6" i="1483" s="1"/>
  <c r="O6" i="1483"/>
  <c r="M6" i="1483"/>
  <c r="K6" i="1483"/>
  <c r="AE18" i="1484" l="1"/>
  <c r="AE17" i="1484"/>
  <c r="AE6" i="1484"/>
  <c r="AE16" i="1484"/>
  <c r="AE8" i="1484"/>
  <c r="AE10" i="1484"/>
  <c r="AE12" i="1484"/>
  <c r="AE11" i="1484"/>
  <c r="AE9" i="1484"/>
  <c r="AE14" i="1484"/>
  <c r="AE7" i="1484"/>
  <c r="AE13" i="1484"/>
  <c r="AE20" i="1484"/>
  <c r="P12" i="1483"/>
  <c r="AC12" i="1483" s="1"/>
  <c r="AD12" i="1483" s="1"/>
  <c r="L22" i="1483"/>
  <c r="O22" i="1483" s="1"/>
  <c r="AB10" i="1483"/>
  <c r="Q22" i="1483"/>
  <c r="AB8" i="1483"/>
  <c r="O8" i="1483"/>
  <c r="M8" i="1483"/>
  <c r="K22" i="1483"/>
  <c r="AD15" i="1483"/>
  <c r="AD13" i="1483"/>
  <c r="AD9" i="1483"/>
  <c r="AD19" i="1483"/>
  <c r="AB11" i="1483"/>
  <c r="M9" i="1483"/>
  <c r="O10" i="1483"/>
  <c r="P11" i="1483"/>
  <c r="AC11" i="1483" s="1"/>
  <c r="O16" i="1483"/>
  <c r="AD16" i="1483" s="1"/>
  <c r="M19" i="1483"/>
  <c r="P21" i="1483"/>
  <c r="AC21" i="1483" s="1"/>
  <c r="AD6" i="1483"/>
  <c r="M11" i="1483"/>
  <c r="M21" i="1483"/>
  <c r="AB21" i="1483"/>
  <c r="M10" i="1483"/>
  <c r="M16" i="1483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0" i="1482"/>
  <c r="L19" i="1482"/>
  <c r="K19" i="1482"/>
  <c r="L18" i="1482"/>
  <c r="I16" i="1482"/>
  <c r="L16" i="1482"/>
  <c r="L12" i="1482"/>
  <c r="L11" i="1482"/>
  <c r="K11" i="1482" s="1"/>
  <c r="L10" i="1482"/>
  <c r="L9" i="1482"/>
  <c r="L8" i="1482"/>
  <c r="K8" i="1482"/>
  <c r="AD11" i="1483" l="1"/>
  <c r="AD10" i="1483"/>
  <c r="AD8" i="1483"/>
  <c r="M22" i="1483"/>
  <c r="AB22" i="1483"/>
  <c r="AC22" i="1483"/>
  <c r="P22" i="1483"/>
  <c r="AD21" i="1483"/>
  <c r="AE20" i="1483" s="1"/>
  <c r="K18" i="1482"/>
  <c r="K17" i="1482"/>
  <c r="K16" i="1482"/>
  <c r="K13" i="1482"/>
  <c r="K12" i="1482"/>
  <c r="K10" i="1482"/>
  <c r="K9" i="1482"/>
  <c r="A74" i="1482"/>
  <c r="A75" i="1482" s="1"/>
  <c r="A76" i="1482" s="1"/>
  <c r="A77" i="1482" s="1"/>
  <c r="A78" i="1482" s="1"/>
  <c r="A79" i="1482" s="1"/>
  <c r="A80" i="1482" s="1"/>
  <c r="A81" i="1482" s="1"/>
  <c r="AF62" i="1482"/>
  <c r="AF60" i="1482"/>
  <c r="AF59" i="1482"/>
  <c r="AA21" i="1482"/>
  <c r="Z21" i="1482"/>
  <c r="Y21" i="1482"/>
  <c r="X21" i="1482"/>
  <c r="W21" i="1482"/>
  <c r="V21" i="1482"/>
  <c r="U21" i="1482"/>
  <c r="T21" i="1482"/>
  <c r="S21" i="1482"/>
  <c r="R21" i="1482"/>
  <c r="N21" i="1482"/>
  <c r="J21" i="1482"/>
  <c r="I21" i="1482"/>
  <c r="AF20" i="1482"/>
  <c r="AB20" i="1482"/>
  <c r="Q20" i="1482"/>
  <c r="P20" i="1482" s="1"/>
  <c r="AC20" i="1482" s="1"/>
  <c r="O20" i="1482"/>
  <c r="M20" i="1482"/>
  <c r="K20" i="1482"/>
  <c r="AF19" i="1482"/>
  <c r="AB19" i="1482"/>
  <c r="Q19" i="1482"/>
  <c r="M19" i="1482"/>
  <c r="P19" i="1482"/>
  <c r="AC19" i="1482" s="1"/>
  <c r="AF18" i="1482"/>
  <c r="Q18" i="1482"/>
  <c r="P18" i="1482"/>
  <c r="AC18" i="1482" s="1"/>
  <c r="AF17" i="1482"/>
  <c r="AB17" i="1482"/>
  <c r="Q17" i="1482"/>
  <c r="P17" i="1482"/>
  <c r="AC17" i="1482" s="1"/>
  <c r="O17" i="1482"/>
  <c r="M17" i="1482"/>
  <c r="AF16" i="1482"/>
  <c r="AB16" i="1482"/>
  <c r="Q16" i="1482"/>
  <c r="O16" i="1482"/>
  <c r="M16" i="1482"/>
  <c r="P16" i="1482"/>
  <c r="AC16" i="1482" s="1"/>
  <c r="AF15" i="1482"/>
  <c r="AB15" i="1482"/>
  <c r="Q15" i="1482"/>
  <c r="P15" i="1482"/>
  <c r="AC15" i="1482" s="1"/>
  <c r="AD15" i="1482" s="1"/>
  <c r="O15" i="1482"/>
  <c r="M15" i="1482"/>
  <c r="K15" i="1482"/>
  <c r="AF14" i="1482"/>
  <c r="AB14" i="1482"/>
  <c r="Q14" i="1482"/>
  <c r="P14" i="1482"/>
  <c r="AC14" i="1482" s="1"/>
  <c r="O14" i="1482"/>
  <c r="M14" i="1482"/>
  <c r="K14" i="1482"/>
  <c r="AF13" i="1482"/>
  <c r="AB13" i="1482"/>
  <c r="Q13" i="1482"/>
  <c r="O13" i="1482"/>
  <c r="M13" i="1482"/>
  <c r="P13" i="1482"/>
  <c r="AC13" i="1482" s="1"/>
  <c r="AD13" i="1482" s="1"/>
  <c r="AF12" i="1482"/>
  <c r="AB12" i="1482"/>
  <c r="Q12" i="1482"/>
  <c r="P12" i="1482" s="1"/>
  <c r="AC12" i="1482" s="1"/>
  <c r="O12" i="1482"/>
  <c r="M12" i="1482"/>
  <c r="AF11" i="1482"/>
  <c r="AB11" i="1482"/>
  <c r="Q11" i="1482"/>
  <c r="P11" i="1482"/>
  <c r="AC11" i="1482" s="1"/>
  <c r="O11" i="1482"/>
  <c r="M11" i="1482"/>
  <c r="AF10" i="1482"/>
  <c r="AB10" i="1482"/>
  <c r="Q10" i="1482"/>
  <c r="O10" i="1482"/>
  <c r="M10" i="1482"/>
  <c r="P10" i="1482"/>
  <c r="AC10" i="1482" s="1"/>
  <c r="AF9" i="1482"/>
  <c r="Q9" i="1482"/>
  <c r="P9" i="1482"/>
  <c r="AC9" i="1482" s="1"/>
  <c r="AF8" i="1482"/>
  <c r="Q8" i="1482"/>
  <c r="P8" i="1482"/>
  <c r="AC8" i="1482" s="1"/>
  <c r="O8" i="1482"/>
  <c r="AF7" i="1482"/>
  <c r="AB7" i="1482"/>
  <c r="Q7" i="1482"/>
  <c r="P7" i="1482"/>
  <c r="AC7" i="1482" s="1"/>
  <c r="AD7" i="1482" s="1"/>
  <c r="O7" i="1482"/>
  <c r="M7" i="1482"/>
  <c r="K7" i="1482"/>
  <c r="AF6" i="1482"/>
  <c r="AB6" i="1482"/>
  <c r="Q6" i="1482"/>
  <c r="P6" i="1482"/>
  <c r="O6" i="1482"/>
  <c r="M6" i="1482"/>
  <c r="K6" i="1482"/>
  <c r="AD22" i="1483" l="1"/>
  <c r="AD11" i="1482"/>
  <c r="Q21" i="1482"/>
  <c r="AD10" i="1482"/>
  <c r="AD20" i="1482"/>
  <c r="AD16" i="1482"/>
  <c r="AD17" i="1482"/>
  <c r="AD12" i="1482"/>
  <c r="AD14" i="1482"/>
  <c r="P21" i="1482"/>
  <c r="M18" i="1482"/>
  <c r="AB18" i="1482"/>
  <c r="O19" i="1482"/>
  <c r="AD19" i="1482" s="1"/>
  <c r="M9" i="1482"/>
  <c r="AC6" i="1482"/>
  <c r="M8" i="1482"/>
  <c r="AB8" i="1482"/>
  <c r="O9" i="1482"/>
  <c r="O18" i="1482"/>
  <c r="L21" i="1482"/>
  <c r="O21" i="1482" s="1"/>
  <c r="AB9" i="1482"/>
  <c r="K21" i="1482"/>
  <c r="AE8" i="1483" l="1"/>
  <c r="AE18" i="1483"/>
  <c r="AE17" i="1483"/>
  <c r="AE19" i="1483"/>
  <c r="AE15" i="1483"/>
  <c r="AE13" i="1483"/>
  <c r="AE16" i="1483"/>
  <c r="AE12" i="1483"/>
  <c r="AE9" i="1483"/>
  <c r="AE10" i="1483"/>
  <c r="AE14" i="1483"/>
  <c r="AE7" i="1483"/>
  <c r="AE6" i="1483"/>
  <c r="AE21" i="1483"/>
  <c r="AE11" i="1483"/>
  <c r="AD18" i="1482"/>
  <c r="AB21" i="1482"/>
  <c r="AD9" i="1482"/>
  <c r="M21" i="1482"/>
  <c r="AD8" i="1482"/>
  <c r="AC21" i="1482"/>
  <c r="AD6" i="1482"/>
  <c r="AD21" i="1482" l="1"/>
  <c r="AE19" i="1482" s="1"/>
  <c r="AE17" i="1482" l="1"/>
  <c r="AE18" i="1482"/>
  <c r="AE16" i="1482"/>
  <c r="AE13" i="1482"/>
  <c r="AE20" i="1482"/>
  <c r="AE14" i="1482"/>
  <c r="AE9" i="1482"/>
  <c r="AE15" i="1482"/>
  <c r="AE12" i="1482"/>
  <c r="AE11" i="1482"/>
  <c r="AE10" i="1482"/>
  <c r="AE6" i="1482"/>
  <c r="AE7" i="1482"/>
  <c r="AE8" i="1482"/>
  <c r="G18" i="16" l="1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9" i="1481"/>
  <c r="L18" i="1481"/>
  <c r="AB18" i="1481" s="1"/>
  <c r="L17" i="1481"/>
  <c r="AB17" i="1481" s="1"/>
  <c r="L16" i="1481"/>
  <c r="K16" i="1481"/>
  <c r="K14" i="1481"/>
  <c r="L13" i="1481"/>
  <c r="L11" i="1481"/>
  <c r="AB11" i="1481" s="1"/>
  <c r="K11" i="1481"/>
  <c r="L10" i="1481"/>
  <c r="L9" i="1481"/>
  <c r="O9" i="1481" s="1"/>
  <c r="L8" i="1481"/>
  <c r="K20" i="1481"/>
  <c r="K19" i="1481"/>
  <c r="K18" i="1481"/>
  <c r="K17" i="1481"/>
  <c r="K15" i="1481"/>
  <c r="K13" i="1481"/>
  <c r="K12" i="1481"/>
  <c r="K10" i="1481"/>
  <c r="K8" i="1481"/>
  <c r="K7" i="1481"/>
  <c r="A75" i="1481"/>
  <c r="A76" i="1481" s="1"/>
  <c r="A77" i="1481" s="1"/>
  <c r="A78" i="1481" s="1"/>
  <c r="A79" i="1481" s="1"/>
  <c r="A80" i="1481" s="1"/>
  <c r="A81" i="1481" s="1"/>
  <c r="A74" i="1481"/>
  <c r="AF60" i="1481"/>
  <c r="AF59" i="1481"/>
  <c r="AF62" i="1481" s="1"/>
  <c r="AA21" i="1481"/>
  <c r="Z21" i="1481"/>
  <c r="Y21" i="1481"/>
  <c r="X21" i="1481"/>
  <c r="W21" i="1481"/>
  <c r="V21" i="1481"/>
  <c r="U21" i="1481"/>
  <c r="T21" i="1481"/>
  <c r="S21" i="1481"/>
  <c r="R21" i="1481"/>
  <c r="N21" i="1481"/>
  <c r="J21" i="1481"/>
  <c r="I21" i="1481"/>
  <c r="AF20" i="1481"/>
  <c r="Q20" i="1481"/>
  <c r="O20" i="1481"/>
  <c r="AF19" i="1481"/>
  <c r="Q19" i="1481"/>
  <c r="P19" i="1481"/>
  <c r="AC19" i="1481" s="1"/>
  <c r="AB19" i="1481"/>
  <c r="AF18" i="1481"/>
  <c r="Q18" i="1481"/>
  <c r="O18" i="1481"/>
  <c r="AF17" i="1481"/>
  <c r="Q17" i="1481"/>
  <c r="P17" i="1481"/>
  <c r="AC17" i="1481" s="1"/>
  <c r="O17" i="1481"/>
  <c r="AF16" i="1481"/>
  <c r="Q16" i="1481"/>
  <c r="O16" i="1481"/>
  <c r="AF15" i="1481"/>
  <c r="Q15" i="1481"/>
  <c r="P15" i="1481"/>
  <c r="AC15" i="1481" s="1"/>
  <c r="AB15" i="1481"/>
  <c r="AF14" i="1481"/>
  <c r="AB14" i="1481"/>
  <c r="Q14" i="1481"/>
  <c r="P14" i="1481"/>
  <c r="AC14" i="1481" s="1"/>
  <c r="O14" i="1481"/>
  <c r="M14" i="1481"/>
  <c r="AF13" i="1481"/>
  <c r="Q13" i="1481"/>
  <c r="O13" i="1481"/>
  <c r="AF12" i="1481"/>
  <c r="Q12" i="1481"/>
  <c r="P12" i="1481"/>
  <c r="AC12" i="1481" s="1"/>
  <c r="AB12" i="1481"/>
  <c r="AF11" i="1481"/>
  <c r="Q11" i="1481"/>
  <c r="P11" i="1481"/>
  <c r="AC11" i="1481" s="1"/>
  <c r="O11" i="1481"/>
  <c r="AF10" i="1481"/>
  <c r="AB10" i="1481"/>
  <c r="Q10" i="1481"/>
  <c r="P10" i="1481"/>
  <c r="AC10" i="1481" s="1"/>
  <c r="AD10" i="1481" s="1"/>
  <c r="O10" i="1481"/>
  <c r="M10" i="1481"/>
  <c r="AF9" i="1481"/>
  <c r="Q9" i="1481"/>
  <c r="AF8" i="1481"/>
  <c r="Q8" i="1481"/>
  <c r="P8" i="1481"/>
  <c r="AC8" i="1481" s="1"/>
  <c r="AB8" i="1481"/>
  <c r="AF7" i="1481"/>
  <c r="AB7" i="1481"/>
  <c r="Q7" i="1481"/>
  <c r="P7" i="1481"/>
  <c r="AC7" i="1481" s="1"/>
  <c r="O7" i="1481"/>
  <c r="M7" i="1481"/>
  <c r="AF6" i="1481"/>
  <c r="AB6" i="1481"/>
  <c r="Q6" i="1481"/>
  <c r="P6" i="1481"/>
  <c r="AC6" i="1481" s="1"/>
  <c r="O6" i="1481"/>
  <c r="M6" i="1481"/>
  <c r="K6" i="148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1480"/>
  <c r="L19" i="1480"/>
  <c r="L18" i="1480"/>
  <c r="AB18" i="1480" s="1"/>
  <c r="L17" i="1480"/>
  <c r="L16" i="1480"/>
  <c r="K16" i="1480"/>
  <c r="L15" i="1480"/>
  <c r="L13" i="1480"/>
  <c r="K13" i="1480"/>
  <c r="L12" i="1480"/>
  <c r="K12" i="1480" s="1"/>
  <c r="L11" i="1480"/>
  <c r="K11" i="1480" s="1"/>
  <c r="L10" i="1480"/>
  <c r="O10" i="1480" s="1"/>
  <c r="L9" i="1480"/>
  <c r="L8" i="1480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K20" i="1480"/>
  <c r="K19" i="1480"/>
  <c r="K18" i="1480"/>
  <c r="K17" i="1480"/>
  <c r="K15" i="1480"/>
  <c r="K9" i="1480"/>
  <c r="K8" i="1480"/>
  <c r="K7" i="1480"/>
  <c r="A74" i="1480"/>
  <c r="A75" i="1480" s="1"/>
  <c r="A76" i="1480" s="1"/>
  <c r="A77" i="1480" s="1"/>
  <c r="A78" i="1480" s="1"/>
  <c r="A79" i="1480" s="1"/>
  <c r="A80" i="1480" s="1"/>
  <c r="A81" i="1480" s="1"/>
  <c r="AF60" i="1480"/>
  <c r="AF59" i="1480"/>
  <c r="AF62" i="1480" s="1"/>
  <c r="AA21" i="1480"/>
  <c r="Z21" i="1480"/>
  <c r="Y21" i="1480"/>
  <c r="X21" i="1480"/>
  <c r="W21" i="1480"/>
  <c r="V21" i="1480"/>
  <c r="U21" i="1480"/>
  <c r="T21" i="1480"/>
  <c r="S21" i="1480"/>
  <c r="R21" i="1480"/>
  <c r="N21" i="1480"/>
  <c r="J21" i="1480"/>
  <c r="I21" i="1480"/>
  <c r="AF20" i="1480"/>
  <c r="AB20" i="1480"/>
  <c r="Q20" i="1480"/>
  <c r="P20" i="1480"/>
  <c r="AC20" i="1480" s="1"/>
  <c r="AD20" i="1480" s="1"/>
  <c r="O20" i="1480"/>
  <c r="M20" i="1480"/>
  <c r="AF19" i="1480"/>
  <c r="Q19" i="1480"/>
  <c r="O19" i="1480"/>
  <c r="AB19" i="1480"/>
  <c r="AF18" i="1480"/>
  <c r="Q18" i="1480"/>
  <c r="M18" i="1480"/>
  <c r="P18" i="1480"/>
  <c r="AC18" i="1480" s="1"/>
  <c r="AF17" i="1480"/>
  <c r="Q17" i="1480"/>
  <c r="P17" i="1480" s="1"/>
  <c r="AC17" i="1480" s="1"/>
  <c r="AF16" i="1480"/>
  <c r="AB16" i="1480"/>
  <c r="Q16" i="1480"/>
  <c r="P16" i="1480" s="1"/>
  <c r="AC16" i="1480" s="1"/>
  <c r="O16" i="1480"/>
  <c r="M16" i="1480"/>
  <c r="AF15" i="1480"/>
  <c r="AB15" i="1480"/>
  <c r="Q15" i="1480"/>
  <c r="M15" i="1480"/>
  <c r="P15" i="1480"/>
  <c r="AC15" i="1480" s="1"/>
  <c r="AF14" i="1480"/>
  <c r="AB14" i="1480"/>
  <c r="Q14" i="1480"/>
  <c r="P14" i="1480"/>
  <c r="AC14" i="1480" s="1"/>
  <c r="O14" i="1480"/>
  <c r="M14" i="1480"/>
  <c r="K14" i="1480"/>
  <c r="AF13" i="1480"/>
  <c r="AB13" i="1480"/>
  <c r="Q13" i="1480"/>
  <c r="P13" i="1480" s="1"/>
  <c r="AC13" i="1480" s="1"/>
  <c r="AD13" i="1480" s="1"/>
  <c r="O13" i="1480"/>
  <c r="M13" i="1480"/>
  <c r="AF12" i="1480"/>
  <c r="Q12" i="1480"/>
  <c r="AF11" i="1480"/>
  <c r="AB11" i="1480"/>
  <c r="Q11" i="1480"/>
  <c r="P11" i="1480" s="1"/>
  <c r="AC11" i="1480" s="1"/>
  <c r="O11" i="1480"/>
  <c r="M11" i="1480"/>
  <c r="AF10" i="1480"/>
  <c r="Q10" i="1480"/>
  <c r="K10" i="1480"/>
  <c r="AF9" i="1480"/>
  <c r="AB9" i="1480"/>
  <c r="Q9" i="1480"/>
  <c r="P9" i="1480" s="1"/>
  <c r="AC9" i="1480" s="1"/>
  <c r="O9" i="1480"/>
  <c r="M9" i="1480"/>
  <c r="AF8" i="1480"/>
  <c r="AB8" i="1480"/>
  <c r="Q8" i="1480"/>
  <c r="P8" i="1480" s="1"/>
  <c r="AC8" i="1480" s="1"/>
  <c r="M8" i="1480"/>
  <c r="AF7" i="1480"/>
  <c r="Q7" i="1480"/>
  <c r="P7" i="1480" s="1"/>
  <c r="AC7" i="1480" s="1"/>
  <c r="AF6" i="1480"/>
  <c r="AB6" i="1480"/>
  <c r="Q6" i="1480"/>
  <c r="P6" i="1480"/>
  <c r="AC6" i="1480" s="1"/>
  <c r="O6" i="1480"/>
  <c r="M6" i="1480"/>
  <c r="K6" i="1480"/>
  <c r="L20" i="1479"/>
  <c r="L19" i="1479"/>
  <c r="L18" i="1479"/>
  <c r="L17" i="1479"/>
  <c r="K17" i="1479"/>
  <c r="L15" i="1479"/>
  <c r="L13" i="1479"/>
  <c r="K13" i="1479"/>
  <c r="L11" i="1479"/>
  <c r="K10" i="1479"/>
  <c r="P18" i="1481" l="1"/>
  <c r="AC18" i="1481" s="1"/>
  <c r="AD17" i="1481"/>
  <c r="M17" i="1481"/>
  <c r="K9" i="1481"/>
  <c r="K21" i="1481" s="1"/>
  <c r="Q21" i="1481"/>
  <c r="AD14" i="1481"/>
  <c r="AD7" i="1481"/>
  <c r="AD11" i="1481"/>
  <c r="AD18" i="1481"/>
  <c r="AD6" i="1481"/>
  <c r="AB9" i="1481"/>
  <c r="M13" i="1481"/>
  <c r="AB13" i="1481"/>
  <c r="AB16" i="1481"/>
  <c r="M20" i="1481"/>
  <c r="O8" i="1481"/>
  <c r="AD8" i="1481" s="1"/>
  <c r="P9" i="1481"/>
  <c r="AC9" i="1481" s="1"/>
  <c r="M11" i="1481"/>
  <c r="O12" i="1481"/>
  <c r="AD12" i="1481" s="1"/>
  <c r="P13" i="1481"/>
  <c r="AC13" i="1481" s="1"/>
  <c r="O15" i="1481"/>
  <c r="AD15" i="1481" s="1"/>
  <c r="P16" i="1481"/>
  <c r="AC16" i="1481" s="1"/>
  <c r="M18" i="1481"/>
  <c r="O19" i="1481"/>
  <c r="AD19" i="1481" s="1"/>
  <c r="P20" i="1481"/>
  <c r="AC20" i="1481" s="1"/>
  <c r="M9" i="1481"/>
  <c r="M16" i="1481"/>
  <c r="AB20" i="1481"/>
  <c r="L21" i="1481"/>
  <c r="O21" i="1481" s="1"/>
  <c r="M8" i="1481"/>
  <c r="M12" i="1481"/>
  <c r="M15" i="1481"/>
  <c r="M19" i="1481"/>
  <c r="M12" i="1480"/>
  <c r="AB12" i="1480"/>
  <c r="O12" i="1480"/>
  <c r="P12" i="1480"/>
  <c r="AC12" i="1480" s="1"/>
  <c r="P10" i="1480"/>
  <c r="AC10" i="1480" s="1"/>
  <c r="AB10" i="1480"/>
  <c r="AD10" i="1480" s="1"/>
  <c r="M10" i="1480"/>
  <c r="Q21" i="1480"/>
  <c r="AD9" i="1480"/>
  <c r="AD12" i="1480"/>
  <c r="AD11" i="1480"/>
  <c r="AD14" i="1480"/>
  <c r="AD16" i="1480"/>
  <c r="AD6" i="1480"/>
  <c r="M7" i="1480"/>
  <c r="AB7" i="1480"/>
  <c r="O8" i="1480"/>
  <c r="AD8" i="1480" s="1"/>
  <c r="O15" i="1480"/>
  <c r="AD15" i="1480" s="1"/>
  <c r="M17" i="1480"/>
  <c r="AB17" i="1480"/>
  <c r="O18" i="1480"/>
  <c r="AD18" i="1480" s="1"/>
  <c r="P19" i="1480"/>
  <c r="AC19" i="1480" s="1"/>
  <c r="AD19" i="1480" s="1"/>
  <c r="O7" i="1480"/>
  <c r="K21" i="1480"/>
  <c r="O17" i="1480"/>
  <c r="L21" i="1480"/>
  <c r="O21" i="1480" s="1"/>
  <c r="M19" i="1480"/>
  <c r="M21" i="1481" l="1"/>
  <c r="AD13" i="1481"/>
  <c r="AB21" i="1481"/>
  <c r="AD9" i="1481"/>
  <c r="P21" i="1481"/>
  <c r="AD20" i="1481"/>
  <c r="AD16" i="1481"/>
  <c r="AC21" i="1481"/>
  <c r="AB21" i="1480"/>
  <c r="AD7" i="1480"/>
  <c r="AC21" i="1480"/>
  <c r="P21" i="1480"/>
  <c r="M21" i="1480"/>
  <c r="AD17" i="1480"/>
  <c r="AD21" i="1480" s="1"/>
  <c r="AD21" i="1481" l="1"/>
  <c r="AE11" i="1481" s="1"/>
  <c r="AE18" i="1480"/>
  <c r="AE15" i="1480"/>
  <c r="AE12" i="1480"/>
  <c r="AE8" i="1480"/>
  <c r="AE14" i="1480"/>
  <c r="AE19" i="1480"/>
  <c r="AE13" i="1480"/>
  <c r="AE9" i="1480"/>
  <c r="AE7" i="1480"/>
  <c r="AE20" i="1480"/>
  <c r="AE16" i="1480"/>
  <c r="AE11" i="1480"/>
  <c r="AE6" i="1480"/>
  <c r="AE17" i="1480"/>
  <c r="AE10" i="1480"/>
  <c r="AE15" i="1481" l="1"/>
  <c r="AE20" i="1481"/>
  <c r="AE10" i="1481"/>
  <c r="AE19" i="1481"/>
  <c r="AE6" i="1481"/>
  <c r="AE14" i="1481"/>
  <c r="AE13" i="1481"/>
  <c r="AE18" i="1481"/>
  <c r="AE12" i="1481"/>
  <c r="AE9" i="1481"/>
  <c r="AE7" i="1481"/>
  <c r="AE8" i="1481"/>
  <c r="AE17" i="1481"/>
  <c r="AE16" i="1481"/>
  <c r="L9" i="1479" l="1"/>
  <c r="L8" i="1479"/>
  <c r="L7" i="1479"/>
  <c r="K20" i="1479" l="1"/>
  <c r="K19" i="1479"/>
  <c r="K18" i="1479"/>
  <c r="K16" i="1479"/>
  <c r="K15" i="1479"/>
  <c r="K12" i="1479"/>
  <c r="K11" i="1479"/>
  <c r="K9" i="1479"/>
  <c r="K8" i="1479"/>
  <c r="K7" i="1479"/>
  <c r="A74" i="1479"/>
  <c r="A75" i="1479" s="1"/>
  <c r="A76" i="1479" s="1"/>
  <c r="A77" i="1479" s="1"/>
  <c r="A78" i="1479" s="1"/>
  <c r="A79" i="1479" s="1"/>
  <c r="A80" i="1479" s="1"/>
  <c r="A81" i="1479" s="1"/>
  <c r="AF60" i="1479"/>
  <c r="AF59" i="1479"/>
  <c r="AF62" i="1479" s="1"/>
  <c r="AA21" i="1479"/>
  <c r="Z21" i="1479"/>
  <c r="Y21" i="1479"/>
  <c r="X21" i="1479"/>
  <c r="W21" i="1479"/>
  <c r="V21" i="1479"/>
  <c r="U21" i="1479"/>
  <c r="T21" i="1479"/>
  <c r="S21" i="1479"/>
  <c r="R21" i="1479"/>
  <c r="N21" i="1479"/>
  <c r="J21" i="1479"/>
  <c r="I21" i="1479"/>
  <c r="AF20" i="1479"/>
  <c r="AB20" i="1479"/>
  <c r="Q20" i="1479"/>
  <c r="P20" i="1479"/>
  <c r="AC20" i="1479" s="1"/>
  <c r="O20" i="1479"/>
  <c r="M20" i="1479"/>
  <c r="AF19" i="1479"/>
  <c r="AB19" i="1479"/>
  <c r="Q19" i="1479"/>
  <c r="O19" i="1479"/>
  <c r="M19" i="1479"/>
  <c r="P19" i="1479"/>
  <c r="AC19" i="1479" s="1"/>
  <c r="AD19" i="1479" s="1"/>
  <c r="AF18" i="1479"/>
  <c r="Q18" i="1479"/>
  <c r="P18" i="1479" s="1"/>
  <c r="AC18" i="1479" s="1"/>
  <c r="AF17" i="1479"/>
  <c r="Q17" i="1479"/>
  <c r="P17" i="1479" s="1"/>
  <c r="AC17" i="1479" s="1"/>
  <c r="O17" i="1479"/>
  <c r="AF16" i="1479"/>
  <c r="Q16" i="1479"/>
  <c r="P16" i="1479"/>
  <c r="AC16" i="1479" s="1"/>
  <c r="O16" i="1479"/>
  <c r="AB16" i="1479"/>
  <c r="AF15" i="1479"/>
  <c r="AB15" i="1479"/>
  <c r="Q15" i="1479"/>
  <c r="P15" i="1479" s="1"/>
  <c r="AC15" i="1479" s="1"/>
  <c r="O15" i="1479"/>
  <c r="M15" i="1479"/>
  <c r="AF14" i="1479"/>
  <c r="AB14" i="1479"/>
  <c r="Q14" i="1479"/>
  <c r="P14" i="1479"/>
  <c r="AC14" i="1479" s="1"/>
  <c r="AD14" i="1479" s="1"/>
  <c r="O14" i="1479"/>
  <c r="M14" i="1479"/>
  <c r="K14" i="1479"/>
  <c r="AF13" i="1479"/>
  <c r="Q13" i="1479"/>
  <c r="O13" i="1479"/>
  <c r="AF12" i="1479"/>
  <c r="Q12" i="1479"/>
  <c r="P12" i="1479"/>
  <c r="AC12" i="1479" s="1"/>
  <c r="AB12" i="1479"/>
  <c r="AF11" i="1479"/>
  <c r="Q11" i="1479"/>
  <c r="P11" i="1479" s="1"/>
  <c r="AC11" i="1479" s="1"/>
  <c r="O11" i="1479"/>
  <c r="AB11" i="1479"/>
  <c r="AF10" i="1479"/>
  <c r="AB10" i="1479"/>
  <c r="Q10" i="1479"/>
  <c r="P10" i="1479"/>
  <c r="AC10" i="1479" s="1"/>
  <c r="O10" i="1479"/>
  <c r="M10" i="1479"/>
  <c r="AF9" i="1479"/>
  <c r="Q9" i="1479"/>
  <c r="P9" i="1479"/>
  <c r="AC9" i="1479" s="1"/>
  <c r="AF8" i="1479"/>
  <c r="Q8" i="1479"/>
  <c r="P8" i="1479" s="1"/>
  <c r="AC8" i="1479" s="1"/>
  <c r="O8" i="1479"/>
  <c r="AF7" i="1479"/>
  <c r="Q7" i="1479"/>
  <c r="P7" i="1479" s="1"/>
  <c r="AC7" i="1479" s="1"/>
  <c r="O7" i="1479"/>
  <c r="AB7" i="1479"/>
  <c r="AF6" i="1479"/>
  <c r="AB6" i="1479"/>
  <c r="Q6" i="1479"/>
  <c r="P6" i="1479"/>
  <c r="O6" i="1479"/>
  <c r="M6" i="1479"/>
  <c r="K6" i="1479"/>
  <c r="Q21" i="1479" l="1"/>
  <c r="AD20" i="1479"/>
  <c r="AD10" i="1479"/>
  <c r="AD15" i="1479"/>
  <c r="AD11" i="1479"/>
  <c r="AD7" i="1479"/>
  <c r="AD16" i="1479"/>
  <c r="M11" i="1479"/>
  <c r="O12" i="1479"/>
  <c r="AD12" i="1479" s="1"/>
  <c r="P13" i="1479"/>
  <c r="AC13" i="1479" s="1"/>
  <c r="M18" i="1479"/>
  <c r="AB18" i="1479"/>
  <c r="M17" i="1479"/>
  <c r="AB17" i="1479"/>
  <c r="AD17" i="1479" s="1"/>
  <c r="O18" i="1479"/>
  <c r="AC6" i="1479"/>
  <c r="M9" i="1479"/>
  <c r="AB9" i="1479"/>
  <c r="M16" i="1479"/>
  <c r="L21" i="1479"/>
  <c r="O21" i="1479" s="1"/>
  <c r="M8" i="1479"/>
  <c r="AB8" i="1479"/>
  <c r="AD8" i="1479" s="1"/>
  <c r="O9" i="1479"/>
  <c r="M13" i="1479"/>
  <c r="AB13" i="1479"/>
  <c r="M7" i="1479"/>
  <c r="K21" i="1479"/>
  <c r="M12" i="1479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1478"/>
  <c r="K21" i="1478" s="1"/>
  <c r="L20" i="1478"/>
  <c r="K20" i="1478" s="1"/>
  <c r="L19" i="1478"/>
  <c r="K19" i="1478" s="1"/>
  <c r="L18" i="1478"/>
  <c r="K18" i="1478"/>
  <c r="L17" i="1478"/>
  <c r="K17" i="1478"/>
  <c r="L16" i="1478"/>
  <c r="AB16" i="1478" s="1"/>
  <c r="L14" i="1478"/>
  <c r="AB14" i="1478" s="1"/>
  <c r="K14" i="1478"/>
  <c r="L13" i="1478"/>
  <c r="K13" i="1478" s="1"/>
  <c r="L12" i="1478"/>
  <c r="K12" i="1478" s="1"/>
  <c r="AF12" i="1478"/>
  <c r="AB12" i="1478"/>
  <c r="Q12" i="1478"/>
  <c r="P12" i="1478" s="1"/>
  <c r="AC12" i="1478" s="1"/>
  <c r="O12" i="1478"/>
  <c r="M12" i="1478"/>
  <c r="L9" i="1478"/>
  <c r="AB9" i="1478" s="1"/>
  <c r="L8" i="1478"/>
  <c r="K8" i="1478" s="1"/>
  <c r="L7" i="1478"/>
  <c r="O7" i="1478" s="1"/>
  <c r="K7" i="1478"/>
  <c r="K16" i="1478"/>
  <c r="K11" i="1478"/>
  <c r="K10" i="1478"/>
  <c r="A76" i="1478"/>
  <c r="A77" i="1478" s="1"/>
  <c r="A78" i="1478" s="1"/>
  <c r="A79" i="1478" s="1"/>
  <c r="A80" i="1478" s="1"/>
  <c r="A81" i="1478" s="1"/>
  <c r="A82" i="1478" s="1"/>
  <c r="A75" i="1478"/>
  <c r="AF61" i="1478"/>
  <c r="AF60" i="1478"/>
  <c r="AF63" i="1478" s="1"/>
  <c r="AA22" i="1478"/>
  <c r="Z22" i="1478"/>
  <c r="Y22" i="1478"/>
  <c r="X22" i="1478"/>
  <c r="W22" i="1478"/>
  <c r="V22" i="1478"/>
  <c r="U22" i="1478"/>
  <c r="T22" i="1478"/>
  <c r="S22" i="1478"/>
  <c r="R22" i="1478"/>
  <c r="N22" i="1478"/>
  <c r="J22" i="1478"/>
  <c r="I22" i="1478"/>
  <c r="AF21" i="1478"/>
  <c r="Q21" i="1478"/>
  <c r="O21" i="1478"/>
  <c r="AF20" i="1478"/>
  <c r="Q20" i="1478"/>
  <c r="AB20" i="1478"/>
  <c r="AF19" i="1478"/>
  <c r="Q19" i="1478"/>
  <c r="P19" i="1478"/>
  <c r="AC19" i="1478" s="1"/>
  <c r="AF18" i="1478"/>
  <c r="AB18" i="1478"/>
  <c r="Q18" i="1478"/>
  <c r="P18" i="1478" s="1"/>
  <c r="AC18" i="1478" s="1"/>
  <c r="O18" i="1478"/>
  <c r="M18" i="1478"/>
  <c r="AF17" i="1478"/>
  <c r="AB17" i="1478"/>
  <c r="Q17" i="1478"/>
  <c r="P17" i="1478"/>
  <c r="AC17" i="1478" s="1"/>
  <c r="O17" i="1478"/>
  <c r="M17" i="1478"/>
  <c r="AF16" i="1478"/>
  <c r="Q16" i="1478"/>
  <c r="M16" i="1478"/>
  <c r="P16" i="1478"/>
  <c r="AC16" i="1478" s="1"/>
  <c r="AF15" i="1478"/>
  <c r="AB15" i="1478"/>
  <c r="Q15" i="1478"/>
  <c r="P15" i="1478"/>
  <c r="AC15" i="1478" s="1"/>
  <c r="O15" i="1478"/>
  <c r="M15" i="1478"/>
  <c r="K15" i="1478"/>
  <c r="AF14" i="1478"/>
  <c r="Q14" i="1478"/>
  <c r="P14" i="1478"/>
  <c r="AC14" i="1478" s="1"/>
  <c r="O14" i="1478"/>
  <c r="AF13" i="1478"/>
  <c r="Q13" i="1478"/>
  <c r="AF11" i="1478"/>
  <c r="Q11" i="1478"/>
  <c r="O11" i="1478"/>
  <c r="AF10" i="1478"/>
  <c r="Q10" i="1478"/>
  <c r="P10" i="1478"/>
  <c r="AC10" i="1478" s="1"/>
  <c r="O10" i="1478"/>
  <c r="M10" i="1478"/>
  <c r="AB10" i="1478"/>
  <c r="AF9" i="1478"/>
  <c r="Q9" i="1478"/>
  <c r="O9" i="1478"/>
  <c r="M9" i="1478"/>
  <c r="AF8" i="1478"/>
  <c r="AB8" i="1478"/>
  <c r="Q8" i="1478"/>
  <c r="AF7" i="1478"/>
  <c r="AB7" i="1478"/>
  <c r="Q7" i="1478"/>
  <c r="P7" i="1478" s="1"/>
  <c r="AC7" i="1478" s="1"/>
  <c r="M7" i="1478"/>
  <c r="AF6" i="1478"/>
  <c r="AB6" i="1478"/>
  <c r="Q6" i="1478"/>
  <c r="P6" i="1478"/>
  <c r="AC6" i="1478" s="1"/>
  <c r="O6" i="1478"/>
  <c r="M6" i="1478"/>
  <c r="K6" i="1478"/>
  <c r="AD18" i="1479" l="1"/>
  <c r="AD9" i="1479"/>
  <c r="M21" i="1479"/>
  <c r="AC21" i="1479"/>
  <c r="AD6" i="1479"/>
  <c r="AD13" i="1479"/>
  <c r="AB21" i="1479"/>
  <c r="P21" i="1479"/>
  <c r="P20" i="1478"/>
  <c r="AC20" i="1478" s="1"/>
  <c r="O19" i="1478"/>
  <c r="P8" i="1478"/>
  <c r="AC8" i="1478" s="1"/>
  <c r="M8" i="1478"/>
  <c r="M13" i="1478"/>
  <c r="AB13" i="1478"/>
  <c r="P13" i="1478"/>
  <c r="AC13" i="1478" s="1"/>
  <c r="K9" i="1478"/>
  <c r="M14" i="1478"/>
  <c r="AD12" i="1478"/>
  <c r="P9" i="1478"/>
  <c r="AC9" i="1478" s="1"/>
  <c r="AD9" i="1478" s="1"/>
  <c r="Q22" i="1478"/>
  <c r="AD7" i="1478"/>
  <c r="AD18" i="1478"/>
  <c r="AD10" i="1478"/>
  <c r="AD15" i="1478"/>
  <c r="AD17" i="1478"/>
  <c r="AD14" i="1478"/>
  <c r="P11" i="1478"/>
  <c r="AC11" i="1478" s="1"/>
  <c r="M19" i="1478"/>
  <c r="AB19" i="1478"/>
  <c r="AD19" i="1478" s="1"/>
  <c r="O20" i="1478"/>
  <c r="P21" i="1478"/>
  <c r="AC21" i="1478" s="1"/>
  <c r="AD6" i="1478"/>
  <c r="O8" i="1478"/>
  <c r="AD8" i="1478" s="1"/>
  <c r="M11" i="1478"/>
  <c r="AB11" i="1478"/>
  <c r="O13" i="1478"/>
  <c r="O16" i="1478"/>
  <c r="AD16" i="1478" s="1"/>
  <c r="M21" i="1478"/>
  <c r="AB21" i="1478"/>
  <c r="L22" i="1478"/>
  <c r="O22" i="1478" s="1"/>
  <c r="K22" i="1478"/>
  <c r="M20" i="1478"/>
  <c r="C18" i="16"/>
  <c r="C17" i="16"/>
  <c r="C16" i="16"/>
  <c r="C15" i="16"/>
  <c r="C14" i="16"/>
  <c r="C13" i="16"/>
  <c r="C12" i="16"/>
  <c r="C11" i="16"/>
  <c r="C10" i="16"/>
  <c r="C8" i="16"/>
  <c r="C7" i="16"/>
  <c r="C6" i="16"/>
  <c r="C5" i="16"/>
  <c r="C4" i="16"/>
  <c r="C3" i="16"/>
  <c r="L14" i="1477"/>
  <c r="AB14" i="1477" s="1"/>
  <c r="K14" i="1477"/>
  <c r="AF14" i="1477"/>
  <c r="Q14" i="1477"/>
  <c r="P14" i="1477" s="1"/>
  <c r="AC14" i="1477" s="1"/>
  <c r="O14" i="1477"/>
  <c r="M14" i="1477"/>
  <c r="L22" i="1477"/>
  <c r="K22" i="1477" s="1"/>
  <c r="L21" i="1477"/>
  <c r="K21" i="1477" s="1"/>
  <c r="L20" i="1477"/>
  <c r="K20" i="1477" s="1"/>
  <c r="L17" i="1477"/>
  <c r="K15" i="1477"/>
  <c r="K13" i="1477"/>
  <c r="L12" i="1477"/>
  <c r="L11" i="1477"/>
  <c r="K11" i="1477"/>
  <c r="L10" i="1477"/>
  <c r="K10" i="1477" s="1"/>
  <c r="L9" i="1477"/>
  <c r="K9" i="1477" s="1"/>
  <c r="L8" i="1477"/>
  <c r="K8" i="1477" s="1"/>
  <c r="K18" i="1477"/>
  <c r="K17" i="1477"/>
  <c r="K12" i="1477"/>
  <c r="AD21" i="1479" l="1"/>
  <c r="AD21" i="1478"/>
  <c r="AD20" i="1478"/>
  <c r="M22" i="1478"/>
  <c r="AD13" i="1478"/>
  <c r="AB22" i="1478"/>
  <c r="AC22" i="1478"/>
  <c r="AD11" i="1478"/>
  <c r="P22" i="1478"/>
  <c r="AD14" i="1477"/>
  <c r="A76" i="1477"/>
  <c r="A77" i="1477" s="1"/>
  <c r="A78" i="1477" s="1"/>
  <c r="A79" i="1477" s="1"/>
  <c r="A80" i="1477" s="1"/>
  <c r="A81" i="1477" s="1"/>
  <c r="A82" i="1477" s="1"/>
  <c r="A83" i="1477" s="1"/>
  <c r="AF62" i="1477"/>
  <c r="AF61" i="1477"/>
  <c r="AA23" i="1477"/>
  <c r="Z23" i="1477"/>
  <c r="Y23" i="1477"/>
  <c r="X23" i="1477"/>
  <c r="W23" i="1477"/>
  <c r="V23" i="1477"/>
  <c r="U23" i="1477"/>
  <c r="T23" i="1477"/>
  <c r="S23" i="1477"/>
  <c r="R23" i="1477"/>
  <c r="N23" i="1477"/>
  <c r="J23" i="1477"/>
  <c r="I23" i="1477"/>
  <c r="AF22" i="1477"/>
  <c r="Q22" i="1477"/>
  <c r="P22" i="1477" s="1"/>
  <c r="AC22" i="1477" s="1"/>
  <c r="AF21" i="1477"/>
  <c r="Q21" i="1477"/>
  <c r="P21" i="1477"/>
  <c r="AC21" i="1477" s="1"/>
  <c r="O21" i="1477"/>
  <c r="AF20" i="1477"/>
  <c r="AB20" i="1477"/>
  <c r="Q20" i="1477"/>
  <c r="P20" i="1477" s="1"/>
  <c r="AC20" i="1477" s="1"/>
  <c r="O20" i="1477"/>
  <c r="M20" i="1477"/>
  <c r="AF19" i="1477"/>
  <c r="AB19" i="1477"/>
  <c r="Q19" i="1477"/>
  <c r="P19" i="1477"/>
  <c r="AC19" i="1477" s="1"/>
  <c r="O19" i="1477"/>
  <c r="M19" i="1477"/>
  <c r="K19" i="1477"/>
  <c r="AF18" i="1477"/>
  <c r="Q18" i="1477"/>
  <c r="AB18" i="1477"/>
  <c r="AF17" i="1477"/>
  <c r="Q17" i="1477"/>
  <c r="P17" i="1477" s="1"/>
  <c r="AC17" i="1477" s="1"/>
  <c r="O17" i="1477"/>
  <c r="AF16" i="1477"/>
  <c r="AB16" i="1477"/>
  <c r="Q16" i="1477"/>
  <c r="P16" i="1477"/>
  <c r="AC16" i="1477" s="1"/>
  <c r="O16" i="1477"/>
  <c r="M16" i="1477"/>
  <c r="K16" i="1477"/>
  <c r="AF15" i="1477"/>
  <c r="Q15" i="1477"/>
  <c r="AB15" i="1477"/>
  <c r="AF13" i="1477"/>
  <c r="AB13" i="1477"/>
  <c r="Q13" i="1477"/>
  <c r="P13" i="1477" s="1"/>
  <c r="AC13" i="1477" s="1"/>
  <c r="O13" i="1477"/>
  <c r="M13" i="1477"/>
  <c r="AF12" i="1477"/>
  <c r="AB12" i="1477"/>
  <c r="Q12" i="1477"/>
  <c r="P12" i="1477" s="1"/>
  <c r="AC12" i="1477" s="1"/>
  <c r="O12" i="1477"/>
  <c r="M12" i="1477"/>
  <c r="AF11" i="1477"/>
  <c r="Q11" i="1477"/>
  <c r="AB11" i="1477"/>
  <c r="AF10" i="1477"/>
  <c r="Q10" i="1477"/>
  <c r="P10" i="1477" s="1"/>
  <c r="AC10" i="1477" s="1"/>
  <c r="O10" i="1477"/>
  <c r="AB10" i="1477"/>
  <c r="AF9" i="1477"/>
  <c r="AB9" i="1477"/>
  <c r="Q9" i="1477"/>
  <c r="P9" i="1477" s="1"/>
  <c r="AC9" i="1477" s="1"/>
  <c r="O9" i="1477"/>
  <c r="M9" i="1477"/>
  <c r="AF8" i="1477"/>
  <c r="AB8" i="1477"/>
  <c r="Q8" i="1477"/>
  <c r="P8" i="1477" s="1"/>
  <c r="AC8" i="1477" s="1"/>
  <c r="O8" i="1477"/>
  <c r="M8" i="1477"/>
  <c r="AF7" i="1477"/>
  <c r="AB7" i="1477"/>
  <c r="Q7" i="1477"/>
  <c r="P7" i="1477"/>
  <c r="AC7" i="1477" s="1"/>
  <c r="O7" i="1477"/>
  <c r="M7" i="1477"/>
  <c r="K7" i="1477"/>
  <c r="AF6" i="1477"/>
  <c r="AB6" i="1477"/>
  <c r="Q6" i="1477"/>
  <c r="P6" i="1477"/>
  <c r="AC6" i="1477" s="1"/>
  <c r="O6" i="1477"/>
  <c r="M6" i="1477"/>
  <c r="K6" i="1477"/>
  <c r="AE18" i="1479" l="1"/>
  <c r="AE14" i="1479"/>
  <c r="AE11" i="1479"/>
  <c r="AE6" i="1479"/>
  <c r="AE12" i="1479"/>
  <c r="AE10" i="1479"/>
  <c r="AE7" i="1479"/>
  <c r="AE19" i="1479"/>
  <c r="AE15" i="1479"/>
  <c r="AE13" i="1479"/>
  <c r="AE8" i="1479"/>
  <c r="AE9" i="1479"/>
  <c r="AE20" i="1479"/>
  <c r="AE16" i="1479"/>
  <c r="AE17" i="1479"/>
  <c r="AD22" i="1478"/>
  <c r="AE12" i="1478" s="1"/>
  <c r="AF64" i="1477"/>
  <c r="AD7" i="1477"/>
  <c r="Q23" i="1477"/>
  <c r="AD8" i="1477"/>
  <c r="AD9" i="1477"/>
  <c r="AD12" i="1477"/>
  <c r="C9" i="16" s="1"/>
  <c r="AD13" i="1477"/>
  <c r="AD19" i="1477"/>
  <c r="AD20" i="1477"/>
  <c r="AD16" i="1477"/>
  <c r="K23" i="1477"/>
  <c r="AD10" i="1477"/>
  <c r="AD6" i="1477"/>
  <c r="M11" i="1477"/>
  <c r="M15" i="1477"/>
  <c r="M18" i="1477"/>
  <c r="M22" i="1477"/>
  <c r="AB22" i="1477"/>
  <c r="O11" i="1477"/>
  <c r="O15" i="1477"/>
  <c r="M17" i="1477"/>
  <c r="AB17" i="1477"/>
  <c r="AD17" i="1477" s="1"/>
  <c r="O18" i="1477"/>
  <c r="M21" i="1477"/>
  <c r="AB21" i="1477"/>
  <c r="AD21" i="1477" s="1"/>
  <c r="O22" i="1477"/>
  <c r="M10" i="1477"/>
  <c r="P11" i="1477"/>
  <c r="AC11" i="1477" s="1"/>
  <c r="P15" i="1477"/>
  <c r="AC15" i="1477" s="1"/>
  <c r="P18" i="1477"/>
  <c r="AC18" i="1477" s="1"/>
  <c r="L23" i="1477"/>
  <c r="O23" i="1477" s="1"/>
  <c r="B18" i="16"/>
  <c r="AG18" i="16" s="1"/>
  <c r="B17" i="16"/>
  <c r="AG17" i="16" s="1"/>
  <c r="B16" i="16"/>
  <c r="B15" i="16"/>
  <c r="AG15" i="16" s="1"/>
  <c r="B14" i="16"/>
  <c r="B13" i="16"/>
  <c r="B12" i="16"/>
  <c r="B11" i="16"/>
  <c r="AG11" i="16" s="1"/>
  <c r="B10" i="16"/>
  <c r="AG10" i="16" s="1"/>
  <c r="B9" i="16"/>
  <c r="AG9" i="16" s="1"/>
  <c r="B8" i="16"/>
  <c r="AG8" i="16" s="1"/>
  <c r="B7" i="16"/>
  <c r="AG7" i="16" s="1"/>
  <c r="B6" i="16"/>
  <c r="AG6" i="16" s="1"/>
  <c r="B5" i="16"/>
  <c r="AG5" i="16" s="1"/>
  <c r="B4" i="16"/>
  <c r="AG4" i="16" s="1"/>
  <c r="B3" i="16"/>
  <c r="AG3" i="16" s="1"/>
  <c r="AG16" i="16"/>
  <c r="AG14" i="16"/>
  <c r="AG13" i="16"/>
  <c r="AG12" i="16"/>
  <c r="AE21" i="1478" l="1"/>
  <c r="AE13" i="1478"/>
  <c r="AE15" i="1478"/>
  <c r="AE6" i="1478"/>
  <c r="AE20" i="1478"/>
  <c r="AE16" i="1478"/>
  <c r="AE10" i="1478"/>
  <c r="AE7" i="1478"/>
  <c r="AE18" i="1478"/>
  <c r="AE17" i="1478"/>
  <c r="AE19" i="1478"/>
  <c r="AE8" i="1478"/>
  <c r="AE11" i="1478"/>
  <c r="AE14" i="1478"/>
  <c r="AE9" i="1478"/>
  <c r="AD22" i="1477"/>
  <c r="AD15" i="1477"/>
  <c r="M23" i="1477"/>
  <c r="AB23" i="1477"/>
  <c r="AD18" i="1477"/>
  <c r="AD11" i="1477"/>
  <c r="P23" i="1477"/>
  <c r="AC23" i="1477"/>
  <c r="L24" i="1476"/>
  <c r="L23" i="1476"/>
  <c r="AF22" i="1476"/>
  <c r="AB22" i="1476"/>
  <c r="Q22" i="1476"/>
  <c r="P22" i="1476" s="1"/>
  <c r="AC22" i="1476" s="1"/>
  <c r="O22" i="1476"/>
  <c r="M22" i="1476"/>
  <c r="K22" i="1476"/>
  <c r="K21" i="1476"/>
  <c r="L19" i="1476"/>
  <c r="K19" i="1476" s="1"/>
  <c r="L18" i="1476"/>
  <c r="K18" i="1476" s="1"/>
  <c r="L16" i="1476"/>
  <c r="K16" i="1476" s="1"/>
  <c r="AF16" i="1476"/>
  <c r="Q16" i="1476"/>
  <c r="P16" i="1476" s="1"/>
  <c r="AC16" i="1476" s="1"/>
  <c r="K15" i="1476"/>
  <c r="L14" i="1476"/>
  <c r="K14" i="1476" s="1"/>
  <c r="L13" i="1476"/>
  <c r="K13" i="1476"/>
  <c r="L12" i="1476"/>
  <c r="K12" i="1476"/>
  <c r="AF12" i="1476"/>
  <c r="Q12" i="1476"/>
  <c r="P12" i="1476" s="1"/>
  <c r="AC12" i="1476" s="1"/>
  <c r="L11" i="1476"/>
  <c r="K11" i="1476"/>
  <c r="L10" i="1476"/>
  <c r="K10" i="1476"/>
  <c r="AF10" i="1476"/>
  <c r="AB10" i="1476"/>
  <c r="Q10" i="1476"/>
  <c r="P10" i="1476" s="1"/>
  <c r="AC10" i="1476" s="1"/>
  <c r="O10" i="1476"/>
  <c r="M10" i="1476"/>
  <c r="K9" i="1476"/>
  <c r="AD23" i="1477" l="1"/>
  <c r="AB16" i="1476"/>
  <c r="M16" i="1476"/>
  <c r="O16" i="1476"/>
  <c r="AD16" i="1476" s="1"/>
  <c r="AD22" i="1476"/>
  <c r="M12" i="1476"/>
  <c r="AB12" i="1476"/>
  <c r="O12" i="1476"/>
  <c r="AD10" i="1476"/>
  <c r="K24" i="1476"/>
  <c r="K23" i="1476"/>
  <c r="K20" i="1476"/>
  <c r="K8" i="1476"/>
  <c r="AE13" i="1477" l="1"/>
  <c r="AE14" i="1477"/>
  <c r="AE18" i="1477"/>
  <c r="AE21" i="1477"/>
  <c r="AE8" i="1477"/>
  <c r="AE22" i="1477"/>
  <c r="AE10" i="1477"/>
  <c r="AE12" i="1477"/>
  <c r="AE7" i="1477"/>
  <c r="AE17" i="1477"/>
  <c r="AE16" i="1477"/>
  <c r="AE11" i="1477"/>
  <c r="AE15" i="1477"/>
  <c r="AE9" i="1477"/>
  <c r="AE6" i="1477"/>
  <c r="AE19" i="1477"/>
  <c r="AE20" i="1477"/>
  <c r="AD12" i="1476"/>
  <c r="AF23" i="1476" l="1"/>
  <c r="Q23" i="1476"/>
  <c r="P23" i="1476" s="1"/>
  <c r="AC23" i="1476" s="1"/>
  <c r="M23" i="1476"/>
  <c r="AB23" i="1476"/>
  <c r="O15" i="1476"/>
  <c r="O13" i="1476"/>
  <c r="AB9" i="1476"/>
  <c r="A78" i="1476"/>
  <c r="A79" i="1476" s="1"/>
  <c r="A80" i="1476" s="1"/>
  <c r="A81" i="1476" s="1"/>
  <c r="A82" i="1476" s="1"/>
  <c r="A83" i="1476" s="1"/>
  <c r="A84" i="1476" s="1"/>
  <c r="A85" i="1476" s="1"/>
  <c r="AF64" i="1476"/>
  <c r="AF63" i="1476"/>
  <c r="AF66" i="1476" s="1"/>
  <c r="AA25" i="1476"/>
  <c r="Z25" i="1476"/>
  <c r="Y25" i="1476"/>
  <c r="X25" i="1476"/>
  <c r="W25" i="1476"/>
  <c r="V25" i="1476"/>
  <c r="U25" i="1476"/>
  <c r="T25" i="1476"/>
  <c r="S25" i="1476"/>
  <c r="R25" i="1476"/>
  <c r="N25" i="1476"/>
  <c r="J25" i="1476"/>
  <c r="I25" i="1476"/>
  <c r="AF24" i="1476"/>
  <c r="Q24" i="1476"/>
  <c r="O24" i="1476"/>
  <c r="AF21" i="1476"/>
  <c r="Q21" i="1476"/>
  <c r="P21" i="1476" s="1"/>
  <c r="AC21" i="1476" s="1"/>
  <c r="O21" i="1476"/>
  <c r="AB21" i="1476"/>
  <c r="AF20" i="1476"/>
  <c r="AB20" i="1476"/>
  <c r="Q20" i="1476"/>
  <c r="O20" i="1476"/>
  <c r="M20" i="1476"/>
  <c r="AF19" i="1476"/>
  <c r="Q19" i="1476"/>
  <c r="O19" i="1476"/>
  <c r="AF18" i="1476"/>
  <c r="Q18" i="1476"/>
  <c r="P18" i="1476" s="1"/>
  <c r="AC18" i="1476" s="1"/>
  <c r="AB18" i="1476"/>
  <c r="AF17" i="1476"/>
  <c r="AB17" i="1476"/>
  <c r="Q17" i="1476"/>
  <c r="P17" i="1476"/>
  <c r="AC17" i="1476" s="1"/>
  <c r="O17" i="1476"/>
  <c r="M17" i="1476"/>
  <c r="K17" i="1476"/>
  <c r="AF15" i="1476"/>
  <c r="Q15" i="1476"/>
  <c r="AF14" i="1476"/>
  <c r="Q14" i="1476"/>
  <c r="P14" i="1476" s="1"/>
  <c r="AC14" i="1476" s="1"/>
  <c r="AB14" i="1476"/>
  <c r="AF13" i="1476"/>
  <c r="AB13" i="1476"/>
  <c r="Q13" i="1476"/>
  <c r="P13" i="1476" s="1"/>
  <c r="AC13" i="1476" s="1"/>
  <c r="M13" i="1476"/>
  <c r="AF11" i="1476"/>
  <c r="Q11" i="1476"/>
  <c r="AB11" i="1476"/>
  <c r="AF9" i="1476"/>
  <c r="Q9" i="1476"/>
  <c r="P9" i="1476" s="1"/>
  <c r="AC9" i="1476" s="1"/>
  <c r="O9" i="1476"/>
  <c r="AF8" i="1476"/>
  <c r="AB8" i="1476"/>
  <c r="Q8" i="1476"/>
  <c r="O8" i="1476"/>
  <c r="AF7" i="1476"/>
  <c r="AB7" i="1476"/>
  <c r="Q7" i="1476"/>
  <c r="P7" i="1476"/>
  <c r="AC7" i="1476" s="1"/>
  <c r="O7" i="1476"/>
  <c r="M7" i="1476"/>
  <c r="K7" i="1476"/>
  <c r="AF6" i="1476"/>
  <c r="AB6" i="1476"/>
  <c r="Q6" i="1476"/>
  <c r="P6" i="1476"/>
  <c r="AC6" i="1476" s="1"/>
  <c r="O6" i="1476"/>
  <c r="M6" i="1476"/>
  <c r="K6" i="1476"/>
  <c r="P8" i="1476" l="1"/>
  <c r="AC8" i="1476" s="1"/>
  <c r="O23" i="1476"/>
  <c r="AD23" i="1476" s="1"/>
  <c r="P11" i="1476"/>
  <c r="AC11" i="1476" s="1"/>
  <c r="P20" i="1476"/>
  <c r="AC20" i="1476" s="1"/>
  <c r="AD20" i="1476" s="1"/>
  <c r="Q25" i="1476"/>
  <c r="AD13" i="1476"/>
  <c r="AD7" i="1476"/>
  <c r="M8" i="1476"/>
  <c r="AD8" i="1476"/>
  <c r="AD17" i="1476"/>
  <c r="AD9" i="1476"/>
  <c r="AD21" i="1476"/>
  <c r="AD6" i="1476"/>
  <c r="M19" i="1476"/>
  <c r="AB24" i="1476"/>
  <c r="L25" i="1476"/>
  <c r="O25" i="1476" s="1"/>
  <c r="M9" i="1476"/>
  <c r="O11" i="1476"/>
  <c r="K25" i="1476"/>
  <c r="O14" i="1476"/>
  <c r="AD14" i="1476" s="1"/>
  <c r="P15" i="1476"/>
  <c r="AC15" i="1476" s="1"/>
  <c r="O18" i="1476"/>
  <c r="AD18" i="1476" s="1"/>
  <c r="P19" i="1476"/>
  <c r="AC19" i="1476" s="1"/>
  <c r="M21" i="1476"/>
  <c r="P24" i="1476"/>
  <c r="AC24" i="1476" s="1"/>
  <c r="M15" i="1476"/>
  <c r="AB15" i="1476"/>
  <c r="AB19" i="1476"/>
  <c r="M24" i="1476"/>
  <c r="M11" i="1476"/>
  <c r="M14" i="1476"/>
  <c r="M18" i="1476"/>
  <c r="AD11" i="1476" l="1"/>
  <c r="AD15" i="1476"/>
  <c r="M25" i="1476"/>
  <c r="AB25" i="1476"/>
  <c r="AD24" i="1476"/>
  <c r="P25" i="1476"/>
  <c r="AD19" i="1476"/>
  <c r="AC25" i="1476"/>
  <c r="AD25" i="1476" l="1"/>
  <c r="AE22" i="1476" s="1"/>
  <c r="AE12" i="1476" l="1"/>
  <c r="AE16" i="1476"/>
  <c r="AE14" i="1476"/>
  <c r="AE10" i="1476"/>
  <c r="AE15" i="1476"/>
  <c r="AE13" i="1476"/>
  <c r="AE20" i="1476"/>
  <c r="AE24" i="1476"/>
  <c r="AE21" i="1476"/>
  <c r="AE6" i="1476"/>
  <c r="AE23" i="1476"/>
  <c r="AE8" i="1476"/>
  <c r="AE19" i="1476"/>
  <c r="AE18" i="1476"/>
  <c r="AE17" i="1476"/>
  <c r="AE7" i="1476"/>
  <c r="AE11" i="1476"/>
  <c r="AE9" i="1476"/>
</calcChain>
</file>

<file path=xl/sharedStrings.xml><?xml version="1.0" encoding="utf-8"?>
<sst xmlns="http://schemas.openxmlformats.org/spreadsheetml/2006/main" count="5352" uniqueCount="561">
  <si>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</si>
  <si>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</si>
  <si>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</si>
  <si>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</si>
  <si>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</si>
  <si>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</si>
  <si>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</si>
  <si>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</si>
  <si>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</si>
  <si>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</si>
  <si>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</si>
  <si>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</si>
  <si>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</si>
  <si>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</si>
  <si>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</si>
  <si>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</si>
  <si>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</si>
  <si>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</si>
  <si>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</si>
  <si>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</si>
  <si>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</si>
  <si>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</si>
  <si>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</si>
  <si>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</si>
  <si>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</si>
  <si>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</si>
  <si>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</si>
  <si>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</si>
  <si>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</si>
  <si>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</si>
  <si>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</si>
  <si>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</si>
  <si>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</si>
  <si>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</si>
  <si>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</si>
  <si>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</si>
  <si>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</si>
  <si>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</si>
  <si>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</si>
  <si>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</si>
  <si>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</si>
  <si>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</si>
  <si>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</si>
  <si>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</si>
  <si>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</si>
  <si>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</si>
  <si>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</si>
  <si>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</si>
  <si>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</si>
  <si>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</si>
  <si>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</si>
  <si>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</si>
  <si>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</si>
  <si>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</si>
  <si>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</si>
  <si>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</si>
  <si>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</si>
  <si>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</si>
  <si>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</si>
  <si>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</si>
  <si>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</si>
  <si>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</si>
  <si>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</si>
  <si>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</si>
  <si>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</si>
  <si>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</si>
  <si>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</si>
  <si>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</si>
  <si>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</si>
  <si>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</si>
  <si>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</si>
  <si>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</si>
  <si>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</si>
  <si>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</si>
  <si>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</si>
  <si>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</si>
  <si>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</si>
  <si>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</si>
  <si>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</si>
  <si>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</si>
  <si>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</si>
  <si>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</si>
  <si>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</si>
  <si>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</si>
  <si>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</si>
  <si>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</si>
  <si>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</si>
  <si>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</si>
  <si>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</si>
  <si>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</si>
  <si>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</si>
  <si>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</si>
  <si>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</si>
  <si>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</si>
  <si>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</si>
  <si>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</si>
  <si>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</si>
  <si>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</si>
  <si>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</si>
  <si>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</si>
  <si>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</si>
  <si>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</si>
  <si>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</si>
  <si>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</si>
  <si>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</si>
  <si>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</si>
  <si>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</si>
  <si>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</si>
  <si>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</si>
  <si>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</si>
  <si>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</si>
  <si>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</si>
  <si>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</si>
  <si>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</si>
  <si>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</si>
  <si>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</si>
  <si>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</si>
  <si>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</si>
  <si>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</si>
  <si>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</si>
  <si>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미성형</t>
    <phoneticPr fontId="2" type="noConversion"/>
  </si>
  <si>
    <t>발주분양산</t>
    <phoneticPr fontId="2" type="noConversion"/>
  </si>
  <si>
    <t>SGF2033</t>
    <phoneticPr fontId="2" type="noConversion"/>
  </si>
  <si>
    <t>STOPPER</t>
    <phoneticPr fontId="2" type="noConversion"/>
  </si>
  <si>
    <t>SF2255</t>
    <phoneticPr fontId="2" type="noConversion"/>
  </si>
  <si>
    <t>SST</t>
    <phoneticPr fontId="2" type="noConversion"/>
  </si>
  <si>
    <t>ACTUATOR</t>
    <phoneticPr fontId="2" type="noConversion"/>
  </si>
  <si>
    <t>수리후양산</t>
    <phoneticPr fontId="2" type="noConversion"/>
  </si>
  <si>
    <t>SGF2030</t>
    <phoneticPr fontId="2" type="noConversion"/>
  </si>
  <si>
    <t>8</t>
    <phoneticPr fontId="2" type="noConversion"/>
  </si>
  <si>
    <t>A2</t>
    <phoneticPr fontId="2" type="noConversion"/>
  </si>
  <si>
    <t>NEXT</t>
    <phoneticPr fontId="2" type="noConversion"/>
  </si>
  <si>
    <t>13</t>
    <phoneticPr fontId="2" type="noConversion"/>
  </si>
  <si>
    <t>COVER</t>
    <phoneticPr fontId="2" type="noConversion"/>
  </si>
  <si>
    <t>7</t>
    <phoneticPr fontId="2" type="noConversion"/>
  </si>
  <si>
    <t>JD4901</t>
    <phoneticPr fontId="2" type="noConversion"/>
  </si>
  <si>
    <t>신작</t>
    <phoneticPr fontId="2" type="noConversion"/>
  </si>
  <si>
    <t>7301</t>
    <phoneticPr fontId="2" type="noConversion"/>
  </si>
  <si>
    <t>72P</t>
    <phoneticPr fontId="2" type="noConversion"/>
  </si>
  <si>
    <t>15</t>
    <phoneticPr fontId="2" type="noConversion"/>
  </si>
  <si>
    <t>AMM0890A-KAB-R1</t>
    <phoneticPr fontId="2" type="noConversion"/>
  </si>
  <si>
    <t>TST</t>
    <phoneticPr fontId="2" type="noConversion"/>
  </si>
  <si>
    <t>사출물 B</t>
    <phoneticPr fontId="2" type="noConversion"/>
  </si>
  <si>
    <t>KR6197-D475PA</t>
    <phoneticPr fontId="2" type="noConversion"/>
  </si>
  <si>
    <t>KR6197AB841CB</t>
    <phoneticPr fontId="2" type="noConversion"/>
  </si>
  <si>
    <t>8301</t>
    <phoneticPr fontId="2" type="noConversion"/>
  </si>
  <si>
    <t>BODY/BOTTOM</t>
    <phoneticPr fontId="2" type="noConversion"/>
  </si>
  <si>
    <t>K-JR01933-B01AZA</t>
    <phoneticPr fontId="2" type="noConversion"/>
  </si>
  <si>
    <r>
      <t>2019년 07월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</si>
  <si>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8D</t>
    <phoneticPr fontId="2" type="noConversion"/>
  </si>
  <si>
    <t>SGF2050</t>
    <phoneticPr fontId="2" type="noConversion"/>
  </si>
  <si>
    <t>LEAD GUIDE</t>
    <phoneticPr fontId="2" type="noConversion"/>
  </si>
  <si>
    <t>K-JR01933-G01AWA</t>
    <phoneticPr fontId="2" type="noConversion"/>
  </si>
  <si>
    <t>K-JR01933-F01AWA</t>
    <phoneticPr fontId="2" type="noConversion"/>
  </si>
  <si>
    <t>LATCH</t>
    <phoneticPr fontId="2" type="noConversion"/>
  </si>
  <si>
    <t>K-JR01933-E01AWA</t>
    <phoneticPr fontId="2" type="noConversion"/>
  </si>
  <si>
    <t>AMB09D7B-KAA-R1</t>
    <phoneticPr fontId="2" type="noConversion"/>
  </si>
  <si>
    <t>메카텍</t>
    <phoneticPr fontId="2" type="noConversion"/>
  </si>
  <si>
    <t>SF2255 I/V</t>
    <phoneticPr fontId="2" type="noConversion"/>
  </si>
  <si>
    <t>1D</t>
    <phoneticPr fontId="2" type="noConversion"/>
  </si>
  <si>
    <t>AMB0165B-KAA-R1</t>
    <phoneticPr fontId="2" type="noConversion"/>
  </si>
  <si>
    <t>RJR</t>
    <phoneticPr fontId="2" type="noConversion"/>
  </si>
  <si>
    <t>LID</t>
    <phoneticPr fontId="2" type="noConversion"/>
  </si>
  <si>
    <t>LID-0089</t>
    <phoneticPr fontId="2" type="noConversion"/>
  </si>
  <si>
    <t>S475 N/P</t>
    <phoneticPr fontId="2" type="noConversion"/>
  </si>
  <si>
    <t>ADAPTER</t>
    <phoneticPr fontId="2" type="noConversion"/>
  </si>
  <si>
    <t>07월 호기별 가동현황</t>
    <phoneticPr fontId="2" type="noConversion"/>
  </si>
  <si>
    <t>전일 ISSUE 사항(01일)</t>
    <phoneticPr fontId="2" type="noConversion"/>
  </si>
  <si>
    <t>4</t>
    <phoneticPr fontId="2" type="noConversion"/>
  </si>
  <si>
    <t>K-JR01933-F</t>
    <phoneticPr fontId="2" type="noConversion"/>
  </si>
  <si>
    <t>발주분양산-&gt;휨-&gt;이형제진행</t>
    <phoneticPr fontId="2" type="noConversion"/>
  </si>
  <si>
    <t>5</t>
    <phoneticPr fontId="2" type="noConversion"/>
  </si>
  <si>
    <t>K-JR01933-E</t>
    <phoneticPr fontId="2" type="noConversion"/>
  </si>
  <si>
    <t>발주분양산-&gt;크랙불량</t>
    <phoneticPr fontId="2" type="noConversion"/>
  </si>
  <si>
    <t>AMB09D7B</t>
    <phoneticPr fontId="2" type="noConversion"/>
  </si>
  <si>
    <t>발주분양산-&gt;박힘2회수리</t>
    <phoneticPr fontId="2" type="noConversion"/>
  </si>
  <si>
    <t>8</t>
    <phoneticPr fontId="2" type="noConversion"/>
  </si>
  <si>
    <t>8D</t>
    <phoneticPr fontId="2" type="noConversion"/>
  </si>
  <si>
    <t>13</t>
    <phoneticPr fontId="2" type="noConversion"/>
  </si>
  <si>
    <t>COVER</t>
    <phoneticPr fontId="2" type="noConversion"/>
  </si>
  <si>
    <t>1D</t>
    <phoneticPr fontId="2" type="noConversion"/>
  </si>
  <si>
    <t>발주분양산-&gt;긁힘수리</t>
    <phoneticPr fontId="2" type="noConversion"/>
  </si>
  <si>
    <t>11</t>
    <phoneticPr fontId="2" type="noConversion"/>
  </si>
  <si>
    <t>ADAPTER</t>
    <phoneticPr fontId="2" type="noConversion"/>
  </si>
  <si>
    <t>K-JR01933-E</t>
    <phoneticPr fontId="2" type="noConversion"/>
  </si>
  <si>
    <t>당일 진행 사항(02일)</t>
    <phoneticPr fontId="2" type="noConversion"/>
  </si>
  <si>
    <t>AMB1917D-KAA-R1</t>
    <phoneticPr fontId="2" type="noConversion"/>
  </si>
  <si>
    <t>AMB0233B-KAA-R1</t>
    <phoneticPr fontId="2" type="noConversion"/>
  </si>
  <si>
    <t>AMB1901D-JAA-R2</t>
    <phoneticPr fontId="2" type="noConversion"/>
  </si>
  <si>
    <t>AMB09D8B-KAA-R1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</si>
  <si>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</si>
  <si>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</si>
  <si>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</si>
  <si>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2019년 07월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</si>
  <si>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AMB0347A-KAA-R1</t>
    <phoneticPr fontId="2" type="noConversion"/>
  </si>
  <si>
    <t>SLIDER</t>
    <phoneticPr fontId="2" type="noConversion"/>
  </si>
  <si>
    <t>KR6422AA496YA</t>
    <phoneticPr fontId="2" type="noConversion"/>
  </si>
  <si>
    <t>SGP2020R</t>
    <phoneticPr fontId="2" type="noConversion"/>
  </si>
  <si>
    <t>BLOCK</t>
    <phoneticPr fontId="2" type="noConversion"/>
  </si>
  <si>
    <t>AMB1901D-JAA-R1</t>
    <phoneticPr fontId="2" type="noConversion"/>
  </si>
  <si>
    <t>전일 ISSUE 사항(02일)</t>
    <phoneticPr fontId="2" type="noConversion"/>
  </si>
  <si>
    <t>6</t>
    <phoneticPr fontId="2" type="noConversion"/>
  </si>
  <si>
    <t>발주분양산-&gt;코아파손2회-&gt;코아파손정지</t>
    <phoneticPr fontId="2" type="noConversion"/>
  </si>
  <si>
    <t>발주분양산-&gt;BURR-&gt;코아파손정지</t>
    <phoneticPr fontId="2" type="noConversion"/>
  </si>
  <si>
    <t>당일 진행 사항(03일)</t>
    <phoneticPr fontId="2" type="noConversion"/>
  </si>
  <si>
    <t>BR88-127A1-1</t>
    <phoneticPr fontId="2" type="noConversion"/>
  </si>
  <si>
    <t>HICON</t>
    <phoneticPr fontId="2" type="noConversion"/>
  </si>
  <si>
    <t>2</t>
    <phoneticPr fontId="2" type="noConversion"/>
  </si>
  <si>
    <t>88P</t>
    <phoneticPr fontId="2" type="noConversion"/>
  </si>
  <si>
    <t>KR6182-A308YA</t>
    <phoneticPr fontId="2" type="noConversion"/>
  </si>
  <si>
    <t>AMB09F4A-KAA-R1</t>
    <phoneticPr fontId="2" type="noConversion"/>
  </si>
  <si>
    <t>형상이상불량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</si>
  <si>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</si>
  <si>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</si>
  <si>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</si>
  <si>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2019년 07월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</si>
  <si>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PUSHER</t>
    <phoneticPr fontId="2" type="noConversion"/>
  </si>
  <si>
    <t>HRCS-003C15/16</t>
    <phoneticPr fontId="2" type="noConversion"/>
  </si>
  <si>
    <t>SGF2041</t>
    <phoneticPr fontId="2" type="noConversion"/>
  </si>
  <si>
    <t>LATCH P</t>
    <phoneticPr fontId="2" type="noConversion"/>
  </si>
  <si>
    <t>AYE</t>
    <phoneticPr fontId="2" type="noConversion"/>
  </si>
  <si>
    <t>NP504-556-126#LB-1</t>
    <phoneticPr fontId="2" type="noConversion"/>
  </si>
  <si>
    <t>SGP2030R N/P</t>
    <phoneticPr fontId="2" type="noConversion"/>
  </si>
  <si>
    <t>전일 ISSUE 사항(03일)</t>
    <phoneticPr fontId="2" type="noConversion"/>
  </si>
  <si>
    <t>발주분양산-&gt;오조립수리</t>
    <phoneticPr fontId="2" type="noConversion"/>
  </si>
  <si>
    <t>발주분양산-&gt;BURR수리</t>
    <phoneticPr fontId="2" type="noConversion"/>
  </si>
  <si>
    <t>HRCS-03C15H1(16)</t>
    <phoneticPr fontId="2" type="noConversion"/>
  </si>
  <si>
    <t>L/P</t>
    <phoneticPr fontId="2" type="noConversion"/>
  </si>
  <si>
    <t>12</t>
    <phoneticPr fontId="2" type="noConversion"/>
  </si>
  <si>
    <t>코아파손수리후양산-&gt;코아파손정지</t>
    <phoneticPr fontId="2" type="noConversion"/>
  </si>
  <si>
    <t>14</t>
    <phoneticPr fontId="2" type="noConversion"/>
  </si>
  <si>
    <t>당일 진행 사항(04일)</t>
    <phoneticPr fontId="2" type="noConversion"/>
  </si>
  <si>
    <t>세척후양산</t>
    <phoneticPr fontId="2" type="noConversion"/>
  </si>
  <si>
    <t>SAMPLE 진행 사항(03일)</t>
    <phoneticPr fontId="2" type="noConversion"/>
  </si>
  <si>
    <t>AMB39L1A(B)-KAA-R1</t>
    <phoneticPr fontId="2" type="noConversion"/>
  </si>
  <si>
    <t>SPACER 1/2</t>
    <phoneticPr fontId="2" type="noConversion"/>
  </si>
  <si>
    <t>SGP2030R</t>
    <phoneticPr fontId="2" type="noConversion"/>
  </si>
  <si>
    <t>AMB0471A-KAA-R1</t>
    <phoneticPr fontId="2" type="noConversion"/>
  </si>
  <si>
    <t>BURR 2회진행</t>
    <phoneticPr fontId="2" type="noConversion"/>
  </si>
  <si>
    <t>AMB20E3A-KAA-R1</t>
    <phoneticPr fontId="2" type="noConversion"/>
  </si>
  <si>
    <t>F/A</t>
    <phoneticPr fontId="2" type="noConversion"/>
  </si>
  <si>
    <t>형상이상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</si>
  <si>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</si>
  <si>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</si>
  <si>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2019년 07월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</si>
  <si>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</si>
  <si>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</si>
  <si>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</si>
  <si>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MPT</t>
    <phoneticPr fontId="2" type="noConversion"/>
  </si>
  <si>
    <t>MPT-02</t>
    <phoneticPr fontId="2" type="noConversion"/>
  </si>
  <si>
    <t>PBT</t>
    <phoneticPr fontId="2" type="noConversion"/>
  </si>
  <si>
    <t>LEAD IN</t>
    <phoneticPr fontId="2" type="noConversion"/>
  </si>
  <si>
    <t>K-JR01920-M01ABA</t>
    <phoneticPr fontId="2" type="noConversion"/>
  </si>
  <si>
    <t>SGF2030 N/P</t>
    <phoneticPr fontId="2" type="noConversion"/>
  </si>
  <si>
    <t>전일 ISSUE 사항(04일)</t>
    <phoneticPr fontId="2" type="noConversion"/>
  </si>
  <si>
    <t>AMB0114H-KAA-R1</t>
    <phoneticPr fontId="2" type="noConversion"/>
  </si>
  <si>
    <t>세척후양산-&gt;BURR</t>
    <phoneticPr fontId="2" type="noConversion"/>
  </si>
  <si>
    <t>발주분양산-&gt;설비이상정지</t>
    <phoneticPr fontId="2" type="noConversion"/>
  </si>
  <si>
    <t>당일 진행 사항(05일)</t>
    <phoneticPr fontId="2" type="noConversion"/>
  </si>
  <si>
    <t>K-JR01920-H432ZAZ</t>
    <phoneticPr fontId="2" type="noConversion"/>
  </si>
  <si>
    <t>세척후양산-&gt;BURR정지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</si>
  <si>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</si>
  <si>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</si>
  <si>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</si>
  <si>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07월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</si>
  <si>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KR6182-B624CB</t>
    <phoneticPr fontId="2" type="noConversion"/>
  </si>
  <si>
    <t>K-JR01920-H432AZA</t>
    <phoneticPr fontId="2" type="noConversion"/>
  </si>
  <si>
    <t>AM0241A-K-R2</t>
    <phoneticPr fontId="2" type="noConversion"/>
  </si>
  <si>
    <t>전일 ISSUE 사항(05일)</t>
    <phoneticPr fontId="2" type="noConversion"/>
  </si>
  <si>
    <t>BURR</t>
    <phoneticPr fontId="2" type="noConversion"/>
  </si>
  <si>
    <t>BURR2회수리</t>
    <phoneticPr fontId="2" type="noConversion"/>
  </si>
  <si>
    <t>발주분양산-&gt;상측박힘2회수리</t>
    <phoneticPr fontId="2" type="noConversion"/>
  </si>
  <si>
    <t>당일 진행 사항(06일)</t>
    <phoneticPr fontId="2" type="noConversion"/>
  </si>
  <si>
    <t>9</t>
    <phoneticPr fontId="2" type="noConversion"/>
  </si>
  <si>
    <t>설비이동양산</t>
    <phoneticPr fontId="2" type="noConversion"/>
  </si>
  <si>
    <t>KR6182-C624TB</t>
    <phoneticPr fontId="2" type="noConversion"/>
  </si>
  <si>
    <t>KR6414-A291YA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</si>
  <si>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</si>
  <si>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</si>
  <si>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</si>
  <si>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2019년 07월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</si>
  <si>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전일 ISSUE 사항(06일)</t>
    <phoneticPr fontId="2" type="noConversion"/>
  </si>
  <si>
    <t>설비이동후양산-&gt;설비이상정지</t>
    <phoneticPr fontId="2" type="noConversion"/>
  </si>
  <si>
    <t>밀핀파손정지</t>
    <phoneticPr fontId="2" type="noConversion"/>
  </si>
  <si>
    <t>발주분양산-&gt;BURR수리후양산</t>
    <phoneticPr fontId="2" type="noConversion"/>
  </si>
  <si>
    <t>KR6422AB589CA</t>
    <phoneticPr fontId="2" type="noConversion"/>
  </si>
  <si>
    <t>당일 진행 사항(08일)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</si>
  <si>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</si>
  <si>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</si>
  <si>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</si>
  <si>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2019년 07월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</si>
  <si>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KR6414-D414PA</t>
    <phoneticPr fontId="2" type="noConversion"/>
  </si>
  <si>
    <t>3</t>
    <phoneticPr fontId="2" type="noConversion"/>
  </si>
  <si>
    <t>수리후양산-&gt;코아파손정지</t>
    <phoneticPr fontId="2" type="noConversion"/>
  </si>
  <si>
    <t>발주분양산-&gt;코아파손수리-&gt;코아파손정지</t>
    <phoneticPr fontId="2" type="noConversion"/>
  </si>
  <si>
    <t>코아파손정지</t>
    <phoneticPr fontId="2" type="noConversion"/>
  </si>
  <si>
    <t>당일 진행 사항(09일)</t>
    <phoneticPr fontId="2" type="noConversion"/>
  </si>
  <si>
    <t>전일 ISSUE 사항(08일)</t>
    <phoneticPr fontId="2" type="noConversion"/>
  </si>
  <si>
    <t>발주분양산-&gt;세척</t>
    <phoneticPr fontId="2" type="noConversion"/>
  </si>
  <si>
    <t>10</t>
    <phoneticPr fontId="2" type="noConversion"/>
  </si>
  <si>
    <t>NP612-316-003#LB</t>
    <phoneticPr fontId="2" type="noConversion"/>
  </si>
  <si>
    <t>NP612-352-002#IN-B</t>
    <phoneticPr fontId="2" type="noConversion"/>
  </si>
  <si>
    <t>SAMPLE 진행 사항(08일)</t>
    <phoneticPr fontId="2" type="noConversion"/>
  </si>
  <si>
    <t>AMB0354A-KAA-R1</t>
    <phoneticPr fontId="2" type="noConversion"/>
  </si>
  <si>
    <t>AMB20E4A-KAA-R1</t>
    <phoneticPr fontId="2" type="noConversion"/>
  </si>
  <si>
    <t>뜯김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</si>
  <si>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</si>
  <si>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</si>
  <si>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07월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</si>
  <si>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AMB0341A-KAA-R5</t>
    <phoneticPr fontId="2" type="noConversion"/>
  </si>
  <si>
    <t>전일 ISSUE 사항(09일)</t>
    <phoneticPr fontId="2" type="noConversion"/>
  </si>
  <si>
    <t>발주분양산-&gt;밀핀수리</t>
    <phoneticPr fontId="2" type="noConversion"/>
  </si>
  <si>
    <t>당일 진행 사항(10일)</t>
    <phoneticPr fontId="2" type="noConversion"/>
  </si>
  <si>
    <t>22P</t>
    <phoneticPr fontId="2" type="noConversion"/>
  </si>
  <si>
    <t>AMB0157C-KAA-R1</t>
    <phoneticPr fontId="2" type="noConversion"/>
  </si>
  <si>
    <t>SAMPLE 진행 사항(09일)</t>
    <phoneticPr fontId="2" type="noConversion"/>
  </si>
  <si>
    <t>뜯김2회진행</t>
    <phoneticPr fontId="2" type="noConversion"/>
  </si>
  <si>
    <t>AMB09E5A-KAA-R1</t>
    <phoneticPr fontId="2" type="noConversion"/>
  </si>
  <si>
    <t>형상이상2회진행</t>
    <phoneticPr fontId="2" type="noConversion"/>
  </si>
  <si>
    <t>AMB0177A-KAA-R1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</si>
  <si>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</si>
  <si>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</si>
  <si>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07월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</si>
  <si>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KR6182-D624PA</t>
    <phoneticPr fontId="2" type="noConversion"/>
  </si>
  <si>
    <t>BP22-127A1</t>
    <phoneticPr fontId="2" type="noConversion"/>
  </si>
  <si>
    <t>전일 ISSUE 사항(10일)</t>
    <phoneticPr fontId="2" type="noConversion"/>
  </si>
  <si>
    <t>코아파손수리후양산</t>
    <phoneticPr fontId="2" type="noConversion"/>
  </si>
  <si>
    <t>발주분양산-&gt;밀핀BURR정지</t>
    <phoneticPr fontId="2" type="noConversion"/>
  </si>
  <si>
    <t>단차수리</t>
    <phoneticPr fontId="2" type="noConversion"/>
  </si>
  <si>
    <t>당일 진행 사항(11일)</t>
    <phoneticPr fontId="2" type="noConversion"/>
  </si>
  <si>
    <t>SAMPLE 진행 사항(10일)</t>
    <phoneticPr fontId="2" type="noConversion"/>
  </si>
  <si>
    <t>AMB0167A-KAA-R1</t>
    <phoneticPr fontId="2" type="noConversion"/>
  </si>
  <si>
    <t>수정</t>
    <phoneticPr fontId="2" type="noConversion"/>
  </si>
  <si>
    <t>SPACER 1.2</t>
    <phoneticPr fontId="2" type="noConversion"/>
  </si>
  <si>
    <t>K-JR01933-G01AXX</t>
    <phoneticPr fontId="2" type="noConversion"/>
  </si>
  <si>
    <t>262BASE</t>
    <phoneticPr fontId="2" type="noConversion"/>
  </si>
  <si>
    <t>AMM0899A-KAB-R1</t>
    <phoneticPr fontId="2" type="noConversion"/>
  </si>
  <si>
    <t>원재료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</si>
  <si>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</si>
  <si>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</si>
  <si>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2019년 07월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</si>
  <si>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K-JR01918-B484AWA</t>
    <phoneticPr fontId="2" type="noConversion"/>
  </si>
  <si>
    <t>전일 ISSUE 사항(11일)</t>
    <phoneticPr fontId="2" type="noConversion"/>
  </si>
  <si>
    <t>BURR수리</t>
    <phoneticPr fontId="2" type="noConversion"/>
  </si>
  <si>
    <t>수리후양산-&gt;BURR 1C막음</t>
    <phoneticPr fontId="2" type="noConversion"/>
  </si>
  <si>
    <t>발주분양산-&gt;하측박힘정지</t>
    <phoneticPr fontId="2" type="noConversion"/>
  </si>
  <si>
    <t>당일 진행 사항(12일)</t>
    <phoneticPr fontId="2" type="noConversion"/>
  </si>
  <si>
    <t>NP595-352-012#LB</t>
    <phoneticPr fontId="2" type="noConversion"/>
  </si>
  <si>
    <t>SAMPLE 진행 사항(11일)</t>
    <phoneticPr fontId="2" type="noConversion"/>
  </si>
  <si>
    <t>AMB0237B-KAA-R1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</si>
  <si>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</si>
  <si>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</si>
  <si>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2019년 07월 12일(주간)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</si>
  <si>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A1</t>
    <phoneticPr fontId="2" type="noConversion"/>
  </si>
  <si>
    <t>TOP</t>
    <phoneticPr fontId="2" type="noConversion"/>
  </si>
  <si>
    <t>전일 ISSUE 사항(12일)</t>
    <phoneticPr fontId="2" type="noConversion"/>
  </si>
  <si>
    <t>당일 진행 사항(13일)</t>
    <phoneticPr fontId="2" type="noConversion"/>
  </si>
  <si>
    <t>SAMPLE 진행 사항(12일)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</si>
  <si>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</si>
  <si>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</si>
  <si>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2019년 07월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</si>
  <si>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ST/HO</t>
    <phoneticPr fontId="2" type="noConversion"/>
  </si>
  <si>
    <t>K-JR01860-D/H</t>
    <phoneticPr fontId="2" type="noConversion"/>
  </si>
  <si>
    <t>전일 ISSUE 사항(15일)</t>
    <phoneticPr fontId="2" type="noConversion"/>
  </si>
  <si>
    <t>당일 진행 사항(16일)</t>
    <phoneticPr fontId="2" type="noConversion"/>
  </si>
  <si>
    <t>KR6414-B414UA</t>
    <phoneticPr fontId="2" type="noConversion"/>
  </si>
  <si>
    <t>KR6414-F414UA</t>
    <phoneticPr fontId="2" type="noConversion"/>
  </si>
  <si>
    <t>NP595-352-012#IN</t>
    <phoneticPr fontId="2" type="noConversion"/>
  </si>
  <si>
    <t>SAMPLE 진행 사항(15일)</t>
    <phoneticPr fontId="2" type="noConversion"/>
  </si>
  <si>
    <t>AMB07U9A-KAA-R1</t>
    <phoneticPr fontId="2" type="noConversion"/>
  </si>
  <si>
    <t>옵션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</si>
  <si>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</si>
  <si>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</si>
  <si>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07월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</si>
  <si>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KR6414-C414TA</t>
    <phoneticPr fontId="2" type="noConversion"/>
  </si>
  <si>
    <t>전일 ISSUE 사항(16일)</t>
    <phoneticPr fontId="2" type="noConversion"/>
  </si>
  <si>
    <t>발주분양산-&gt;코아파손수리</t>
    <phoneticPr fontId="2" type="noConversion"/>
  </si>
  <si>
    <t>당일 진행 사항(18일)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</si>
  <si>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</si>
  <si>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</si>
  <si>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r>
      <t>2019년 07월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</si>
  <si>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</si>
  <si>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발주분양산-&gt;코아파손정지</t>
    <phoneticPr fontId="2" type="noConversion"/>
  </si>
  <si>
    <t>AMB0160A-KAA-R1</t>
    <phoneticPr fontId="2" type="noConversion"/>
  </si>
  <si>
    <t>HRCS-03C13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</si>
  <si>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</si>
  <si>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</si>
  <si>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</si>
  <si>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07월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</si>
  <si>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KR6414AC414TA</t>
    <phoneticPr fontId="2" type="noConversion"/>
  </si>
  <si>
    <t>FLOATING</t>
    <phoneticPr fontId="2" type="noConversion"/>
  </si>
  <si>
    <t>전일 ISSUE 사항(18일)</t>
    <phoneticPr fontId="2" type="noConversion"/>
  </si>
  <si>
    <t>HOOK박힘정지</t>
    <phoneticPr fontId="2" type="noConversion"/>
  </si>
  <si>
    <t>당일 진행 사항(19일)</t>
    <phoneticPr fontId="2" type="noConversion"/>
  </si>
  <si>
    <t>AMB1922A-KAA-R1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</si>
  <si>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</si>
  <si>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</si>
  <si>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</si>
  <si>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2019년 07월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</si>
  <si>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G3-M-04A</t>
    <phoneticPr fontId="2" type="noConversion"/>
  </si>
  <si>
    <t>전일 ISSUE 사항(19일)</t>
    <phoneticPr fontId="2" type="noConversion"/>
  </si>
  <si>
    <t>코아파손수리-&gt;코아파손정지</t>
    <phoneticPr fontId="2" type="noConversion"/>
  </si>
  <si>
    <t>코아파손수리</t>
    <phoneticPr fontId="2" type="noConversion"/>
  </si>
  <si>
    <t>당일 진행 사항(22일)</t>
    <phoneticPr fontId="2" type="noConversion"/>
  </si>
  <si>
    <t>NP595-362-011#SP</t>
    <phoneticPr fontId="2" type="noConversion"/>
  </si>
  <si>
    <t>AMB0172A-KAA-R1</t>
    <phoneticPr fontId="2" type="noConversion"/>
  </si>
  <si>
    <t>AMB09F5A-KAA-R1</t>
    <phoneticPr fontId="2" type="noConversion"/>
  </si>
  <si>
    <t>SP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</si>
  <si>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</si>
  <si>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</si>
  <si>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</si>
  <si>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2019년 07월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</si>
  <si>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SEPARATOR</t>
    <phoneticPr fontId="2" type="noConversion"/>
  </si>
  <si>
    <t>LOCKER</t>
    <phoneticPr fontId="2" type="noConversion"/>
  </si>
  <si>
    <t>G3-M-03A/02A</t>
    <phoneticPr fontId="2" type="noConversion"/>
  </si>
  <si>
    <t>2*1</t>
    <phoneticPr fontId="2" type="noConversion"/>
  </si>
  <si>
    <t>BOTTOM</t>
    <phoneticPr fontId="2" type="noConversion"/>
  </si>
  <si>
    <t>HR1089-1.0M2</t>
    <phoneticPr fontId="2" type="noConversion"/>
  </si>
  <si>
    <t>LATCH PLATE</t>
    <phoneticPr fontId="2" type="noConversion"/>
  </si>
  <si>
    <t>HOUSING</t>
    <phoneticPr fontId="2" type="noConversion"/>
  </si>
  <si>
    <t>BC05-29H1</t>
    <phoneticPr fontId="2" type="noConversion"/>
  </si>
  <si>
    <t>28P</t>
    <phoneticPr fontId="2" type="noConversion"/>
  </si>
  <si>
    <t>전일 ISSUE 사항(22일)</t>
    <phoneticPr fontId="2" type="noConversion"/>
  </si>
  <si>
    <t>발주분양산-&gt;BURR정지</t>
    <phoneticPr fontId="2" type="noConversion"/>
  </si>
  <si>
    <t>발주분양산-&gt;HOOK박힘4회정지</t>
    <phoneticPr fontId="2" type="noConversion"/>
  </si>
  <si>
    <t>당일 진행 사항(23일)</t>
    <phoneticPr fontId="2" type="noConversion"/>
  </si>
  <si>
    <t>NP595-362-011#IN</t>
    <phoneticPr fontId="2" type="noConversion"/>
  </si>
  <si>
    <t>SP-A/B</t>
    <phoneticPr fontId="2" type="noConversion"/>
  </si>
  <si>
    <t>NP595-362-011#SP-A/B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</si>
  <si>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</si>
  <si>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</si>
  <si>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</si>
  <si>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2019년 07월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</si>
  <si>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AMB0173A-KAA-R1</t>
    <phoneticPr fontId="2" type="noConversion"/>
  </si>
  <si>
    <t>M2 CONN</t>
    <phoneticPr fontId="2" type="noConversion"/>
  </si>
  <si>
    <t>AMS08155A-KAA-R1</t>
    <phoneticPr fontId="2" type="noConversion"/>
  </si>
  <si>
    <t>24P</t>
    <phoneticPr fontId="2" type="noConversion"/>
  </si>
  <si>
    <t>전일 ISSUE 사항(23일)</t>
    <phoneticPr fontId="2" type="noConversion"/>
  </si>
  <si>
    <t>수리후양산-&gt;설비이상정지</t>
    <phoneticPr fontId="2" type="noConversion"/>
  </si>
  <si>
    <t>발주분양산-&gt;게이트BURR수리후양산</t>
    <phoneticPr fontId="2" type="noConversion"/>
  </si>
  <si>
    <t>당일 진행 사항(24일)</t>
    <phoneticPr fontId="2" type="noConversion"/>
  </si>
  <si>
    <t>SAMPLE 진행 사항(23일)</t>
    <phoneticPr fontId="2" type="noConversion"/>
  </si>
  <si>
    <t>치수NG</t>
    <phoneticPr fontId="2" type="noConversion"/>
  </si>
  <si>
    <t>AMB39L1A-KAA-R1/1B</t>
    <phoneticPr fontId="2" type="noConversion"/>
  </si>
  <si>
    <t>SP-1/2</t>
    <phoneticPr fontId="2" type="noConversion"/>
  </si>
  <si>
    <t>HDB0708-C3</t>
    <phoneticPr fontId="2" type="noConversion"/>
  </si>
  <si>
    <t>런너이상</t>
    <phoneticPr fontId="2" type="noConversion"/>
  </si>
  <si>
    <t>HDB0708-T4</t>
    <phoneticPr fontId="2" type="noConversion"/>
  </si>
  <si>
    <t>SGF2401</t>
    <phoneticPr fontId="2" type="noConversion"/>
  </si>
  <si>
    <t>칼퀴이상2회진행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</si>
  <si>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</si>
  <si>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</si>
  <si>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2019년 07월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</si>
  <si>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</si>
  <si>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코아파손수리3회정지</t>
    <phoneticPr fontId="2" type="noConversion"/>
  </si>
  <si>
    <t>미성형수리</t>
    <phoneticPr fontId="2" type="noConversion"/>
  </si>
  <si>
    <t>수리후양산-&gt;하측박힘정지</t>
    <phoneticPr fontId="2" type="noConversion"/>
  </si>
  <si>
    <t>당일 진행 사항(25일)</t>
    <phoneticPr fontId="2" type="noConversion"/>
  </si>
  <si>
    <t>BURR수리후양산</t>
    <phoneticPr fontId="2" type="noConversion"/>
  </si>
  <si>
    <t>KR6437-01PA</t>
    <phoneticPr fontId="2" type="noConversion"/>
  </si>
  <si>
    <t>AMB1901B-JAA-R1</t>
    <phoneticPr fontId="2" type="noConversion"/>
  </si>
  <si>
    <t>SAMPLE 진행 사항(24일)</t>
    <phoneticPr fontId="2" type="noConversion"/>
  </si>
  <si>
    <t>HDB0708-S2</t>
    <phoneticPr fontId="2" type="noConversion"/>
  </si>
  <si>
    <t>금형 수리 내역(24일)</t>
    <phoneticPr fontId="2" type="noConversion"/>
  </si>
  <si>
    <t>칼퀴없2회잔사</t>
    <phoneticPr fontId="2" type="noConversion"/>
  </si>
  <si>
    <t>설비 점검 내역(24일)</t>
    <phoneticPr fontId="2" type="noConversion"/>
  </si>
  <si>
    <r>
      <t>2019년 07월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</si>
  <si>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AMB1930A-KAA-R1</t>
    <phoneticPr fontId="2" type="noConversion"/>
  </si>
  <si>
    <t>전일 ISSUE 사항(25일)</t>
    <phoneticPr fontId="2" type="noConversion"/>
  </si>
  <si>
    <t>가스정지</t>
    <phoneticPr fontId="2" type="noConversion"/>
  </si>
  <si>
    <t>BURR정지</t>
    <phoneticPr fontId="2" type="noConversion"/>
  </si>
  <si>
    <t>MCS</t>
    <phoneticPr fontId="2" type="noConversion"/>
  </si>
  <si>
    <t>4</t>
    <phoneticPr fontId="2" type="noConversion"/>
  </si>
  <si>
    <t>ACTUATOR</t>
    <phoneticPr fontId="2" type="noConversion"/>
  </si>
  <si>
    <t>AMB1930A-KAA-R1</t>
    <phoneticPr fontId="2" type="noConversion"/>
  </si>
  <si>
    <t>8</t>
    <phoneticPr fontId="2" type="noConversion"/>
  </si>
  <si>
    <t>AMB1901B-JAA-R1</t>
    <phoneticPr fontId="2" type="noConversion"/>
  </si>
  <si>
    <t>STOPPER</t>
    <phoneticPr fontId="2" type="noConversion"/>
  </si>
  <si>
    <t>AMB0240A-KAA-R1</t>
    <phoneticPr fontId="2" type="noConversion"/>
  </si>
  <si>
    <t>당일 진행 사항(26일)</t>
    <phoneticPr fontId="2" type="noConversion"/>
  </si>
  <si>
    <t>LEAD GUIDE</t>
    <phoneticPr fontId="2" type="noConversion"/>
  </si>
  <si>
    <t>AMB0467A-KAA-R1</t>
    <phoneticPr fontId="2" type="noConversion"/>
  </si>
  <si>
    <t>K-JR01928-G01AWA</t>
    <phoneticPr fontId="2" type="noConversion"/>
  </si>
  <si>
    <t>AMB0240A-KAA-R1</t>
    <phoneticPr fontId="2" type="noConversion"/>
  </si>
  <si>
    <t>AMB0153A-KAA-R1</t>
    <phoneticPr fontId="2" type="noConversion"/>
  </si>
  <si>
    <t>6</t>
    <phoneticPr fontId="2" type="noConversion"/>
  </si>
  <si>
    <t>BASE</t>
    <phoneticPr fontId="2" type="noConversion"/>
  </si>
  <si>
    <t>SAMPLE 진행 사항(25일)</t>
    <phoneticPr fontId="2" type="noConversion"/>
  </si>
  <si>
    <t>HDB0708-B1</t>
    <phoneticPr fontId="2" type="noConversion"/>
  </si>
  <si>
    <t>AMB20E3A-KAA-R1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</si>
  <si>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</si>
  <si>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</si>
  <si>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2019년 07월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</si>
  <si>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AMB20D7A-KAA-R2</t>
    <phoneticPr fontId="2" type="noConversion"/>
  </si>
  <si>
    <t>전일 ISSUE 사항(26일)</t>
    <phoneticPr fontId="2" type="noConversion"/>
  </si>
  <si>
    <t>코아파손2회양산</t>
    <phoneticPr fontId="2" type="noConversion"/>
  </si>
  <si>
    <t>승인후양산-&gt;미성형정지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</si>
  <si>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</si>
  <si>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</si>
  <si>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AMB0355A-KAA-R1</t>
    <phoneticPr fontId="2" type="noConversion"/>
  </si>
  <si>
    <t>AMB0178A-KAA-R1</t>
    <phoneticPr fontId="2" type="noConversion"/>
  </si>
  <si>
    <t>OK75SSD-050-T32-BA</t>
    <phoneticPr fontId="2" type="noConversion"/>
  </si>
  <si>
    <t>M990-00008A-A1-01-V1.3.1</t>
    <phoneticPr fontId="2" type="noConversion"/>
  </si>
  <si>
    <t>OKINS</t>
    <phoneticPr fontId="2" type="noConversion"/>
  </si>
  <si>
    <t>PA9T</t>
    <phoneticPr fontId="2" type="noConversion"/>
  </si>
  <si>
    <t>코아파손2회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</si>
  <si>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</si>
  <si>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</si>
  <si>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2019년 07월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</si>
  <si>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</si>
  <si>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하측박힘정지</t>
    <phoneticPr fontId="2" type="noConversion"/>
  </si>
  <si>
    <t>발주분양산-&gt;런너수리-&gt;BURR수리</t>
    <phoneticPr fontId="2" type="noConversion"/>
  </si>
  <si>
    <t>세척후양산-&gt;오조립코아파손</t>
    <phoneticPr fontId="2" type="noConversion"/>
  </si>
  <si>
    <t>당일 진행 사항(30일)</t>
    <phoneticPr fontId="2" type="noConversion"/>
  </si>
  <si>
    <t>오조립 재작업</t>
    <phoneticPr fontId="2" type="noConversion"/>
  </si>
  <si>
    <t>KR6197-D841PB</t>
    <phoneticPr fontId="2" type="noConversion"/>
  </si>
  <si>
    <t>SAMPLE 진행 사항(29일)</t>
    <phoneticPr fontId="2" type="noConversion"/>
  </si>
  <si>
    <t>AMB0179A-KAA-R1</t>
    <phoneticPr fontId="2" type="noConversion"/>
  </si>
  <si>
    <t>LATCH L /R</t>
    <phoneticPr fontId="2" type="noConversion"/>
  </si>
  <si>
    <t>AMS0933(4)A-KAA-R1</t>
    <phoneticPr fontId="2" type="noConversion"/>
  </si>
  <si>
    <t>요청</t>
    <phoneticPr fontId="2" type="noConversion"/>
  </si>
  <si>
    <t>금형 수리 내역(29일)</t>
    <phoneticPr fontId="2" type="noConversion"/>
  </si>
  <si>
    <t>가스</t>
    <phoneticPr fontId="2" type="noConversion"/>
  </si>
  <si>
    <t>설비 점검 내역(29일)</t>
    <phoneticPr fontId="2" type="noConversion"/>
  </si>
  <si>
    <r>
      <t>2019년 07월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</si>
  <si>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K-JR01928-B01AZB</t>
    <phoneticPr fontId="2" type="noConversion"/>
  </si>
  <si>
    <t>전일 ISSUE 사항(30일)</t>
    <phoneticPr fontId="2" type="noConversion"/>
  </si>
  <si>
    <t>코아파손2회수리후양산</t>
    <phoneticPr fontId="2" type="noConversion"/>
  </si>
  <si>
    <t>하측박힘2회수리후양산</t>
    <phoneticPr fontId="2" type="noConversion"/>
  </si>
  <si>
    <t>K-KR01928-B01AZB</t>
    <phoneticPr fontId="2" type="noConversion"/>
  </si>
  <si>
    <t>당일 진행 사항(31일)</t>
    <phoneticPr fontId="2" type="noConversion"/>
  </si>
  <si>
    <t>SAMPLE 진행 사항(30일)</t>
    <phoneticPr fontId="2" type="noConversion"/>
  </si>
  <si>
    <t>KR6411-E01XX</t>
    <phoneticPr fontId="2" type="noConversion"/>
  </si>
  <si>
    <t>KR6411-GB036XX</t>
    <phoneticPr fontId="2" type="noConversion"/>
  </si>
  <si>
    <t>KR6197-GM253XX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</si>
  <si>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</si>
  <si>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</si>
  <si>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2019년 07월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</si>
  <si>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K-JR01928-CO1AWA</t>
    <phoneticPr fontId="2" type="noConversion"/>
  </si>
  <si>
    <t>전일 ISSUE 사항(31일)</t>
    <phoneticPr fontId="2" type="noConversion"/>
  </si>
  <si>
    <t>미성형정지</t>
    <phoneticPr fontId="2" type="noConversion"/>
  </si>
  <si>
    <t>K-KR01928-C01AWA</t>
    <phoneticPr fontId="2" type="noConversion"/>
  </si>
  <si>
    <t>당일 진행 사항(01일)</t>
    <phoneticPr fontId="2" type="noConversion"/>
  </si>
  <si>
    <t>7</t>
    <phoneticPr fontId="2" type="noConversion"/>
  </si>
  <si>
    <t>BASE</t>
    <phoneticPr fontId="2" type="noConversion"/>
  </si>
  <si>
    <t>KR6197AB841CB</t>
    <phoneticPr fontId="2" type="noConversion"/>
  </si>
  <si>
    <t>AYE</t>
    <phoneticPr fontId="2" type="noConversion"/>
  </si>
  <si>
    <t>5</t>
    <phoneticPr fontId="2" type="noConversion"/>
  </si>
  <si>
    <t>SP</t>
    <phoneticPr fontId="2" type="noConversion"/>
  </si>
  <si>
    <t>NP595-362-011#SP</t>
    <phoneticPr fontId="2" type="noConversion"/>
  </si>
  <si>
    <t>6</t>
    <phoneticPr fontId="2" type="noConversion"/>
  </si>
  <si>
    <t>SP-A/B</t>
    <phoneticPr fontId="2" type="noConversion"/>
  </si>
  <si>
    <t>NP595-362-011#SP-A/B</t>
    <phoneticPr fontId="2" type="noConversion"/>
  </si>
  <si>
    <t>SAMPLE 진행 사항(31일)</t>
    <phoneticPr fontId="2" type="noConversion"/>
  </si>
  <si>
    <t>NP636-2406-001#LB</t>
    <phoneticPr fontId="2" type="noConversion"/>
  </si>
  <si>
    <t>HDB0708-C3</t>
    <phoneticPr fontId="2" type="noConversion"/>
  </si>
  <si>
    <t>SGF2030 N/P</t>
    <phoneticPr fontId="2" type="noConversion"/>
  </si>
  <si>
    <t>수정</t>
    <phoneticPr fontId="2" type="noConversion"/>
  </si>
  <si>
    <t>12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</si>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</sst>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6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07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07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6.9892473118279577E-2</c:v>
                </c:pt>
                <c:pt idx="2">
                  <c:v>0.7076567518503003</c:v>
                </c:pt>
                <c:pt idx="3">
                  <c:v>0.52553763440860213</c:v>
                </c:pt>
                <c:pt idx="4">
                  <c:v>0.50806451612903236</c:v>
                </c:pt>
                <c:pt idx="5">
                  <c:v>0.52016129032258063</c:v>
                </c:pt>
                <c:pt idx="6">
                  <c:v>0.51005137231121167</c:v>
                </c:pt>
                <c:pt idx="7">
                  <c:v>0.47580645161290325</c:v>
                </c:pt>
                <c:pt idx="8">
                  <c:v>1.7473118279569891E-2</c:v>
                </c:pt>
                <c:pt idx="9">
                  <c:v>0.20161290322580641</c:v>
                </c:pt>
                <c:pt idx="10">
                  <c:v>0.56720430107526887</c:v>
                </c:pt>
                <c:pt idx="11">
                  <c:v>0.18279569892473119</c:v>
                </c:pt>
                <c:pt idx="12">
                  <c:v>0.4865591397849463</c:v>
                </c:pt>
                <c:pt idx="13">
                  <c:v>0.61860873381610704</c:v>
                </c:pt>
                <c:pt idx="14">
                  <c:v>0.35992768817204307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'01'!$L$6:$L$24</c:f>
              <c:numCache>
                <c:formatCode>_(* #,##0_);_(* \(#,##0\);_(* "-"_);_(@_)</c:formatCode>
                <c:ptCount val="19"/>
                <c:pt idx="2">
                  <c:v>5472</c:v>
                </c:pt>
                <c:pt idx="3">
                  <c:v>1349</c:v>
                </c:pt>
                <c:pt idx="4">
                  <c:v>2940</c:v>
                </c:pt>
                <c:pt idx="5">
                  <c:v>2072</c:v>
                </c:pt>
                <c:pt idx="6">
                  <c:v>5210</c:v>
                </c:pt>
                <c:pt idx="7">
                  <c:v>2186</c:v>
                </c:pt>
                <c:pt idx="8">
                  <c:v>2962</c:v>
                </c:pt>
                <c:pt idx="9">
                  <c:v>1051</c:v>
                </c:pt>
                <c:pt idx="10">
                  <c:v>2161</c:v>
                </c:pt>
                <c:pt idx="12">
                  <c:v>39270</c:v>
                </c:pt>
                <c:pt idx="13">
                  <c:v>3517</c:v>
                </c:pt>
                <c:pt idx="15">
                  <c:v>1205</c:v>
                </c:pt>
                <c:pt idx="16">
                  <c:v>962</c:v>
                </c:pt>
                <c:pt idx="17">
                  <c:v>4823</c:v>
                </c:pt>
                <c:pt idx="18">
                  <c:v>37208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2-4F14-BAEB-1BA46A5A55EB}"/>
            </c:ext>
          </c:extLst>
        </c:ser>
        <c:ser>
          <c:idx val="1"/>
          <c:order val="1"/>
          <c:tx>
            <c:v>계획</c:v>
          </c:tx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'01'!$J$6:$J$24</c:f>
              <c:numCache>
                <c:formatCode>_(* #,##0_);_(* \(#,##0\);_(* "-"_);_(@_)</c:formatCode>
                <c:ptCount val="19"/>
                <c:pt idx="0">
                  <c:v>0</c:v>
                </c:pt>
                <c:pt idx="1">
                  <c:v>5472</c:v>
                </c:pt>
                <c:pt idx="2">
                  <c:v>5472</c:v>
                </c:pt>
                <c:pt idx="3">
                  <c:v>1349</c:v>
                </c:pt>
                <c:pt idx="4">
                  <c:v>2940</c:v>
                </c:pt>
                <c:pt idx="5">
                  <c:v>2072</c:v>
                </c:pt>
                <c:pt idx="6">
                  <c:v>5210</c:v>
                </c:pt>
                <c:pt idx="7">
                  <c:v>2186</c:v>
                </c:pt>
                <c:pt idx="8">
                  <c:v>2962</c:v>
                </c:pt>
                <c:pt idx="9">
                  <c:v>1051</c:v>
                </c:pt>
                <c:pt idx="10">
                  <c:v>2161</c:v>
                </c:pt>
                <c:pt idx="11">
                  <c:v>131</c:v>
                </c:pt>
                <c:pt idx="12">
                  <c:v>39270</c:v>
                </c:pt>
                <c:pt idx="13">
                  <c:v>3517</c:v>
                </c:pt>
                <c:pt idx="14">
                  <c:v>2183</c:v>
                </c:pt>
                <c:pt idx="15">
                  <c:v>1205</c:v>
                </c:pt>
                <c:pt idx="16">
                  <c:v>962</c:v>
                </c:pt>
                <c:pt idx="17">
                  <c:v>4823</c:v>
                </c:pt>
                <c:pt idx="18">
                  <c:v>37208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2-4F14-BAEB-1BA46A5A5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'01'!$AD$6:$AD$24</c:f>
              <c:strCache>
                <c:ptCount val="19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58%</c:v>
                </c:pt>
                <c:pt idx="5">
                  <c:v>25%</c:v>
                </c:pt>
                <c:pt idx="6">
                  <c:v>67%</c:v>
                </c:pt>
                <c:pt idx="7">
                  <c:v>46%</c:v>
                </c:pt>
                <c:pt idx="8">
                  <c:v>71%</c:v>
                </c:pt>
                <c:pt idx="9">
                  <c:v>33%</c:v>
                </c:pt>
                <c:pt idx="10">
                  <c:v>58%</c:v>
                </c:pt>
                <c:pt idx="11">
                  <c:v>0%</c:v>
                </c:pt>
                <c:pt idx="12">
                  <c:v>92%</c:v>
                </c:pt>
                <c:pt idx="13">
                  <c:v>75%</c:v>
                </c:pt>
                <c:pt idx="14">
                  <c:v>0%</c:v>
                </c:pt>
                <c:pt idx="15">
                  <c:v>42%</c:v>
                </c:pt>
                <c:pt idx="16">
                  <c:v>38%</c:v>
                </c:pt>
                <c:pt idx="17">
                  <c:v>100%</c:v>
                </c:pt>
                <c:pt idx="18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'01'!$AD$6:$AD$24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0.58333333333333337</c:v>
                </c:pt>
                <c:pt idx="5">
                  <c:v>0.25</c:v>
                </c:pt>
                <c:pt idx="6">
                  <c:v>0.66666666666666663</c:v>
                </c:pt>
                <c:pt idx="7">
                  <c:v>0.45833333333333331</c:v>
                </c:pt>
                <c:pt idx="8">
                  <c:v>0.70833333333333337</c:v>
                </c:pt>
                <c:pt idx="9">
                  <c:v>0.33333333333333331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0.75</c:v>
                </c:pt>
                <c:pt idx="14">
                  <c:v>0</c:v>
                </c:pt>
                <c:pt idx="15">
                  <c:v>0.41666666666666669</c:v>
                </c:pt>
                <c:pt idx="16">
                  <c:v>0.375</c:v>
                </c:pt>
                <c:pt idx="17">
                  <c:v>1</c:v>
                </c:pt>
                <c:pt idx="18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7-4218-B9C4-5AE707B6FC8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F7-4218-B9C4-5AE707B6FC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'01'!$AE$6:$AE$24</c:f>
              <c:numCache>
                <c:formatCode>0%</c:formatCode>
                <c:ptCount val="19"/>
                <c:pt idx="0">
                  <c:v>0.59722222222222221</c:v>
                </c:pt>
                <c:pt idx="1">
                  <c:v>0.59722222222222221</c:v>
                </c:pt>
                <c:pt idx="2">
                  <c:v>0.59722222222222221</c:v>
                </c:pt>
                <c:pt idx="3">
                  <c:v>0.59722222222222221</c:v>
                </c:pt>
                <c:pt idx="4">
                  <c:v>0.59722222222222221</c:v>
                </c:pt>
                <c:pt idx="5">
                  <c:v>0.59722222222222221</c:v>
                </c:pt>
                <c:pt idx="6">
                  <c:v>0.59722222222222221</c:v>
                </c:pt>
                <c:pt idx="7">
                  <c:v>0.59722222222222221</c:v>
                </c:pt>
                <c:pt idx="8">
                  <c:v>0.59722222222222221</c:v>
                </c:pt>
                <c:pt idx="9">
                  <c:v>0.59722222222222221</c:v>
                </c:pt>
                <c:pt idx="10">
                  <c:v>0.59722222222222221</c:v>
                </c:pt>
                <c:pt idx="11">
                  <c:v>0.59722222222222221</c:v>
                </c:pt>
                <c:pt idx="12">
                  <c:v>0.59722222222222221</c:v>
                </c:pt>
                <c:pt idx="13">
                  <c:v>0.59722222222222221</c:v>
                </c:pt>
                <c:pt idx="14">
                  <c:v>0.59722222222222221</c:v>
                </c:pt>
                <c:pt idx="15">
                  <c:v>0.59722222222222221</c:v>
                </c:pt>
                <c:pt idx="16">
                  <c:v>0.59722222222222221</c:v>
                </c:pt>
                <c:pt idx="17">
                  <c:v>0.59722222222222221</c:v>
                </c:pt>
                <c:pt idx="18">
                  <c:v>0.59722222222222221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F7-4218-B9C4-5AE707B6F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'01'!$L$6:$L$24</c:f>
              <c:numCache>
                <c:formatCode>_(* #,##0_);_(* \(#,##0\);_(* "-"_);_(@_)</c:formatCode>
                <c:ptCount val="19"/>
                <c:pt idx="2">
                  <c:v>5472</c:v>
                </c:pt>
                <c:pt idx="3">
                  <c:v>1349</c:v>
                </c:pt>
                <c:pt idx="4">
                  <c:v>2940</c:v>
                </c:pt>
                <c:pt idx="5">
                  <c:v>2072</c:v>
                </c:pt>
                <c:pt idx="6">
                  <c:v>5210</c:v>
                </c:pt>
                <c:pt idx="7">
                  <c:v>2186</c:v>
                </c:pt>
                <c:pt idx="8">
                  <c:v>2962</c:v>
                </c:pt>
                <c:pt idx="9">
                  <c:v>1051</c:v>
                </c:pt>
                <c:pt idx="10">
                  <c:v>2161</c:v>
                </c:pt>
                <c:pt idx="12">
                  <c:v>39270</c:v>
                </c:pt>
                <c:pt idx="13">
                  <c:v>3517</c:v>
                </c:pt>
                <c:pt idx="15">
                  <c:v>1205</c:v>
                </c:pt>
                <c:pt idx="16">
                  <c:v>962</c:v>
                </c:pt>
                <c:pt idx="17">
                  <c:v>4823</c:v>
                </c:pt>
                <c:pt idx="18">
                  <c:v>37208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F-4247-B8D6-74E4AA44B34E}"/>
            </c:ext>
          </c:extLst>
        </c:ser>
        <c:ser>
          <c:idx val="1"/>
          <c:order val="1"/>
          <c:tx>
            <c:v>계획</c:v>
          </c:tx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'01'!$J$6:$J$24</c:f>
              <c:numCache>
                <c:formatCode>_(* #,##0_);_(* \(#,##0\);_(* "-"_);_(@_)</c:formatCode>
                <c:ptCount val="19"/>
                <c:pt idx="0">
                  <c:v>0</c:v>
                </c:pt>
                <c:pt idx="1">
                  <c:v>5472</c:v>
                </c:pt>
                <c:pt idx="2">
                  <c:v>5472</c:v>
                </c:pt>
                <c:pt idx="3">
                  <c:v>1349</c:v>
                </c:pt>
                <c:pt idx="4">
                  <c:v>2940</c:v>
                </c:pt>
                <c:pt idx="5">
                  <c:v>2072</c:v>
                </c:pt>
                <c:pt idx="6">
                  <c:v>5210</c:v>
                </c:pt>
                <c:pt idx="7">
                  <c:v>2186</c:v>
                </c:pt>
                <c:pt idx="8">
                  <c:v>2962</c:v>
                </c:pt>
                <c:pt idx="9">
                  <c:v>1051</c:v>
                </c:pt>
                <c:pt idx="10">
                  <c:v>2161</c:v>
                </c:pt>
                <c:pt idx="11">
                  <c:v>131</c:v>
                </c:pt>
                <c:pt idx="12">
                  <c:v>39270</c:v>
                </c:pt>
                <c:pt idx="13">
                  <c:v>3517</c:v>
                </c:pt>
                <c:pt idx="14">
                  <c:v>2183</c:v>
                </c:pt>
                <c:pt idx="15">
                  <c:v>1205</c:v>
                </c:pt>
                <c:pt idx="16">
                  <c:v>962</c:v>
                </c:pt>
                <c:pt idx="17">
                  <c:v>4823</c:v>
                </c:pt>
                <c:pt idx="18">
                  <c:v>37208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F-4247-B8D6-74E4AA44B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'01'!$AD$6:$AD$24</c:f>
              <c:strCache>
                <c:ptCount val="19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58%</c:v>
                </c:pt>
                <c:pt idx="5">
                  <c:v>25%</c:v>
                </c:pt>
                <c:pt idx="6">
                  <c:v>67%</c:v>
                </c:pt>
                <c:pt idx="7">
                  <c:v>46%</c:v>
                </c:pt>
                <c:pt idx="8">
                  <c:v>71%</c:v>
                </c:pt>
                <c:pt idx="9">
                  <c:v>33%</c:v>
                </c:pt>
                <c:pt idx="10">
                  <c:v>58%</c:v>
                </c:pt>
                <c:pt idx="11">
                  <c:v>0%</c:v>
                </c:pt>
                <c:pt idx="12">
                  <c:v>92%</c:v>
                </c:pt>
                <c:pt idx="13">
                  <c:v>75%</c:v>
                </c:pt>
                <c:pt idx="14">
                  <c:v>0%</c:v>
                </c:pt>
                <c:pt idx="15">
                  <c:v>42%</c:v>
                </c:pt>
                <c:pt idx="16">
                  <c:v>38%</c:v>
                </c:pt>
                <c:pt idx="17">
                  <c:v>100%</c:v>
                </c:pt>
                <c:pt idx="18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'01'!$AD$6:$AD$24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0.58333333333333337</c:v>
                </c:pt>
                <c:pt idx="5">
                  <c:v>0.25</c:v>
                </c:pt>
                <c:pt idx="6">
                  <c:v>0.66666666666666663</c:v>
                </c:pt>
                <c:pt idx="7">
                  <c:v>0.45833333333333331</c:v>
                </c:pt>
                <c:pt idx="8">
                  <c:v>0.70833333333333337</c:v>
                </c:pt>
                <c:pt idx="9">
                  <c:v>0.33333333333333331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0.75</c:v>
                </c:pt>
                <c:pt idx="14">
                  <c:v>0</c:v>
                </c:pt>
                <c:pt idx="15">
                  <c:v>0.41666666666666669</c:v>
                </c:pt>
                <c:pt idx="16">
                  <c:v>0.375</c:v>
                </c:pt>
                <c:pt idx="17">
                  <c:v>1</c:v>
                </c:pt>
                <c:pt idx="18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1-4967-93A2-7B48FE54042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71-4967-93A2-7B48FE5404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'01'!$D$6:$D$24</c:f>
              <c:strCache>
                <c:ptCount val="18"/>
                <c:pt idx="2">
                  <c:v>STOPPER</c:v>
                </c:pt>
                <c:pt idx="3">
                  <c:v>BODY</c:v>
                </c:pt>
                <c:pt idx="4">
                  <c:v>LEAD GUIDE</c:v>
                </c:pt>
                <c:pt idx="5">
                  <c:v>LATCH</c:v>
                </c:pt>
                <c:pt idx="6">
                  <c:v>LATCH</c:v>
                </c:pt>
                <c:pt idx="7">
                  <c:v>BODY</c:v>
                </c:pt>
                <c:pt idx="8">
                  <c:v>BODY</c:v>
                </c:pt>
                <c:pt idx="9">
                  <c:v>BODY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ADAPTER</c:v>
                </c:pt>
                <c:pt idx="14">
                  <c:v>BODY/BOTTOM</c:v>
                </c:pt>
                <c:pt idx="15">
                  <c:v>COVER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'01'!$AE$6:$AE$24</c:f>
              <c:numCache>
                <c:formatCode>0%</c:formatCode>
                <c:ptCount val="19"/>
                <c:pt idx="0">
                  <c:v>0.59722222222222221</c:v>
                </c:pt>
                <c:pt idx="1">
                  <c:v>0.59722222222222221</c:v>
                </c:pt>
                <c:pt idx="2">
                  <c:v>0.59722222222222221</c:v>
                </c:pt>
                <c:pt idx="3">
                  <c:v>0.59722222222222221</c:v>
                </c:pt>
                <c:pt idx="4">
                  <c:v>0.59722222222222221</c:v>
                </c:pt>
                <c:pt idx="5">
                  <c:v>0.59722222222222221</c:v>
                </c:pt>
                <c:pt idx="6">
                  <c:v>0.59722222222222221</c:v>
                </c:pt>
                <c:pt idx="7">
                  <c:v>0.59722222222222221</c:v>
                </c:pt>
                <c:pt idx="8">
                  <c:v>0.59722222222222221</c:v>
                </c:pt>
                <c:pt idx="9">
                  <c:v>0.59722222222222221</c:v>
                </c:pt>
                <c:pt idx="10">
                  <c:v>0.59722222222222221</c:v>
                </c:pt>
                <c:pt idx="11">
                  <c:v>0.59722222222222221</c:v>
                </c:pt>
                <c:pt idx="12">
                  <c:v>0.59722222222222221</c:v>
                </c:pt>
                <c:pt idx="13">
                  <c:v>0.59722222222222221</c:v>
                </c:pt>
                <c:pt idx="14">
                  <c:v>0.59722222222222221</c:v>
                </c:pt>
                <c:pt idx="15">
                  <c:v>0.59722222222222221</c:v>
                </c:pt>
                <c:pt idx="16">
                  <c:v>0.59722222222222221</c:v>
                </c:pt>
                <c:pt idx="17">
                  <c:v>0.59722222222222221</c:v>
                </c:pt>
                <c:pt idx="18">
                  <c:v>0.59722222222222221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1-4967-93A2-7B48FE540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965-4FDA-81F4-1FC0FF7FE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5-4FDA-81F4-1FC0FF7FE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65-4FDA-81F4-1FC0FF7FE5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65-4FDA-81F4-1FC0FF7FE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2">
                  <c:v>5734</c:v>
                </c:pt>
                <c:pt idx="3">
                  <c:v>5189</c:v>
                </c:pt>
                <c:pt idx="4">
                  <c:v>2406</c:v>
                </c:pt>
                <c:pt idx="5">
                  <c:v>2317</c:v>
                </c:pt>
                <c:pt idx="6">
                  <c:v>5364</c:v>
                </c:pt>
                <c:pt idx="7">
                  <c:v>1001</c:v>
                </c:pt>
                <c:pt idx="8">
                  <c:v>1744</c:v>
                </c:pt>
                <c:pt idx="9">
                  <c:v>2068</c:v>
                </c:pt>
                <c:pt idx="11">
                  <c:v>48846</c:v>
                </c:pt>
                <c:pt idx="14">
                  <c:v>3523</c:v>
                </c:pt>
                <c:pt idx="15">
                  <c:v>3796</c:v>
                </c:pt>
                <c:pt idx="16">
                  <c:v>44092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A-46DF-93E4-695ADAF0FFF6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5472</c:v>
                </c:pt>
                <c:pt idx="2">
                  <c:v>5734</c:v>
                </c:pt>
                <c:pt idx="3">
                  <c:v>5189</c:v>
                </c:pt>
                <c:pt idx="4">
                  <c:v>2406</c:v>
                </c:pt>
                <c:pt idx="5">
                  <c:v>2317</c:v>
                </c:pt>
                <c:pt idx="6">
                  <c:v>5364</c:v>
                </c:pt>
                <c:pt idx="7">
                  <c:v>1001</c:v>
                </c:pt>
                <c:pt idx="8">
                  <c:v>1744</c:v>
                </c:pt>
                <c:pt idx="9">
                  <c:v>2068</c:v>
                </c:pt>
                <c:pt idx="10">
                  <c:v>131</c:v>
                </c:pt>
                <c:pt idx="11">
                  <c:v>48846</c:v>
                </c:pt>
                <c:pt idx="12">
                  <c:v>3517</c:v>
                </c:pt>
                <c:pt idx="13">
                  <c:v>2183</c:v>
                </c:pt>
                <c:pt idx="14">
                  <c:v>3523</c:v>
                </c:pt>
                <c:pt idx="15">
                  <c:v>3796</c:v>
                </c:pt>
                <c:pt idx="16">
                  <c:v>44092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A-46DF-93E4-695ADAF0F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46%</c:v>
                </c:pt>
                <c:pt idx="5">
                  <c:v>46%</c:v>
                </c:pt>
                <c:pt idx="6">
                  <c:v>71%</c:v>
                </c:pt>
                <c:pt idx="7">
                  <c:v>33%</c:v>
                </c:pt>
                <c:pt idx="8">
                  <c:v>25%</c:v>
                </c:pt>
                <c:pt idx="9">
                  <c:v>33%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79%</c:v>
                </c:pt>
                <c:pt idx="15">
                  <c:v>83%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0.70833333333333337</c:v>
                </c:pt>
                <c:pt idx="7">
                  <c:v>0.33333333333333331</c:v>
                </c:pt>
                <c:pt idx="8">
                  <c:v>0.25</c:v>
                </c:pt>
                <c:pt idx="9">
                  <c:v>0.33333333333333331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0.79166666666666663</c:v>
                </c:pt>
                <c:pt idx="15">
                  <c:v>0.83333333333333337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F-484C-936E-0DDA6A3C492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6F-484C-936E-0DDA6A3C49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0.51388888888888895</c:v>
                </c:pt>
                <c:pt idx="1">
                  <c:v>0.51388888888888895</c:v>
                </c:pt>
                <c:pt idx="2">
                  <c:v>0.51388888888888895</c:v>
                </c:pt>
                <c:pt idx="3">
                  <c:v>0.51388888888888895</c:v>
                </c:pt>
                <c:pt idx="4">
                  <c:v>0.51388888888888895</c:v>
                </c:pt>
                <c:pt idx="5">
                  <c:v>0.51388888888888895</c:v>
                </c:pt>
                <c:pt idx="6">
                  <c:v>0.51388888888888895</c:v>
                </c:pt>
                <c:pt idx="7">
                  <c:v>0.51388888888888895</c:v>
                </c:pt>
                <c:pt idx="8">
                  <c:v>0.51388888888888895</c:v>
                </c:pt>
                <c:pt idx="9">
                  <c:v>0.51388888888888895</c:v>
                </c:pt>
                <c:pt idx="10">
                  <c:v>0.51388888888888895</c:v>
                </c:pt>
                <c:pt idx="11">
                  <c:v>0.51388888888888895</c:v>
                </c:pt>
                <c:pt idx="12">
                  <c:v>0.51388888888888895</c:v>
                </c:pt>
                <c:pt idx="13">
                  <c:v>0.51388888888888895</c:v>
                </c:pt>
                <c:pt idx="14">
                  <c:v>0.51388888888888895</c:v>
                </c:pt>
                <c:pt idx="15">
                  <c:v>0.51388888888888895</c:v>
                </c:pt>
                <c:pt idx="16">
                  <c:v>0.51388888888888895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6F-484C-936E-0DDA6A3C4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2">
                  <c:v>5734</c:v>
                </c:pt>
                <c:pt idx="3">
                  <c:v>5189</c:v>
                </c:pt>
                <c:pt idx="4">
                  <c:v>2406</c:v>
                </c:pt>
                <c:pt idx="5">
                  <c:v>2317</c:v>
                </c:pt>
                <c:pt idx="6">
                  <c:v>5364</c:v>
                </c:pt>
                <c:pt idx="7">
                  <c:v>1001</c:v>
                </c:pt>
                <c:pt idx="8">
                  <c:v>1744</c:v>
                </c:pt>
                <c:pt idx="9">
                  <c:v>2068</c:v>
                </c:pt>
                <c:pt idx="11">
                  <c:v>48846</c:v>
                </c:pt>
                <c:pt idx="14">
                  <c:v>3523</c:v>
                </c:pt>
                <c:pt idx="15">
                  <c:v>3796</c:v>
                </c:pt>
                <c:pt idx="16">
                  <c:v>44092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F-4D80-9ED3-98765C7C332B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5472</c:v>
                </c:pt>
                <c:pt idx="2">
                  <c:v>5734</c:v>
                </c:pt>
                <c:pt idx="3">
                  <c:v>5189</c:v>
                </c:pt>
                <c:pt idx="4">
                  <c:v>2406</c:v>
                </c:pt>
                <c:pt idx="5">
                  <c:v>2317</c:v>
                </c:pt>
                <c:pt idx="6">
                  <c:v>5364</c:v>
                </c:pt>
                <c:pt idx="7">
                  <c:v>1001</c:v>
                </c:pt>
                <c:pt idx="8">
                  <c:v>1744</c:v>
                </c:pt>
                <c:pt idx="9">
                  <c:v>2068</c:v>
                </c:pt>
                <c:pt idx="10">
                  <c:v>131</c:v>
                </c:pt>
                <c:pt idx="11">
                  <c:v>48846</c:v>
                </c:pt>
                <c:pt idx="12">
                  <c:v>3517</c:v>
                </c:pt>
                <c:pt idx="13">
                  <c:v>2183</c:v>
                </c:pt>
                <c:pt idx="14">
                  <c:v>3523</c:v>
                </c:pt>
                <c:pt idx="15">
                  <c:v>3796</c:v>
                </c:pt>
                <c:pt idx="16">
                  <c:v>44092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F-4D80-9ED3-98765C7C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46%</c:v>
                </c:pt>
                <c:pt idx="5">
                  <c:v>46%</c:v>
                </c:pt>
                <c:pt idx="6">
                  <c:v>71%</c:v>
                </c:pt>
                <c:pt idx="7">
                  <c:v>33%</c:v>
                </c:pt>
                <c:pt idx="8">
                  <c:v>25%</c:v>
                </c:pt>
                <c:pt idx="9">
                  <c:v>33%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79%</c:v>
                </c:pt>
                <c:pt idx="15">
                  <c:v>83%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0.70833333333333337</c:v>
                </c:pt>
                <c:pt idx="7">
                  <c:v>0.33333333333333331</c:v>
                </c:pt>
                <c:pt idx="8">
                  <c:v>0.25</c:v>
                </c:pt>
                <c:pt idx="9">
                  <c:v>0.33333333333333331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0.79166666666666663</c:v>
                </c:pt>
                <c:pt idx="15">
                  <c:v>0.83333333333333337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F-4F2B-B6FF-E9138E7763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9F-4F2B-B6FF-E9138E7763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LATCH</c:v>
                </c:pt>
                <c:pt idx="9">
                  <c:v>BLOCK</c:v>
                </c:pt>
                <c:pt idx="10">
                  <c:v>BASE</c:v>
                </c:pt>
                <c:pt idx="11">
                  <c:v>LID</c:v>
                </c:pt>
                <c:pt idx="12">
                  <c:v>ADAPTER</c:v>
                </c:pt>
                <c:pt idx="13">
                  <c:v>BODY/BOTTOM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0.51388888888888895</c:v>
                </c:pt>
                <c:pt idx="1">
                  <c:v>0.51388888888888895</c:v>
                </c:pt>
                <c:pt idx="2">
                  <c:v>0.51388888888888895</c:v>
                </c:pt>
                <c:pt idx="3">
                  <c:v>0.51388888888888895</c:v>
                </c:pt>
                <c:pt idx="4">
                  <c:v>0.51388888888888895</c:v>
                </c:pt>
                <c:pt idx="5">
                  <c:v>0.51388888888888895</c:v>
                </c:pt>
                <c:pt idx="6">
                  <c:v>0.51388888888888895</c:v>
                </c:pt>
                <c:pt idx="7">
                  <c:v>0.51388888888888895</c:v>
                </c:pt>
                <c:pt idx="8">
                  <c:v>0.51388888888888895</c:v>
                </c:pt>
                <c:pt idx="9">
                  <c:v>0.51388888888888895</c:v>
                </c:pt>
                <c:pt idx="10">
                  <c:v>0.51388888888888895</c:v>
                </c:pt>
                <c:pt idx="11">
                  <c:v>0.51388888888888895</c:v>
                </c:pt>
                <c:pt idx="12">
                  <c:v>0.51388888888888895</c:v>
                </c:pt>
                <c:pt idx="13">
                  <c:v>0.51388888888888895</c:v>
                </c:pt>
                <c:pt idx="14">
                  <c:v>0.51388888888888895</c:v>
                </c:pt>
                <c:pt idx="15">
                  <c:v>0.51388888888888895</c:v>
                </c:pt>
                <c:pt idx="16">
                  <c:v>0.51388888888888895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9F-4F2B-B6FF-E9138E776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383-4C5C-B8CE-616E929C91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83-4C5C-B8CE-616E929C9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83-4C5C-B8CE-616E929C91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3-4C5C-B8CE-616E929C9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4193</c:v>
                </c:pt>
                <c:pt idx="2">
                  <c:v>5748</c:v>
                </c:pt>
                <c:pt idx="3">
                  <c:v>5656</c:v>
                </c:pt>
                <c:pt idx="5">
                  <c:v>308</c:v>
                </c:pt>
                <c:pt idx="6">
                  <c:v>2922</c:v>
                </c:pt>
                <c:pt idx="7">
                  <c:v>5304</c:v>
                </c:pt>
                <c:pt idx="8">
                  <c:v>2099</c:v>
                </c:pt>
                <c:pt idx="10">
                  <c:v>41682</c:v>
                </c:pt>
                <c:pt idx="11">
                  <c:v>4968</c:v>
                </c:pt>
                <c:pt idx="12">
                  <c:v>1052</c:v>
                </c:pt>
                <c:pt idx="13">
                  <c:v>1963</c:v>
                </c:pt>
                <c:pt idx="14">
                  <c:v>4027</c:v>
                </c:pt>
                <c:pt idx="15">
                  <c:v>42392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4-4443-A986-07F425B7CD92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4193</c:v>
                </c:pt>
                <c:pt idx="2">
                  <c:v>5748</c:v>
                </c:pt>
                <c:pt idx="3">
                  <c:v>5656</c:v>
                </c:pt>
                <c:pt idx="4">
                  <c:v>2406</c:v>
                </c:pt>
                <c:pt idx="5">
                  <c:v>308</c:v>
                </c:pt>
                <c:pt idx="6">
                  <c:v>2922</c:v>
                </c:pt>
                <c:pt idx="7">
                  <c:v>5304</c:v>
                </c:pt>
                <c:pt idx="8">
                  <c:v>2099</c:v>
                </c:pt>
                <c:pt idx="9">
                  <c:v>131</c:v>
                </c:pt>
                <c:pt idx="10">
                  <c:v>41682</c:v>
                </c:pt>
                <c:pt idx="11">
                  <c:v>4968</c:v>
                </c:pt>
                <c:pt idx="12">
                  <c:v>1052</c:v>
                </c:pt>
                <c:pt idx="13">
                  <c:v>1963</c:v>
                </c:pt>
                <c:pt idx="14">
                  <c:v>4027</c:v>
                </c:pt>
                <c:pt idx="15">
                  <c:v>42392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4-4443-A986-07F425B7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83%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13%</c:v>
                </c:pt>
                <c:pt idx="6">
                  <c:v>71%</c:v>
                </c:pt>
                <c:pt idx="7">
                  <c:v>100%</c:v>
                </c:pt>
                <c:pt idx="8">
                  <c:v>58%</c:v>
                </c:pt>
                <c:pt idx="9">
                  <c:v>0%</c:v>
                </c:pt>
                <c:pt idx="10">
                  <c:v>100%</c:v>
                </c:pt>
                <c:pt idx="11">
                  <c:v>75%</c:v>
                </c:pt>
                <c:pt idx="12">
                  <c:v>25%</c:v>
                </c:pt>
                <c:pt idx="13">
                  <c:v>42%</c:v>
                </c:pt>
                <c:pt idx="14">
                  <c:v>92%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0.83333333333333337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0.125</c:v>
                </c:pt>
                <c:pt idx="6">
                  <c:v>0.70833333333333337</c:v>
                </c:pt>
                <c:pt idx="7">
                  <c:v>1</c:v>
                </c:pt>
                <c:pt idx="8">
                  <c:v>0.58333333333333337</c:v>
                </c:pt>
                <c:pt idx="9">
                  <c:v>0</c:v>
                </c:pt>
                <c:pt idx="10">
                  <c:v>1</c:v>
                </c:pt>
                <c:pt idx="11">
                  <c:v>0.75</c:v>
                </c:pt>
                <c:pt idx="12">
                  <c:v>0.25</c:v>
                </c:pt>
                <c:pt idx="13">
                  <c:v>0.41666666666666669</c:v>
                </c:pt>
                <c:pt idx="14">
                  <c:v>0.91666666666666663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B-4831-BB10-149E389D6CB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6B-4831-BB10-149E389D6C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0.60833333333333328</c:v>
                </c:pt>
                <c:pt idx="1">
                  <c:v>0.60833333333333328</c:v>
                </c:pt>
                <c:pt idx="2">
                  <c:v>0.60833333333333328</c:v>
                </c:pt>
                <c:pt idx="3">
                  <c:v>0.60833333333333328</c:v>
                </c:pt>
                <c:pt idx="4">
                  <c:v>0.60833333333333328</c:v>
                </c:pt>
                <c:pt idx="5">
                  <c:v>0.60833333333333328</c:v>
                </c:pt>
                <c:pt idx="6">
                  <c:v>0.60833333333333328</c:v>
                </c:pt>
                <c:pt idx="7">
                  <c:v>0.60833333333333328</c:v>
                </c:pt>
                <c:pt idx="8">
                  <c:v>0.60833333333333328</c:v>
                </c:pt>
                <c:pt idx="9">
                  <c:v>0.60833333333333328</c:v>
                </c:pt>
                <c:pt idx="10">
                  <c:v>0.60833333333333328</c:v>
                </c:pt>
                <c:pt idx="11">
                  <c:v>0.60833333333333328</c:v>
                </c:pt>
                <c:pt idx="12">
                  <c:v>0.60833333333333328</c:v>
                </c:pt>
                <c:pt idx="13">
                  <c:v>0.60833333333333328</c:v>
                </c:pt>
                <c:pt idx="14">
                  <c:v>0.60833333333333328</c:v>
                </c:pt>
                <c:pt idx="15">
                  <c:v>0.60833333333333328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6B-4831-BB10-149E389D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4193</c:v>
                </c:pt>
                <c:pt idx="2">
                  <c:v>5748</c:v>
                </c:pt>
                <c:pt idx="3">
                  <c:v>5656</c:v>
                </c:pt>
                <c:pt idx="5">
                  <c:v>308</c:v>
                </c:pt>
                <c:pt idx="6">
                  <c:v>2922</c:v>
                </c:pt>
                <c:pt idx="7">
                  <c:v>5304</c:v>
                </c:pt>
                <c:pt idx="8">
                  <c:v>2099</c:v>
                </c:pt>
                <c:pt idx="10">
                  <c:v>41682</c:v>
                </c:pt>
                <c:pt idx="11">
                  <c:v>4968</c:v>
                </c:pt>
                <c:pt idx="12">
                  <c:v>1052</c:v>
                </c:pt>
                <c:pt idx="13">
                  <c:v>1963</c:v>
                </c:pt>
                <c:pt idx="14">
                  <c:v>4027</c:v>
                </c:pt>
                <c:pt idx="15">
                  <c:v>42392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5B-4329-851E-C4FC62B50D50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4193</c:v>
                </c:pt>
                <c:pt idx="2">
                  <c:v>5748</c:v>
                </c:pt>
                <c:pt idx="3">
                  <c:v>5656</c:v>
                </c:pt>
                <c:pt idx="4">
                  <c:v>2406</c:v>
                </c:pt>
                <c:pt idx="5">
                  <c:v>308</c:v>
                </c:pt>
                <c:pt idx="6">
                  <c:v>2922</c:v>
                </c:pt>
                <c:pt idx="7">
                  <c:v>5304</c:v>
                </c:pt>
                <c:pt idx="8">
                  <c:v>2099</c:v>
                </c:pt>
                <c:pt idx="9">
                  <c:v>131</c:v>
                </c:pt>
                <c:pt idx="10">
                  <c:v>41682</c:v>
                </c:pt>
                <c:pt idx="11">
                  <c:v>4968</c:v>
                </c:pt>
                <c:pt idx="12">
                  <c:v>1052</c:v>
                </c:pt>
                <c:pt idx="13">
                  <c:v>1963</c:v>
                </c:pt>
                <c:pt idx="14">
                  <c:v>4027</c:v>
                </c:pt>
                <c:pt idx="15">
                  <c:v>42392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5B-4329-851E-C4FC62B5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83%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13%</c:v>
                </c:pt>
                <c:pt idx="6">
                  <c:v>71%</c:v>
                </c:pt>
                <c:pt idx="7">
                  <c:v>100%</c:v>
                </c:pt>
                <c:pt idx="8">
                  <c:v>58%</c:v>
                </c:pt>
                <c:pt idx="9">
                  <c:v>0%</c:v>
                </c:pt>
                <c:pt idx="10">
                  <c:v>100%</c:v>
                </c:pt>
                <c:pt idx="11">
                  <c:v>75%</c:v>
                </c:pt>
                <c:pt idx="12">
                  <c:v>25%</c:v>
                </c:pt>
                <c:pt idx="13">
                  <c:v>42%</c:v>
                </c:pt>
                <c:pt idx="14">
                  <c:v>92%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0.83333333333333337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0.125</c:v>
                </c:pt>
                <c:pt idx="6">
                  <c:v>0.70833333333333337</c:v>
                </c:pt>
                <c:pt idx="7">
                  <c:v>1</c:v>
                </c:pt>
                <c:pt idx="8">
                  <c:v>0.58333333333333337</c:v>
                </c:pt>
                <c:pt idx="9">
                  <c:v>0</c:v>
                </c:pt>
                <c:pt idx="10">
                  <c:v>1</c:v>
                </c:pt>
                <c:pt idx="11">
                  <c:v>0.75</c:v>
                </c:pt>
                <c:pt idx="12">
                  <c:v>0.25</c:v>
                </c:pt>
                <c:pt idx="13">
                  <c:v>0.41666666666666669</c:v>
                </c:pt>
                <c:pt idx="14">
                  <c:v>0.91666666666666663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E-4F60-8727-1E8D50DD0AA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5E-4F60-8727-1E8D50DD0AA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PUSHER</c:v>
                </c:pt>
                <c:pt idx="9">
                  <c:v>BASE</c:v>
                </c:pt>
                <c:pt idx="10">
                  <c:v>LID</c:v>
                </c:pt>
                <c:pt idx="11">
                  <c:v>LATCH P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0.60833333333333328</c:v>
                </c:pt>
                <c:pt idx="1">
                  <c:v>0.60833333333333328</c:v>
                </c:pt>
                <c:pt idx="2">
                  <c:v>0.60833333333333328</c:v>
                </c:pt>
                <c:pt idx="3">
                  <c:v>0.60833333333333328</c:v>
                </c:pt>
                <c:pt idx="4">
                  <c:v>0.60833333333333328</c:v>
                </c:pt>
                <c:pt idx="5">
                  <c:v>0.60833333333333328</c:v>
                </c:pt>
                <c:pt idx="6">
                  <c:v>0.60833333333333328</c:v>
                </c:pt>
                <c:pt idx="7">
                  <c:v>0.60833333333333328</c:v>
                </c:pt>
                <c:pt idx="8">
                  <c:v>0.60833333333333328</c:v>
                </c:pt>
                <c:pt idx="9">
                  <c:v>0.60833333333333328</c:v>
                </c:pt>
                <c:pt idx="10">
                  <c:v>0.60833333333333328</c:v>
                </c:pt>
                <c:pt idx="11">
                  <c:v>0.60833333333333328</c:v>
                </c:pt>
                <c:pt idx="12">
                  <c:v>0.60833333333333328</c:v>
                </c:pt>
                <c:pt idx="13">
                  <c:v>0.60833333333333328</c:v>
                </c:pt>
                <c:pt idx="14">
                  <c:v>0.60833333333333328</c:v>
                </c:pt>
                <c:pt idx="15">
                  <c:v>0.60833333333333328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5E-4F60-8727-1E8D50DD0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D2C-4DED-B630-D9A9554428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C-4DED-B630-D9A955442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2C-4DED-B630-D9A9554428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C-4DED-B630-D9A955442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1">
                  <c:v>5294</c:v>
                </c:pt>
                <c:pt idx="2">
                  <c:v>5664</c:v>
                </c:pt>
                <c:pt idx="3">
                  <c:v>3625</c:v>
                </c:pt>
                <c:pt idx="5">
                  <c:v>4055</c:v>
                </c:pt>
                <c:pt idx="7">
                  <c:v>62604</c:v>
                </c:pt>
                <c:pt idx="9">
                  <c:v>40914</c:v>
                </c:pt>
                <c:pt idx="11">
                  <c:v>3416</c:v>
                </c:pt>
                <c:pt idx="12">
                  <c:v>3409</c:v>
                </c:pt>
                <c:pt idx="13">
                  <c:v>5078</c:v>
                </c:pt>
                <c:pt idx="14">
                  <c:v>41500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7-4A2A-B3AE-D78F1C098D56}"/>
            </c:ext>
          </c:extLst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5294</c:v>
                </c:pt>
                <c:pt idx="2">
                  <c:v>5664</c:v>
                </c:pt>
                <c:pt idx="3">
                  <c:v>3625</c:v>
                </c:pt>
                <c:pt idx="4">
                  <c:v>2406</c:v>
                </c:pt>
                <c:pt idx="5">
                  <c:v>4055</c:v>
                </c:pt>
                <c:pt idx="6">
                  <c:v>5304</c:v>
                </c:pt>
                <c:pt idx="7">
                  <c:v>62604</c:v>
                </c:pt>
                <c:pt idx="8">
                  <c:v>131</c:v>
                </c:pt>
                <c:pt idx="9">
                  <c:v>40914</c:v>
                </c:pt>
                <c:pt idx="10">
                  <c:v>4968</c:v>
                </c:pt>
                <c:pt idx="11">
                  <c:v>3416</c:v>
                </c:pt>
                <c:pt idx="12">
                  <c:v>3409</c:v>
                </c:pt>
                <c:pt idx="13">
                  <c:v>5078</c:v>
                </c:pt>
                <c:pt idx="14">
                  <c:v>41500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7-4A2A-B3AE-D78F1C098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5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79%</c:v>
                </c:pt>
                <c:pt idx="4">
                  <c:v>0%</c:v>
                </c:pt>
                <c:pt idx="5">
                  <c:v>75%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75%</c:v>
                </c:pt>
                <c:pt idx="12">
                  <c:v>79%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0.79166666666666663</c:v>
                </c:pt>
                <c:pt idx="4">
                  <c:v>0</c:v>
                </c:pt>
                <c:pt idx="5">
                  <c:v>0.75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0.75</c:v>
                </c:pt>
                <c:pt idx="12">
                  <c:v>0.79166666666666663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7-4537-897B-71058BF1547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07-4537-897B-71058BF154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0.56944444444444442</c:v>
                </c:pt>
                <c:pt idx="1">
                  <c:v>0.56944444444444442</c:v>
                </c:pt>
                <c:pt idx="2">
                  <c:v>0.56944444444444442</c:v>
                </c:pt>
                <c:pt idx="3">
                  <c:v>0.56944444444444442</c:v>
                </c:pt>
                <c:pt idx="4">
                  <c:v>0.56944444444444442</c:v>
                </c:pt>
                <c:pt idx="5">
                  <c:v>0.56944444444444442</c:v>
                </c:pt>
                <c:pt idx="6">
                  <c:v>0.56944444444444442</c:v>
                </c:pt>
                <c:pt idx="7">
                  <c:v>0.56944444444444442</c:v>
                </c:pt>
                <c:pt idx="8">
                  <c:v>0.56944444444444442</c:v>
                </c:pt>
                <c:pt idx="9">
                  <c:v>0.56944444444444442</c:v>
                </c:pt>
                <c:pt idx="10">
                  <c:v>0.56944444444444442</c:v>
                </c:pt>
                <c:pt idx="11">
                  <c:v>0.56944444444444442</c:v>
                </c:pt>
                <c:pt idx="12">
                  <c:v>0.56944444444444442</c:v>
                </c:pt>
                <c:pt idx="13">
                  <c:v>0.56944444444444442</c:v>
                </c:pt>
                <c:pt idx="14">
                  <c:v>0.56944444444444442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07-4537-897B-71058BF15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1">
                  <c:v>5294</c:v>
                </c:pt>
                <c:pt idx="2">
                  <c:v>5664</c:v>
                </c:pt>
                <c:pt idx="3">
                  <c:v>3625</c:v>
                </c:pt>
                <c:pt idx="5">
                  <c:v>4055</c:v>
                </c:pt>
                <c:pt idx="7">
                  <c:v>62604</c:v>
                </c:pt>
                <c:pt idx="9">
                  <c:v>40914</c:v>
                </c:pt>
                <c:pt idx="11">
                  <c:v>3416</c:v>
                </c:pt>
                <c:pt idx="12">
                  <c:v>3409</c:v>
                </c:pt>
                <c:pt idx="13">
                  <c:v>5078</c:v>
                </c:pt>
                <c:pt idx="14">
                  <c:v>41500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5-4E66-A546-4D92598F298A}"/>
            </c:ext>
          </c:extLst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5294</c:v>
                </c:pt>
                <c:pt idx="2">
                  <c:v>5664</c:v>
                </c:pt>
                <c:pt idx="3">
                  <c:v>3625</c:v>
                </c:pt>
                <c:pt idx="4">
                  <c:v>2406</c:v>
                </c:pt>
                <c:pt idx="5">
                  <c:v>4055</c:v>
                </c:pt>
                <c:pt idx="6">
                  <c:v>5304</c:v>
                </c:pt>
                <c:pt idx="7">
                  <c:v>62604</c:v>
                </c:pt>
                <c:pt idx="8">
                  <c:v>131</c:v>
                </c:pt>
                <c:pt idx="9">
                  <c:v>40914</c:v>
                </c:pt>
                <c:pt idx="10">
                  <c:v>4968</c:v>
                </c:pt>
                <c:pt idx="11">
                  <c:v>3416</c:v>
                </c:pt>
                <c:pt idx="12">
                  <c:v>3409</c:v>
                </c:pt>
                <c:pt idx="13">
                  <c:v>5078</c:v>
                </c:pt>
                <c:pt idx="14">
                  <c:v>41500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5-4E66-A546-4D92598F2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5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79%</c:v>
                </c:pt>
                <c:pt idx="4">
                  <c:v>0%</c:v>
                </c:pt>
                <c:pt idx="5">
                  <c:v>75%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75%</c:v>
                </c:pt>
                <c:pt idx="12">
                  <c:v>79%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0.79166666666666663</c:v>
                </c:pt>
                <c:pt idx="4">
                  <c:v>0</c:v>
                </c:pt>
                <c:pt idx="5">
                  <c:v>0.75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0.75</c:v>
                </c:pt>
                <c:pt idx="12">
                  <c:v>0.79166666666666663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0-4623-9755-171731ADE8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80-4623-9755-171731ADE8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8">
                  <c:v>BASE</c:v>
                </c:pt>
                <c:pt idx="9">
                  <c:v>LID</c:v>
                </c:pt>
                <c:pt idx="10">
                  <c:v>LATCH P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0.56944444444444442</c:v>
                </c:pt>
                <c:pt idx="1">
                  <c:v>0.56944444444444442</c:v>
                </c:pt>
                <c:pt idx="2">
                  <c:v>0.56944444444444442</c:v>
                </c:pt>
                <c:pt idx="3">
                  <c:v>0.56944444444444442</c:v>
                </c:pt>
                <c:pt idx="4">
                  <c:v>0.56944444444444442</c:v>
                </c:pt>
                <c:pt idx="5">
                  <c:v>0.56944444444444442</c:v>
                </c:pt>
                <c:pt idx="6">
                  <c:v>0.56944444444444442</c:v>
                </c:pt>
                <c:pt idx="7">
                  <c:v>0.56944444444444442</c:v>
                </c:pt>
                <c:pt idx="8">
                  <c:v>0.56944444444444442</c:v>
                </c:pt>
                <c:pt idx="9">
                  <c:v>0.56944444444444442</c:v>
                </c:pt>
                <c:pt idx="10">
                  <c:v>0.56944444444444442</c:v>
                </c:pt>
                <c:pt idx="11">
                  <c:v>0.56944444444444442</c:v>
                </c:pt>
                <c:pt idx="12">
                  <c:v>0.56944444444444442</c:v>
                </c:pt>
                <c:pt idx="13">
                  <c:v>0.56944444444444442</c:v>
                </c:pt>
                <c:pt idx="14">
                  <c:v>0.56944444444444442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0-4623-9755-171731ADE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13C-4F41-89C8-771B378035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C-4F41-89C8-771B37803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3C-4F41-89C8-771B378035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3C-4F41-89C8-771B37803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1">
                  <c:v>2061</c:v>
                </c:pt>
                <c:pt idx="2">
                  <c:v>5832</c:v>
                </c:pt>
                <c:pt idx="3">
                  <c:v>3716</c:v>
                </c:pt>
                <c:pt idx="4">
                  <c:v>99456</c:v>
                </c:pt>
                <c:pt idx="5">
                  <c:v>4435</c:v>
                </c:pt>
                <c:pt idx="6">
                  <c:v>2475</c:v>
                </c:pt>
                <c:pt idx="7">
                  <c:v>5347</c:v>
                </c:pt>
                <c:pt idx="9">
                  <c:v>25314</c:v>
                </c:pt>
                <c:pt idx="10">
                  <c:v>2652</c:v>
                </c:pt>
                <c:pt idx="11">
                  <c:v>6352</c:v>
                </c:pt>
                <c:pt idx="12">
                  <c:v>5053</c:v>
                </c:pt>
                <c:pt idx="13">
                  <c:v>3986</c:v>
                </c:pt>
                <c:pt idx="14">
                  <c:v>45324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C-4B32-B77F-2E0CBEC3C787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5832</c:v>
                </c:pt>
                <c:pt idx="3">
                  <c:v>3716</c:v>
                </c:pt>
                <c:pt idx="4">
                  <c:v>99456</c:v>
                </c:pt>
                <c:pt idx="5">
                  <c:v>4435</c:v>
                </c:pt>
                <c:pt idx="6">
                  <c:v>2475</c:v>
                </c:pt>
                <c:pt idx="7">
                  <c:v>5347</c:v>
                </c:pt>
                <c:pt idx="8">
                  <c:v>131</c:v>
                </c:pt>
                <c:pt idx="9">
                  <c:v>25314</c:v>
                </c:pt>
                <c:pt idx="10">
                  <c:v>2652</c:v>
                </c:pt>
                <c:pt idx="11">
                  <c:v>6352</c:v>
                </c:pt>
                <c:pt idx="12">
                  <c:v>5053</c:v>
                </c:pt>
                <c:pt idx="13">
                  <c:v>3986</c:v>
                </c:pt>
                <c:pt idx="14">
                  <c:v>45324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C-4B32-B77F-2E0CBEC3C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33%</c:v>
                </c:pt>
                <c:pt idx="2">
                  <c:v>100%</c:v>
                </c:pt>
                <c:pt idx="3">
                  <c:v>75%</c:v>
                </c:pt>
                <c:pt idx="4">
                  <c:v>58%</c:v>
                </c:pt>
                <c:pt idx="5">
                  <c:v>83%</c:v>
                </c:pt>
                <c:pt idx="6">
                  <c:v>58%</c:v>
                </c:pt>
                <c:pt idx="7">
                  <c:v>96%</c:v>
                </c:pt>
                <c:pt idx="8">
                  <c:v>0%</c:v>
                </c:pt>
                <c:pt idx="9">
                  <c:v>67%</c:v>
                </c:pt>
                <c:pt idx="10">
                  <c:v>58%</c:v>
                </c:pt>
                <c:pt idx="11">
                  <c:v>100%</c:v>
                </c:pt>
                <c:pt idx="12">
                  <c:v>100%</c:v>
                </c:pt>
                <c:pt idx="13">
                  <c:v>83%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0.33333333333333331</c:v>
                </c:pt>
                <c:pt idx="2">
                  <c:v>1</c:v>
                </c:pt>
                <c:pt idx="3">
                  <c:v>0.75</c:v>
                </c:pt>
                <c:pt idx="4">
                  <c:v>0.58333333333333337</c:v>
                </c:pt>
                <c:pt idx="5">
                  <c:v>0.83333333333333337</c:v>
                </c:pt>
                <c:pt idx="6">
                  <c:v>0.58333333333333337</c:v>
                </c:pt>
                <c:pt idx="7">
                  <c:v>0.95833333333333337</c:v>
                </c:pt>
                <c:pt idx="8">
                  <c:v>0</c:v>
                </c:pt>
                <c:pt idx="9">
                  <c:v>0.66666666666666663</c:v>
                </c:pt>
                <c:pt idx="10">
                  <c:v>0.58333333333333337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E-4312-9F5B-2EA6136377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4E-4312-9F5B-2EA6136377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0.64444444444444438</c:v>
                </c:pt>
                <c:pt idx="1">
                  <c:v>0.64444444444444438</c:v>
                </c:pt>
                <c:pt idx="2">
                  <c:v>0.64444444444444438</c:v>
                </c:pt>
                <c:pt idx="3">
                  <c:v>0.64444444444444438</c:v>
                </c:pt>
                <c:pt idx="4">
                  <c:v>0.64444444444444438</c:v>
                </c:pt>
                <c:pt idx="5">
                  <c:v>0.64444444444444438</c:v>
                </c:pt>
                <c:pt idx="6">
                  <c:v>0.64444444444444438</c:v>
                </c:pt>
                <c:pt idx="7">
                  <c:v>0.64444444444444438</c:v>
                </c:pt>
                <c:pt idx="8">
                  <c:v>0.64444444444444438</c:v>
                </c:pt>
                <c:pt idx="9">
                  <c:v>0.64444444444444438</c:v>
                </c:pt>
                <c:pt idx="10">
                  <c:v>0.64444444444444438</c:v>
                </c:pt>
                <c:pt idx="11">
                  <c:v>0.64444444444444438</c:v>
                </c:pt>
                <c:pt idx="12">
                  <c:v>0.64444444444444438</c:v>
                </c:pt>
                <c:pt idx="13">
                  <c:v>0.64444444444444438</c:v>
                </c:pt>
                <c:pt idx="14">
                  <c:v>0.64444444444444438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E-4312-9F5B-2EA61363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1">
                  <c:v>2061</c:v>
                </c:pt>
                <c:pt idx="2">
                  <c:v>5832</c:v>
                </c:pt>
                <c:pt idx="3">
                  <c:v>3716</c:v>
                </c:pt>
                <c:pt idx="4">
                  <c:v>99456</c:v>
                </c:pt>
                <c:pt idx="5">
                  <c:v>4435</c:v>
                </c:pt>
                <c:pt idx="6">
                  <c:v>2475</c:v>
                </c:pt>
                <c:pt idx="7">
                  <c:v>5347</c:v>
                </c:pt>
                <c:pt idx="9">
                  <c:v>25314</c:v>
                </c:pt>
                <c:pt idx="10">
                  <c:v>2652</c:v>
                </c:pt>
                <c:pt idx="11">
                  <c:v>6352</c:v>
                </c:pt>
                <c:pt idx="12">
                  <c:v>5053</c:v>
                </c:pt>
                <c:pt idx="13">
                  <c:v>3986</c:v>
                </c:pt>
                <c:pt idx="14">
                  <c:v>45324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1-4453-A797-D613CDBBC6AA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5832</c:v>
                </c:pt>
                <c:pt idx="3">
                  <c:v>3716</c:v>
                </c:pt>
                <c:pt idx="4">
                  <c:v>99456</c:v>
                </c:pt>
                <c:pt idx="5">
                  <c:v>4435</c:v>
                </c:pt>
                <c:pt idx="6">
                  <c:v>2475</c:v>
                </c:pt>
                <c:pt idx="7">
                  <c:v>5347</c:v>
                </c:pt>
                <c:pt idx="8">
                  <c:v>131</c:v>
                </c:pt>
                <c:pt idx="9">
                  <c:v>25314</c:v>
                </c:pt>
                <c:pt idx="10">
                  <c:v>2652</c:v>
                </c:pt>
                <c:pt idx="11">
                  <c:v>6352</c:v>
                </c:pt>
                <c:pt idx="12">
                  <c:v>5053</c:v>
                </c:pt>
                <c:pt idx="13">
                  <c:v>3986</c:v>
                </c:pt>
                <c:pt idx="14">
                  <c:v>45324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1-4453-A797-D613CDBBC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33%</c:v>
                </c:pt>
                <c:pt idx="2">
                  <c:v>100%</c:v>
                </c:pt>
                <c:pt idx="3">
                  <c:v>75%</c:v>
                </c:pt>
                <c:pt idx="4">
                  <c:v>58%</c:v>
                </c:pt>
                <c:pt idx="5">
                  <c:v>83%</c:v>
                </c:pt>
                <c:pt idx="6">
                  <c:v>58%</c:v>
                </c:pt>
                <c:pt idx="7">
                  <c:v>96%</c:v>
                </c:pt>
                <c:pt idx="8">
                  <c:v>0%</c:v>
                </c:pt>
                <c:pt idx="9">
                  <c:v>67%</c:v>
                </c:pt>
                <c:pt idx="10">
                  <c:v>58%</c:v>
                </c:pt>
                <c:pt idx="11">
                  <c:v>100%</c:v>
                </c:pt>
                <c:pt idx="12">
                  <c:v>100%</c:v>
                </c:pt>
                <c:pt idx="13">
                  <c:v>83%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0.33333333333333331</c:v>
                </c:pt>
                <c:pt idx="2">
                  <c:v>1</c:v>
                </c:pt>
                <c:pt idx="3">
                  <c:v>0.75</c:v>
                </c:pt>
                <c:pt idx="4">
                  <c:v>0.58333333333333337</c:v>
                </c:pt>
                <c:pt idx="5">
                  <c:v>0.83333333333333337</c:v>
                </c:pt>
                <c:pt idx="6">
                  <c:v>0.58333333333333337</c:v>
                </c:pt>
                <c:pt idx="7">
                  <c:v>0.95833333333333337</c:v>
                </c:pt>
                <c:pt idx="8">
                  <c:v>0</c:v>
                </c:pt>
                <c:pt idx="9">
                  <c:v>0.66666666666666663</c:v>
                </c:pt>
                <c:pt idx="10">
                  <c:v>0.58333333333333337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0-4690-BBBD-91A93C96483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F0-4690-BBBD-91A93C9648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0.64444444444444438</c:v>
                </c:pt>
                <c:pt idx="1">
                  <c:v>0.64444444444444438</c:v>
                </c:pt>
                <c:pt idx="2">
                  <c:v>0.64444444444444438</c:v>
                </c:pt>
                <c:pt idx="3">
                  <c:v>0.64444444444444438</c:v>
                </c:pt>
                <c:pt idx="4">
                  <c:v>0.64444444444444438</c:v>
                </c:pt>
                <c:pt idx="5">
                  <c:v>0.64444444444444438</c:v>
                </c:pt>
                <c:pt idx="6">
                  <c:v>0.64444444444444438</c:v>
                </c:pt>
                <c:pt idx="7">
                  <c:v>0.64444444444444438</c:v>
                </c:pt>
                <c:pt idx="8">
                  <c:v>0.64444444444444438</c:v>
                </c:pt>
                <c:pt idx="9">
                  <c:v>0.64444444444444438</c:v>
                </c:pt>
                <c:pt idx="10">
                  <c:v>0.64444444444444438</c:v>
                </c:pt>
                <c:pt idx="11">
                  <c:v>0.64444444444444438</c:v>
                </c:pt>
                <c:pt idx="12">
                  <c:v>0.64444444444444438</c:v>
                </c:pt>
                <c:pt idx="13">
                  <c:v>0.64444444444444438</c:v>
                </c:pt>
                <c:pt idx="14">
                  <c:v>0.64444444444444438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0-4690-BBBD-91A93C964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A93-40EC-8D77-EDC8923CBE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3-40EC-8D77-EDC8923C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93-40EC-8D77-EDC8923CBE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93-40EC-8D77-EDC8923C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5688</c:v>
                </c:pt>
                <c:pt idx="3">
                  <c:v>5857</c:v>
                </c:pt>
                <c:pt idx="4">
                  <c:v>240256</c:v>
                </c:pt>
                <c:pt idx="5">
                  <c:v>2025</c:v>
                </c:pt>
                <c:pt idx="6">
                  <c:v>2001</c:v>
                </c:pt>
                <c:pt idx="7">
                  <c:v>5599</c:v>
                </c:pt>
                <c:pt idx="10">
                  <c:v>5645</c:v>
                </c:pt>
                <c:pt idx="11">
                  <c:v>6164</c:v>
                </c:pt>
                <c:pt idx="12">
                  <c:v>5104</c:v>
                </c:pt>
                <c:pt idx="13">
                  <c:v>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B-4E14-8E58-2C25E70152E2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5688</c:v>
                </c:pt>
                <c:pt idx="3">
                  <c:v>5857</c:v>
                </c:pt>
                <c:pt idx="4">
                  <c:v>240256</c:v>
                </c:pt>
                <c:pt idx="5">
                  <c:v>2025</c:v>
                </c:pt>
                <c:pt idx="6">
                  <c:v>2001</c:v>
                </c:pt>
                <c:pt idx="7">
                  <c:v>5599</c:v>
                </c:pt>
                <c:pt idx="8">
                  <c:v>131</c:v>
                </c:pt>
                <c:pt idx="9">
                  <c:v>25314</c:v>
                </c:pt>
                <c:pt idx="10">
                  <c:v>5645</c:v>
                </c:pt>
                <c:pt idx="11">
                  <c:v>6164</c:v>
                </c:pt>
                <c:pt idx="12">
                  <c:v>5104</c:v>
                </c:pt>
                <c:pt idx="13">
                  <c:v>4575</c:v>
                </c:pt>
                <c:pt idx="14">
                  <c:v>45324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B-4E14-8E58-2C25E7015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46%</c:v>
                </c:pt>
                <c:pt idx="6">
                  <c:v>38%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96%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0.45833333333333331</c:v>
                </c:pt>
                <c:pt idx="6">
                  <c:v>0.375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0.95833333333333337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4-4133-A5A3-6B1418E7470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C4-4133-A5A3-6B1418E747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0.58611111111111114</c:v>
                </c:pt>
                <c:pt idx="1">
                  <c:v>0.58611111111111114</c:v>
                </c:pt>
                <c:pt idx="2">
                  <c:v>0.58611111111111114</c:v>
                </c:pt>
                <c:pt idx="3">
                  <c:v>0.58611111111111114</c:v>
                </c:pt>
                <c:pt idx="4">
                  <c:v>0.58611111111111114</c:v>
                </c:pt>
                <c:pt idx="5">
                  <c:v>0.58611111111111114</c:v>
                </c:pt>
                <c:pt idx="6">
                  <c:v>0.58611111111111114</c:v>
                </c:pt>
                <c:pt idx="7">
                  <c:v>0.58611111111111114</c:v>
                </c:pt>
                <c:pt idx="8">
                  <c:v>0.58611111111111114</c:v>
                </c:pt>
                <c:pt idx="9">
                  <c:v>0.58611111111111114</c:v>
                </c:pt>
                <c:pt idx="10">
                  <c:v>0.58611111111111114</c:v>
                </c:pt>
                <c:pt idx="11">
                  <c:v>0.58611111111111114</c:v>
                </c:pt>
                <c:pt idx="12">
                  <c:v>0.58611111111111114</c:v>
                </c:pt>
                <c:pt idx="13">
                  <c:v>0.58611111111111114</c:v>
                </c:pt>
                <c:pt idx="14">
                  <c:v>0.58611111111111114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4-4133-A5A3-6B1418E74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5688</c:v>
                </c:pt>
                <c:pt idx="3">
                  <c:v>5857</c:v>
                </c:pt>
                <c:pt idx="4">
                  <c:v>240256</c:v>
                </c:pt>
                <c:pt idx="5">
                  <c:v>2025</c:v>
                </c:pt>
                <c:pt idx="6">
                  <c:v>2001</c:v>
                </c:pt>
                <c:pt idx="7">
                  <c:v>5599</c:v>
                </c:pt>
                <c:pt idx="10">
                  <c:v>5645</c:v>
                </c:pt>
                <c:pt idx="11">
                  <c:v>6164</c:v>
                </c:pt>
                <c:pt idx="12">
                  <c:v>5104</c:v>
                </c:pt>
                <c:pt idx="13">
                  <c:v>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5-473B-A90A-31857F6B574A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5688</c:v>
                </c:pt>
                <c:pt idx="3">
                  <c:v>5857</c:v>
                </c:pt>
                <c:pt idx="4">
                  <c:v>240256</c:v>
                </c:pt>
                <c:pt idx="5">
                  <c:v>2025</c:v>
                </c:pt>
                <c:pt idx="6">
                  <c:v>2001</c:v>
                </c:pt>
                <c:pt idx="7">
                  <c:v>5599</c:v>
                </c:pt>
                <c:pt idx="8">
                  <c:v>131</c:v>
                </c:pt>
                <c:pt idx="9">
                  <c:v>25314</c:v>
                </c:pt>
                <c:pt idx="10">
                  <c:v>5645</c:v>
                </c:pt>
                <c:pt idx="11">
                  <c:v>6164</c:v>
                </c:pt>
                <c:pt idx="12">
                  <c:v>5104</c:v>
                </c:pt>
                <c:pt idx="13">
                  <c:v>4575</c:v>
                </c:pt>
                <c:pt idx="14">
                  <c:v>45324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5-473B-A90A-31857F6B5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46%</c:v>
                </c:pt>
                <c:pt idx="6">
                  <c:v>38%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96%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0.45833333333333331</c:v>
                </c:pt>
                <c:pt idx="6">
                  <c:v>0.375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0.95833333333333337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B-4A70-B411-9CD8A61693C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6B-4A70-B411-9CD8A61693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0.58611111111111114</c:v>
                </c:pt>
                <c:pt idx="1">
                  <c:v>0.58611111111111114</c:v>
                </c:pt>
                <c:pt idx="2">
                  <c:v>0.58611111111111114</c:v>
                </c:pt>
                <c:pt idx="3">
                  <c:v>0.58611111111111114</c:v>
                </c:pt>
                <c:pt idx="4">
                  <c:v>0.58611111111111114</c:v>
                </c:pt>
                <c:pt idx="5">
                  <c:v>0.58611111111111114</c:v>
                </c:pt>
                <c:pt idx="6">
                  <c:v>0.58611111111111114</c:v>
                </c:pt>
                <c:pt idx="7">
                  <c:v>0.58611111111111114</c:v>
                </c:pt>
                <c:pt idx="8">
                  <c:v>0.58611111111111114</c:v>
                </c:pt>
                <c:pt idx="9">
                  <c:v>0.58611111111111114</c:v>
                </c:pt>
                <c:pt idx="10">
                  <c:v>0.58611111111111114</c:v>
                </c:pt>
                <c:pt idx="11">
                  <c:v>0.58611111111111114</c:v>
                </c:pt>
                <c:pt idx="12">
                  <c:v>0.58611111111111114</c:v>
                </c:pt>
                <c:pt idx="13">
                  <c:v>0.58611111111111114</c:v>
                </c:pt>
                <c:pt idx="14">
                  <c:v>0.58611111111111114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B-4A70-B411-9CD8A6169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9C1-481E-BF47-018F24A95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1-481E-BF47-018F24A95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C1-481E-BF47-018F24A95C7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1-481E-BF47-018F24A95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4143</c:v>
                </c:pt>
                <c:pt idx="3">
                  <c:v>4870</c:v>
                </c:pt>
                <c:pt idx="4">
                  <c:v>203648</c:v>
                </c:pt>
                <c:pt idx="5">
                  <c:v>2212</c:v>
                </c:pt>
                <c:pt idx="6">
                  <c:v>2181</c:v>
                </c:pt>
                <c:pt idx="10">
                  <c:v>5066</c:v>
                </c:pt>
                <c:pt idx="12">
                  <c:v>4518</c:v>
                </c:pt>
                <c:pt idx="13">
                  <c:v>3284</c:v>
                </c:pt>
                <c:pt idx="14">
                  <c:v>36116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A-4091-89B9-985899683E14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4143</c:v>
                </c:pt>
                <c:pt idx="3">
                  <c:v>4870</c:v>
                </c:pt>
                <c:pt idx="4">
                  <c:v>203648</c:v>
                </c:pt>
                <c:pt idx="5">
                  <c:v>2212</c:v>
                </c:pt>
                <c:pt idx="6">
                  <c:v>2181</c:v>
                </c:pt>
                <c:pt idx="7">
                  <c:v>5599</c:v>
                </c:pt>
                <c:pt idx="8">
                  <c:v>131</c:v>
                </c:pt>
                <c:pt idx="9">
                  <c:v>25314</c:v>
                </c:pt>
                <c:pt idx="10">
                  <c:v>5066</c:v>
                </c:pt>
                <c:pt idx="11">
                  <c:v>6164</c:v>
                </c:pt>
                <c:pt idx="12">
                  <c:v>4518</c:v>
                </c:pt>
                <c:pt idx="13">
                  <c:v>3284</c:v>
                </c:pt>
                <c:pt idx="14">
                  <c:v>36116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A-4091-89B9-98589968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100%</c:v>
                </c:pt>
                <c:pt idx="5">
                  <c:v>42%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75%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1</c:v>
                </c:pt>
                <c:pt idx="5">
                  <c:v>0.41666666666666669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0.75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B-4D15-869D-3312041CCF8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EB-4D15-869D-3312041CCF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0.45833333333333326</c:v>
                </c:pt>
                <c:pt idx="1">
                  <c:v>0.45833333333333326</c:v>
                </c:pt>
                <c:pt idx="2">
                  <c:v>0.45833333333333326</c:v>
                </c:pt>
                <c:pt idx="3">
                  <c:v>0.45833333333333326</c:v>
                </c:pt>
                <c:pt idx="4">
                  <c:v>0.45833333333333326</c:v>
                </c:pt>
                <c:pt idx="5">
                  <c:v>0.45833333333333326</c:v>
                </c:pt>
                <c:pt idx="6">
                  <c:v>0.45833333333333326</c:v>
                </c:pt>
                <c:pt idx="7">
                  <c:v>0.45833333333333326</c:v>
                </c:pt>
                <c:pt idx="8">
                  <c:v>0.45833333333333326</c:v>
                </c:pt>
                <c:pt idx="9">
                  <c:v>0.45833333333333326</c:v>
                </c:pt>
                <c:pt idx="10">
                  <c:v>0.45833333333333326</c:v>
                </c:pt>
                <c:pt idx="11">
                  <c:v>0.45833333333333326</c:v>
                </c:pt>
                <c:pt idx="12">
                  <c:v>0.45833333333333326</c:v>
                </c:pt>
                <c:pt idx="13">
                  <c:v>0.45833333333333326</c:v>
                </c:pt>
                <c:pt idx="14">
                  <c:v>0.45833333333333326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B-4D15-869D-3312041CC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4143</c:v>
                </c:pt>
                <c:pt idx="3">
                  <c:v>4870</c:v>
                </c:pt>
                <c:pt idx="4">
                  <c:v>203648</c:v>
                </c:pt>
                <c:pt idx="5">
                  <c:v>2212</c:v>
                </c:pt>
                <c:pt idx="6">
                  <c:v>2181</c:v>
                </c:pt>
                <c:pt idx="10">
                  <c:v>5066</c:v>
                </c:pt>
                <c:pt idx="12">
                  <c:v>4518</c:v>
                </c:pt>
                <c:pt idx="13">
                  <c:v>3284</c:v>
                </c:pt>
                <c:pt idx="14">
                  <c:v>36116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D-4FD3-BA60-F09251689FC1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4143</c:v>
                </c:pt>
                <c:pt idx="3">
                  <c:v>4870</c:v>
                </c:pt>
                <c:pt idx="4">
                  <c:v>203648</c:v>
                </c:pt>
                <c:pt idx="5">
                  <c:v>2212</c:v>
                </c:pt>
                <c:pt idx="6">
                  <c:v>2181</c:v>
                </c:pt>
                <c:pt idx="7">
                  <c:v>5599</c:v>
                </c:pt>
                <c:pt idx="8">
                  <c:v>131</c:v>
                </c:pt>
                <c:pt idx="9">
                  <c:v>25314</c:v>
                </c:pt>
                <c:pt idx="10">
                  <c:v>5066</c:v>
                </c:pt>
                <c:pt idx="11">
                  <c:v>6164</c:v>
                </c:pt>
                <c:pt idx="12">
                  <c:v>4518</c:v>
                </c:pt>
                <c:pt idx="13">
                  <c:v>3284</c:v>
                </c:pt>
                <c:pt idx="14">
                  <c:v>36116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D-4FD3-BA60-F09251689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100%</c:v>
                </c:pt>
                <c:pt idx="5">
                  <c:v>42%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75%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1</c:v>
                </c:pt>
                <c:pt idx="5">
                  <c:v>0.41666666666666669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0.75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E-4A94-AE40-365FD9B426E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0E-4A94-AE40-365FD9B426E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9">
                  <c:v>LID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0.45833333333333326</c:v>
                </c:pt>
                <c:pt idx="1">
                  <c:v>0.45833333333333326</c:v>
                </c:pt>
                <c:pt idx="2">
                  <c:v>0.45833333333333326</c:v>
                </c:pt>
                <c:pt idx="3">
                  <c:v>0.45833333333333326</c:v>
                </c:pt>
                <c:pt idx="4">
                  <c:v>0.45833333333333326</c:v>
                </c:pt>
                <c:pt idx="5">
                  <c:v>0.45833333333333326</c:v>
                </c:pt>
                <c:pt idx="6">
                  <c:v>0.45833333333333326</c:v>
                </c:pt>
                <c:pt idx="7">
                  <c:v>0.45833333333333326</c:v>
                </c:pt>
                <c:pt idx="8">
                  <c:v>0.45833333333333326</c:v>
                </c:pt>
                <c:pt idx="9">
                  <c:v>0.45833333333333326</c:v>
                </c:pt>
                <c:pt idx="10">
                  <c:v>0.45833333333333326</c:v>
                </c:pt>
                <c:pt idx="11">
                  <c:v>0.45833333333333326</c:v>
                </c:pt>
                <c:pt idx="12">
                  <c:v>0.45833333333333326</c:v>
                </c:pt>
                <c:pt idx="13">
                  <c:v>0.45833333333333326</c:v>
                </c:pt>
                <c:pt idx="14">
                  <c:v>0.45833333333333326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E-4A94-AE40-365FD9B42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47F-436C-9405-A5CB69DFBF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F-436C-9405-A5CB69DFB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7F-436C-9405-A5CB69DFBFF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7F-436C-9405-A5CB69DFB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2">
                  <c:v>4230</c:v>
                </c:pt>
                <c:pt idx="3">
                  <c:v>1766</c:v>
                </c:pt>
                <c:pt idx="4">
                  <c:v>207904</c:v>
                </c:pt>
                <c:pt idx="5">
                  <c:v>2810</c:v>
                </c:pt>
                <c:pt idx="6">
                  <c:v>2429</c:v>
                </c:pt>
                <c:pt idx="9">
                  <c:v>1114</c:v>
                </c:pt>
                <c:pt idx="10">
                  <c:v>5065</c:v>
                </c:pt>
                <c:pt idx="12">
                  <c:v>1118</c:v>
                </c:pt>
                <c:pt idx="13">
                  <c:v>559</c:v>
                </c:pt>
                <c:pt idx="14">
                  <c:v>4282</c:v>
                </c:pt>
                <c:pt idx="15">
                  <c:v>42100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1-42F0-90EC-2F10F640BBED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4230</c:v>
                </c:pt>
                <c:pt idx="3">
                  <c:v>1766</c:v>
                </c:pt>
                <c:pt idx="4">
                  <c:v>207904</c:v>
                </c:pt>
                <c:pt idx="5">
                  <c:v>2810</c:v>
                </c:pt>
                <c:pt idx="6">
                  <c:v>2181</c:v>
                </c:pt>
                <c:pt idx="7">
                  <c:v>5599</c:v>
                </c:pt>
                <c:pt idx="8">
                  <c:v>131</c:v>
                </c:pt>
                <c:pt idx="9">
                  <c:v>1114</c:v>
                </c:pt>
                <c:pt idx="10">
                  <c:v>5065</c:v>
                </c:pt>
                <c:pt idx="11">
                  <c:v>6164</c:v>
                </c:pt>
                <c:pt idx="12">
                  <c:v>1118</c:v>
                </c:pt>
                <c:pt idx="13">
                  <c:v>559</c:v>
                </c:pt>
                <c:pt idx="14">
                  <c:v>4282</c:v>
                </c:pt>
                <c:pt idx="15">
                  <c:v>42100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1-42F0-90EC-2F10F640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42%</c:v>
                </c:pt>
                <c:pt idx="4">
                  <c:v>100%</c:v>
                </c:pt>
                <c:pt idx="5">
                  <c:v>58%</c:v>
                </c:pt>
                <c:pt idx="6">
                  <c:v>60%</c:v>
                </c:pt>
                <c:pt idx="7">
                  <c:v>0%</c:v>
                </c:pt>
                <c:pt idx="8">
                  <c:v>0%</c:v>
                </c:pt>
                <c:pt idx="9">
                  <c:v>38%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17%</c:v>
                </c:pt>
                <c:pt idx="14">
                  <c:v>92%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0.41666666666666669</c:v>
                </c:pt>
                <c:pt idx="4">
                  <c:v>1</c:v>
                </c:pt>
                <c:pt idx="5">
                  <c:v>0.58333333333333337</c:v>
                </c:pt>
                <c:pt idx="6">
                  <c:v>0.60325920831422897</c:v>
                </c:pt>
                <c:pt idx="7">
                  <c:v>0</c:v>
                </c:pt>
                <c:pt idx="8">
                  <c:v>0</c:v>
                </c:pt>
                <c:pt idx="9">
                  <c:v>0.375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0.16666666666666666</c:v>
                </c:pt>
                <c:pt idx="14">
                  <c:v>0.91666666666666663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3-4519-B3E5-61786AF4F49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33-4519-B3E5-61786AF4F4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0.45688394722094861</c:v>
                </c:pt>
                <c:pt idx="1">
                  <c:v>0.45688394722094861</c:v>
                </c:pt>
                <c:pt idx="2">
                  <c:v>0.45688394722094861</c:v>
                </c:pt>
                <c:pt idx="3">
                  <c:v>0.45688394722094861</c:v>
                </c:pt>
                <c:pt idx="4">
                  <c:v>0.45688394722094861</c:v>
                </c:pt>
                <c:pt idx="5">
                  <c:v>0.45688394722094861</c:v>
                </c:pt>
                <c:pt idx="6">
                  <c:v>0.45688394722094861</c:v>
                </c:pt>
                <c:pt idx="7">
                  <c:v>0.45688394722094861</c:v>
                </c:pt>
                <c:pt idx="8">
                  <c:v>0.45688394722094861</c:v>
                </c:pt>
                <c:pt idx="9">
                  <c:v>0.45688394722094861</c:v>
                </c:pt>
                <c:pt idx="10">
                  <c:v>0.45688394722094861</c:v>
                </c:pt>
                <c:pt idx="11">
                  <c:v>0.45688394722094861</c:v>
                </c:pt>
                <c:pt idx="12">
                  <c:v>0.45688394722094861</c:v>
                </c:pt>
                <c:pt idx="13">
                  <c:v>0.45688394722094861</c:v>
                </c:pt>
                <c:pt idx="14">
                  <c:v>0.54166666666666663</c:v>
                </c:pt>
                <c:pt idx="15">
                  <c:v>0.45688394722094861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3-4519-B3E5-61786AF4F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2">
                  <c:v>4230</c:v>
                </c:pt>
                <c:pt idx="3">
                  <c:v>1766</c:v>
                </c:pt>
                <c:pt idx="4">
                  <c:v>207904</c:v>
                </c:pt>
                <c:pt idx="5">
                  <c:v>2810</c:v>
                </c:pt>
                <c:pt idx="6">
                  <c:v>2429</c:v>
                </c:pt>
                <c:pt idx="9">
                  <c:v>1114</c:v>
                </c:pt>
                <c:pt idx="10">
                  <c:v>5065</c:v>
                </c:pt>
                <c:pt idx="12">
                  <c:v>1118</c:v>
                </c:pt>
                <c:pt idx="13">
                  <c:v>559</c:v>
                </c:pt>
                <c:pt idx="14">
                  <c:v>4282</c:v>
                </c:pt>
                <c:pt idx="15">
                  <c:v>42100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48C-A884-9B7C185D4B7E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4230</c:v>
                </c:pt>
                <c:pt idx="3">
                  <c:v>1766</c:v>
                </c:pt>
                <c:pt idx="4">
                  <c:v>207904</c:v>
                </c:pt>
                <c:pt idx="5">
                  <c:v>2810</c:v>
                </c:pt>
                <c:pt idx="6">
                  <c:v>2181</c:v>
                </c:pt>
                <c:pt idx="7">
                  <c:v>5599</c:v>
                </c:pt>
                <c:pt idx="8">
                  <c:v>131</c:v>
                </c:pt>
                <c:pt idx="9">
                  <c:v>1114</c:v>
                </c:pt>
                <c:pt idx="10">
                  <c:v>5065</c:v>
                </c:pt>
                <c:pt idx="11">
                  <c:v>6164</c:v>
                </c:pt>
                <c:pt idx="12">
                  <c:v>1118</c:v>
                </c:pt>
                <c:pt idx="13">
                  <c:v>559</c:v>
                </c:pt>
                <c:pt idx="14">
                  <c:v>4282</c:v>
                </c:pt>
                <c:pt idx="15">
                  <c:v>42100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48C-A884-9B7C185D4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42%</c:v>
                </c:pt>
                <c:pt idx="4">
                  <c:v>100%</c:v>
                </c:pt>
                <c:pt idx="5">
                  <c:v>58%</c:v>
                </c:pt>
                <c:pt idx="6">
                  <c:v>60%</c:v>
                </c:pt>
                <c:pt idx="7">
                  <c:v>0%</c:v>
                </c:pt>
                <c:pt idx="8">
                  <c:v>0%</c:v>
                </c:pt>
                <c:pt idx="9">
                  <c:v>38%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17%</c:v>
                </c:pt>
                <c:pt idx="14">
                  <c:v>92%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0.41666666666666669</c:v>
                </c:pt>
                <c:pt idx="4">
                  <c:v>1</c:v>
                </c:pt>
                <c:pt idx="5">
                  <c:v>0.58333333333333337</c:v>
                </c:pt>
                <c:pt idx="6">
                  <c:v>0.60325920831422897</c:v>
                </c:pt>
                <c:pt idx="7">
                  <c:v>0</c:v>
                </c:pt>
                <c:pt idx="8">
                  <c:v>0</c:v>
                </c:pt>
                <c:pt idx="9">
                  <c:v>0.375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0.16666666666666666</c:v>
                </c:pt>
                <c:pt idx="14">
                  <c:v>0.91666666666666663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F-4DC6-9746-8B96AB1B234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0F-4DC6-9746-8B96AB1B23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0.45688394722094861</c:v>
                </c:pt>
                <c:pt idx="1">
                  <c:v>0.45688394722094861</c:v>
                </c:pt>
                <c:pt idx="2">
                  <c:v>0.45688394722094861</c:v>
                </c:pt>
                <c:pt idx="3">
                  <c:v>0.45688394722094861</c:v>
                </c:pt>
                <c:pt idx="4">
                  <c:v>0.45688394722094861</c:v>
                </c:pt>
                <c:pt idx="5">
                  <c:v>0.45688394722094861</c:v>
                </c:pt>
                <c:pt idx="6">
                  <c:v>0.45688394722094861</c:v>
                </c:pt>
                <c:pt idx="7">
                  <c:v>0.45688394722094861</c:v>
                </c:pt>
                <c:pt idx="8">
                  <c:v>0.45688394722094861</c:v>
                </c:pt>
                <c:pt idx="9">
                  <c:v>0.45688394722094861</c:v>
                </c:pt>
                <c:pt idx="10">
                  <c:v>0.45688394722094861</c:v>
                </c:pt>
                <c:pt idx="11">
                  <c:v>0.45688394722094861</c:v>
                </c:pt>
                <c:pt idx="12">
                  <c:v>0.45688394722094861</c:v>
                </c:pt>
                <c:pt idx="13">
                  <c:v>0.45688394722094861</c:v>
                </c:pt>
                <c:pt idx="14">
                  <c:v>0.54166666666666663</c:v>
                </c:pt>
                <c:pt idx="15">
                  <c:v>0.45688394722094861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F-4DC6-9746-8B96AB1B2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F9-449D-BD5C-04AF85A09C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9-449D-BD5C-04AF85A0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F9-449D-BD5C-04AF85A09C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9-449D-BD5C-04AF85A0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4693</c:v>
                </c:pt>
                <c:pt idx="3">
                  <c:v>4863</c:v>
                </c:pt>
                <c:pt idx="4">
                  <c:v>5172</c:v>
                </c:pt>
                <c:pt idx="5">
                  <c:v>4371</c:v>
                </c:pt>
                <c:pt idx="6">
                  <c:v>3786</c:v>
                </c:pt>
                <c:pt idx="10">
                  <c:v>5312</c:v>
                </c:pt>
                <c:pt idx="12">
                  <c:v>361</c:v>
                </c:pt>
                <c:pt idx="13">
                  <c:v>4124</c:v>
                </c:pt>
                <c:pt idx="14">
                  <c:v>34224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0-4435-9482-A33530D1ADD2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4693</c:v>
                </c:pt>
                <c:pt idx="3">
                  <c:v>4863</c:v>
                </c:pt>
                <c:pt idx="4">
                  <c:v>5172</c:v>
                </c:pt>
                <c:pt idx="5">
                  <c:v>4371</c:v>
                </c:pt>
                <c:pt idx="6">
                  <c:v>3786</c:v>
                </c:pt>
                <c:pt idx="7">
                  <c:v>5599</c:v>
                </c:pt>
                <c:pt idx="8">
                  <c:v>131</c:v>
                </c:pt>
                <c:pt idx="9">
                  <c:v>1114</c:v>
                </c:pt>
                <c:pt idx="10">
                  <c:v>5312</c:v>
                </c:pt>
                <c:pt idx="11">
                  <c:v>6164</c:v>
                </c:pt>
                <c:pt idx="12">
                  <c:v>361</c:v>
                </c:pt>
                <c:pt idx="13">
                  <c:v>4124</c:v>
                </c:pt>
                <c:pt idx="14">
                  <c:v>34224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0-4435-9482-A33530D1A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100%</c:v>
                </c:pt>
                <c:pt idx="4">
                  <c:v>21%</c:v>
                </c:pt>
                <c:pt idx="5">
                  <c:v>83%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17%</c:v>
                </c:pt>
                <c:pt idx="13">
                  <c:v>92%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1</c:v>
                </c:pt>
                <c:pt idx="4">
                  <c:v>0.20833333333333334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0.91666666666666663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A-42B0-84BC-0BE25303450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8A-42B0-84BC-0BE2530345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0.42777777777777787</c:v>
                </c:pt>
                <c:pt idx="1">
                  <c:v>0.42777777777777787</c:v>
                </c:pt>
                <c:pt idx="2">
                  <c:v>0.42777777777777787</c:v>
                </c:pt>
                <c:pt idx="3">
                  <c:v>0.42777777777777787</c:v>
                </c:pt>
                <c:pt idx="4">
                  <c:v>0.42777777777777787</c:v>
                </c:pt>
                <c:pt idx="5">
                  <c:v>0.42777777777777787</c:v>
                </c:pt>
                <c:pt idx="6">
                  <c:v>0.42777777777777787</c:v>
                </c:pt>
                <c:pt idx="7">
                  <c:v>0.42777777777777787</c:v>
                </c:pt>
                <c:pt idx="8">
                  <c:v>0.42777777777777787</c:v>
                </c:pt>
                <c:pt idx="9">
                  <c:v>0.42777777777777787</c:v>
                </c:pt>
                <c:pt idx="10">
                  <c:v>0.42777777777777787</c:v>
                </c:pt>
                <c:pt idx="11">
                  <c:v>0.42777777777777787</c:v>
                </c:pt>
                <c:pt idx="12">
                  <c:v>0.42777777777777787</c:v>
                </c:pt>
                <c:pt idx="13">
                  <c:v>0.54166666666666663</c:v>
                </c:pt>
                <c:pt idx="14">
                  <c:v>0.42777777777777787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8A-42B0-84BC-0BE253034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4693</c:v>
                </c:pt>
                <c:pt idx="3">
                  <c:v>4863</c:v>
                </c:pt>
                <c:pt idx="4">
                  <c:v>5172</c:v>
                </c:pt>
                <c:pt idx="5">
                  <c:v>4371</c:v>
                </c:pt>
                <c:pt idx="6">
                  <c:v>3786</c:v>
                </c:pt>
                <c:pt idx="10">
                  <c:v>5312</c:v>
                </c:pt>
                <c:pt idx="12">
                  <c:v>361</c:v>
                </c:pt>
                <c:pt idx="13">
                  <c:v>4124</c:v>
                </c:pt>
                <c:pt idx="14">
                  <c:v>34224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B-4F51-93E8-4D30AEDC5D05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4693</c:v>
                </c:pt>
                <c:pt idx="3">
                  <c:v>4863</c:v>
                </c:pt>
                <c:pt idx="4">
                  <c:v>5172</c:v>
                </c:pt>
                <c:pt idx="5">
                  <c:v>4371</c:v>
                </c:pt>
                <c:pt idx="6">
                  <c:v>3786</c:v>
                </c:pt>
                <c:pt idx="7">
                  <c:v>5599</c:v>
                </c:pt>
                <c:pt idx="8">
                  <c:v>131</c:v>
                </c:pt>
                <c:pt idx="9">
                  <c:v>1114</c:v>
                </c:pt>
                <c:pt idx="10">
                  <c:v>5312</c:v>
                </c:pt>
                <c:pt idx="11">
                  <c:v>6164</c:v>
                </c:pt>
                <c:pt idx="12">
                  <c:v>361</c:v>
                </c:pt>
                <c:pt idx="13">
                  <c:v>4124</c:v>
                </c:pt>
                <c:pt idx="14">
                  <c:v>34224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B-4F51-93E8-4D30AEDC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100%</c:v>
                </c:pt>
                <c:pt idx="4">
                  <c:v>21%</c:v>
                </c:pt>
                <c:pt idx="5">
                  <c:v>83%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17%</c:v>
                </c:pt>
                <c:pt idx="13">
                  <c:v>92%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1</c:v>
                </c:pt>
                <c:pt idx="4">
                  <c:v>0.20833333333333334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0.91666666666666663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9-4DE5-874F-51360DFCCE0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B9-4DE5-874F-51360DFCCE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STOPPER</c:v>
                </c:pt>
                <c:pt idx="8">
                  <c:v>88P</c:v>
                </c:pt>
                <c:pt idx="10">
                  <c:v>COVER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0.42777777777777787</c:v>
                </c:pt>
                <c:pt idx="1">
                  <c:v>0.42777777777777787</c:v>
                </c:pt>
                <c:pt idx="2">
                  <c:v>0.42777777777777787</c:v>
                </c:pt>
                <c:pt idx="3">
                  <c:v>0.42777777777777787</c:v>
                </c:pt>
                <c:pt idx="4">
                  <c:v>0.42777777777777787</c:v>
                </c:pt>
                <c:pt idx="5">
                  <c:v>0.42777777777777787</c:v>
                </c:pt>
                <c:pt idx="6">
                  <c:v>0.42777777777777787</c:v>
                </c:pt>
                <c:pt idx="7">
                  <c:v>0.42777777777777787</c:v>
                </c:pt>
                <c:pt idx="8">
                  <c:v>0.42777777777777787</c:v>
                </c:pt>
                <c:pt idx="9">
                  <c:v>0.42777777777777787</c:v>
                </c:pt>
                <c:pt idx="10">
                  <c:v>0.42777777777777787</c:v>
                </c:pt>
                <c:pt idx="11">
                  <c:v>0.42777777777777787</c:v>
                </c:pt>
                <c:pt idx="12">
                  <c:v>0.42777777777777787</c:v>
                </c:pt>
                <c:pt idx="13">
                  <c:v>0.54166666666666663</c:v>
                </c:pt>
                <c:pt idx="14">
                  <c:v>0.42777777777777787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9-4DE5-874F-51360DFCC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0C3-4D31-855F-54E409957B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3-4D31-855F-54E409957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C3-4D31-855F-54E409957B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3-4D31-855F-54E409957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5789</c:v>
                </c:pt>
                <c:pt idx="3">
                  <c:v>5257</c:v>
                </c:pt>
                <c:pt idx="4">
                  <c:v>22401</c:v>
                </c:pt>
                <c:pt idx="5">
                  <c:v>5994</c:v>
                </c:pt>
                <c:pt idx="6">
                  <c:v>4163</c:v>
                </c:pt>
                <c:pt idx="7">
                  <c:v>2098</c:v>
                </c:pt>
                <c:pt idx="10">
                  <c:v>5349</c:v>
                </c:pt>
                <c:pt idx="13">
                  <c:v>5194</c:v>
                </c:pt>
                <c:pt idx="14">
                  <c:v>40520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1-4B70-81E9-449FA941AD5C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5789</c:v>
                </c:pt>
                <c:pt idx="3">
                  <c:v>5257</c:v>
                </c:pt>
                <c:pt idx="4">
                  <c:v>22401</c:v>
                </c:pt>
                <c:pt idx="5">
                  <c:v>5994</c:v>
                </c:pt>
                <c:pt idx="6">
                  <c:v>4163</c:v>
                </c:pt>
                <c:pt idx="7">
                  <c:v>2098</c:v>
                </c:pt>
                <c:pt idx="8">
                  <c:v>131</c:v>
                </c:pt>
                <c:pt idx="9">
                  <c:v>1114</c:v>
                </c:pt>
                <c:pt idx="10">
                  <c:v>5349</c:v>
                </c:pt>
                <c:pt idx="11">
                  <c:v>6164</c:v>
                </c:pt>
                <c:pt idx="12">
                  <c:v>361</c:v>
                </c:pt>
                <c:pt idx="13">
                  <c:v>5194</c:v>
                </c:pt>
                <c:pt idx="14">
                  <c:v>40520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1-4B70-81E9-449FA941A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92%</c:v>
                </c:pt>
                <c:pt idx="5">
                  <c:v>92%</c:v>
                </c:pt>
                <c:pt idx="6">
                  <c:v>88%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0.875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8-48E6-8266-E6E4473231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18-48E6-8266-E6E4473231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0.51388888888888884</c:v>
                </c:pt>
                <c:pt idx="1">
                  <c:v>0.51388888888888884</c:v>
                </c:pt>
                <c:pt idx="2">
                  <c:v>0.51388888888888884</c:v>
                </c:pt>
                <c:pt idx="3">
                  <c:v>0.51388888888888884</c:v>
                </c:pt>
                <c:pt idx="4">
                  <c:v>0.51388888888888884</c:v>
                </c:pt>
                <c:pt idx="5">
                  <c:v>0.51388888888888884</c:v>
                </c:pt>
                <c:pt idx="6">
                  <c:v>0.51388888888888884</c:v>
                </c:pt>
                <c:pt idx="7">
                  <c:v>0.51388888888888884</c:v>
                </c:pt>
                <c:pt idx="8">
                  <c:v>0.51388888888888884</c:v>
                </c:pt>
                <c:pt idx="9">
                  <c:v>0.51388888888888884</c:v>
                </c:pt>
                <c:pt idx="10">
                  <c:v>0.51388888888888884</c:v>
                </c:pt>
                <c:pt idx="11">
                  <c:v>0.51388888888888884</c:v>
                </c:pt>
                <c:pt idx="12">
                  <c:v>0.51388888888888884</c:v>
                </c:pt>
                <c:pt idx="13">
                  <c:v>0.54166666666666663</c:v>
                </c:pt>
                <c:pt idx="14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8-48E6-8266-E6E447323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5789</c:v>
                </c:pt>
                <c:pt idx="3">
                  <c:v>5257</c:v>
                </c:pt>
                <c:pt idx="4">
                  <c:v>22401</c:v>
                </c:pt>
                <c:pt idx="5">
                  <c:v>5994</c:v>
                </c:pt>
                <c:pt idx="6">
                  <c:v>4163</c:v>
                </c:pt>
                <c:pt idx="7">
                  <c:v>2098</c:v>
                </c:pt>
                <c:pt idx="10">
                  <c:v>5349</c:v>
                </c:pt>
                <c:pt idx="13">
                  <c:v>5194</c:v>
                </c:pt>
                <c:pt idx="14">
                  <c:v>40520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C-473B-8645-F1F37EC5D18C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5789</c:v>
                </c:pt>
                <c:pt idx="3">
                  <c:v>5257</c:v>
                </c:pt>
                <c:pt idx="4">
                  <c:v>22401</c:v>
                </c:pt>
                <c:pt idx="5">
                  <c:v>5994</c:v>
                </c:pt>
                <c:pt idx="6">
                  <c:v>4163</c:v>
                </c:pt>
                <c:pt idx="7">
                  <c:v>2098</c:v>
                </c:pt>
                <c:pt idx="8">
                  <c:v>131</c:v>
                </c:pt>
                <c:pt idx="9">
                  <c:v>1114</c:v>
                </c:pt>
                <c:pt idx="10">
                  <c:v>5349</c:v>
                </c:pt>
                <c:pt idx="11">
                  <c:v>6164</c:v>
                </c:pt>
                <c:pt idx="12">
                  <c:v>361</c:v>
                </c:pt>
                <c:pt idx="13">
                  <c:v>5194</c:v>
                </c:pt>
                <c:pt idx="14">
                  <c:v>40520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C-473B-8645-F1F37EC5D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92%</c:v>
                </c:pt>
                <c:pt idx="5">
                  <c:v>92%</c:v>
                </c:pt>
                <c:pt idx="6">
                  <c:v>88%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0.875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9-4F81-B8F2-4FE34FF84FD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49-4F81-B8F2-4FE34FF84F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0.51388888888888884</c:v>
                </c:pt>
                <c:pt idx="1">
                  <c:v>0.51388888888888884</c:v>
                </c:pt>
                <c:pt idx="2">
                  <c:v>0.51388888888888884</c:v>
                </c:pt>
                <c:pt idx="3">
                  <c:v>0.51388888888888884</c:v>
                </c:pt>
                <c:pt idx="4">
                  <c:v>0.51388888888888884</c:v>
                </c:pt>
                <c:pt idx="5">
                  <c:v>0.51388888888888884</c:v>
                </c:pt>
                <c:pt idx="6">
                  <c:v>0.51388888888888884</c:v>
                </c:pt>
                <c:pt idx="7">
                  <c:v>0.51388888888888884</c:v>
                </c:pt>
                <c:pt idx="8">
                  <c:v>0.51388888888888884</c:v>
                </c:pt>
                <c:pt idx="9">
                  <c:v>0.51388888888888884</c:v>
                </c:pt>
                <c:pt idx="10">
                  <c:v>0.51388888888888884</c:v>
                </c:pt>
                <c:pt idx="11">
                  <c:v>0.51388888888888884</c:v>
                </c:pt>
                <c:pt idx="12">
                  <c:v>0.51388888888888884</c:v>
                </c:pt>
                <c:pt idx="13">
                  <c:v>0.54166666666666663</c:v>
                </c:pt>
                <c:pt idx="14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9-4F81-B8F2-4FE34FF84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CE9-4AC7-A197-B86D2B1F26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9-4AC7-A197-B86D2B1F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E9-4AC7-A197-B86D2B1F26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E9-4AC7-A197-B86D2B1F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2627</c:v>
                </c:pt>
                <c:pt idx="3">
                  <c:v>2562</c:v>
                </c:pt>
                <c:pt idx="4">
                  <c:v>13542</c:v>
                </c:pt>
                <c:pt idx="6">
                  <c:v>1336</c:v>
                </c:pt>
                <c:pt idx="7">
                  <c:v>773</c:v>
                </c:pt>
                <c:pt idx="9">
                  <c:v>1910</c:v>
                </c:pt>
                <c:pt idx="10">
                  <c:v>2604</c:v>
                </c:pt>
                <c:pt idx="11">
                  <c:v>858</c:v>
                </c:pt>
                <c:pt idx="13">
                  <c:v>424</c:v>
                </c:pt>
                <c:pt idx="14">
                  <c:v>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D-4D23-B724-436154F6B33F}"/>
            </c:ext>
          </c:extLst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2627</c:v>
                </c:pt>
                <c:pt idx="3">
                  <c:v>2562</c:v>
                </c:pt>
                <c:pt idx="4">
                  <c:v>13542</c:v>
                </c:pt>
                <c:pt idx="5">
                  <c:v>5994</c:v>
                </c:pt>
                <c:pt idx="6">
                  <c:v>1336</c:v>
                </c:pt>
                <c:pt idx="7">
                  <c:v>773</c:v>
                </c:pt>
                <c:pt idx="8">
                  <c:v>131</c:v>
                </c:pt>
                <c:pt idx="9">
                  <c:v>1910</c:v>
                </c:pt>
                <c:pt idx="10">
                  <c:v>2604</c:v>
                </c:pt>
                <c:pt idx="11">
                  <c:v>858</c:v>
                </c:pt>
                <c:pt idx="12">
                  <c:v>361</c:v>
                </c:pt>
                <c:pt idx="13">
                  <c:v>5194</c:v>
                </c:pt>
                <c:pt idx="14">
                  <c:v>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D-4D23-B724-436154F6B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33%</c:v>
                </c:pt>
                <c:pt idx="4">
                  <c:v>33%</c:v>
                </c:pt>
                <c:pt idx="5">
                  <c:v>0%</c:v>
                </c:pt>
                <c:pt idx="6">
                  <c:v>25%</c:v>
                </c:pt>
                <c:pt idx="7">
                  <c:v>17%</c:v>
                </c:pt>
                <c:pt idx="8">
                  <c:v>0%</c:v>
                </c:pt>
                <c:pt idx="9">
                  <c:v>33%</c:v>
                </c:pt>
                <c:pt idx="10">
                  <c:v>33%</c:v>
                </c:pt>
                <c:pt idx="11">
                  <c:v>21%</c:v>
                </c:pt>
                <c:pt idx="12">
                  <c:v>0%</c:v>
                </c:pt>
                <c:pt idx="13">
                  <c:v>1%</c:v>
                </c:pt>
                <c:pt idx="14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0.25</c:v>
                </c:pt>
                <c:pt idx="7">
                  <c:v>0.16666666666666666</c:v>
                </c:pt>
                <c:pt idx="8">
                  <c:v>0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0.20833333333333334</c:v>
                </c:pt>
                <c:pt idx="12">
                  <c:v>0</c:v>
                </c:pt>
                <c:pt idx="13">
                  <c:v>1.020408163265306E-2</c:v>
                </c:pt>
                <c:pt idx="1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1-43C1-8438-3A00DE415B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81-43C1-8438-3A00DE415B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0.17568027210884357</c:v>
                </c:pt>
                <c:pt idx="1">
                  <c:v>0.17568027210884357</c:v>
                </c:pt>
                <c:pt idx="2">
                  <c:v>0.17568027210884357</c:v>
                </c:pt>
                <c:pt idx="3">
                  <c:v>0.17568027210884357</c:v>
                </c:pt>
                <c:pt idx="4">
                  <c:v>0.17568027210884357</c:v>
                </c:pt>
                <c:pt idx="5">
                  <c:v>0.17568027210884357</c:v>
                </c:pt>
                <c:pt idx="6">
                  <c:v>0.17568027210884357</c:v>
                </c:pt>
                <c:pt idx="7">
                  <c:v>0.17568027210884357</c:v>
                </c:pt>
                <c:pt idx="8">
                  <c:v>0.17568027210884357</c:v>
                </c:pt>
                <c:pt idx="9">
                  <c:v>0.17568027210884357</c:v>
                </c:pt>
                <c:pt idx="10">
                  <c:v>0.17568027210884357</c:v>
                </c:pt>
                <c:pt idx="11">
                  <c:v>0.17568027210884357</c:v>
                </c:pt>
                <c:pt idx="12">
                  <c:v>0.17568027210884357</c:v>
                </c:pt>
                <c:pt idx="13">
                  <c:v>0.33333333333333331</c:v>
                </c:pt>
                <c:pt idx="14">
                  <c:v>0.17568027210884357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81-43C1-8438-3A00DE41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2627</c:v>
                </c:pt>
                <c:pt idx="3">
                  <c:v>2562</c:v>
                </c:pt>
                <c:pt idx="4">
                  <c:v>13542</c:v>
                </c:pt>
                <c:pt idx="6">
                  <c:v>1336</c:v>
                </c:pt>
                <c:pt idx="7">
                  <c:v>773</c:v>
                </c:pt>
                <c:pt idx="9">
                  <c:v>1910</c:v>
                </c:pt>
                <c:pt idx="10">
                  <c:v>2604</c:v>
                </c:pt>
                <c:pt idx="11">
                  <c:v>858</c:v>
                </c:pt>
                <c:pt idx="13">
                  <c:v>424</c:v>
                </c:pt>
                <c:pt idx="14">
                  <c:v>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4-4E77-A39B-60B3D4E0EA60}"/>
            </c:ext>
          </c:extLst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2627</c:v>
                </c:pt>
                <c:pt idx="3">
                  <c:v>2562</c:v>
                </c:pt>
                <c:pt idx="4">
                  <c:v>13542</c:v>
                </c:pt>
                <c:pt idx="5">
                  <c:v>5994</c:v>
                </c:pt>
                <c:pt idx="6">
                  <c:v>1336</c:v>
                </c:pt>
                <c:pt idx="7">
                  <c:v>773</c:v>
                </c:pt>
                <c:pt idx="8">
                  <c:v>131</c:v>
                </c:pt>
                <c:pt idx="9">
                  <c:v>1910</c:v>
                </c:pt>
                <c:pt idx="10">
                  <c:v>2604</c:v>
                </c:pt>
                <c:pt idx="11">
                  <c:v>858</c:v>
                </c:pt>
                <c:pt idx="12">
                  <c:v>361</c:v>
                </c:pt>
                <c:pt idx="13">
                  <c:v>5194</c:v>
                </c:pt>
                <c:pt idx="14">
                  <c:v>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4-4E77-A39B-60B3D4E0E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33%</c:v>
                </c:pt>
                <c:pt idx="4">
                  <c:v>33%</c:v>
                </c:pt>
                <c:pt idx="5">
                  <c:v>0%</c:v>
                </c:pt>
                <c:pt idx="6">
                  <c:v>25%</c:v>
                </c:pt>
                <c:pt idx="7">
                  <c:v>17%</c:v>
                </c:pt>
                <c:pt idx="8">
                  <c:v>0%</c:v>
                </c:pt>
                <c:pt idx="9">
                  <c:v>33%</c:v>
                </c:pt>
                <c:pt idx="10">
                  <c:v>33%</c:v>
                </c:pt>
                <c:pt idx="11">
                  <c:v>21%</c:v>
                </c:pt>
                <c:pt idx="12">
                  <c:v>0%</c:v>
                </c:pt>
                <c:pt idx="13">
                  <c:v>1%</c:v>
                </c:pt>
                <c:pt idx="14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0.25</c:v>
                </c:pt>
                <c:pt idx="7">
                  <c:v>0.16666666666666666</c:v>
                </c:pt>
                <c:pt idx="8">
                  <c:v>0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0.20833333333333334</c:v>
                </c:pt>
                <c:pt idx="12">
                  <c:v>0</c:v>
                </c:pt>
                <c:pt idx="13">
                  <c:v>1.020408163265306E-2</c:v>
                </c:pt>
                <c:pt idx="1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D-41BB-AE54-4CA641B9F0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4D-41BB-AE54-4CA641B9F0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0.17568027210884357</c:v>
                </c:pt>
                <c:pt idx="1">
                  <c:v>0.17568027210884357</c:v>
                </c:pt>
                <c:pt idx="2">
                  <c:v>0.17568027210884357</c:v>
                </c:pt>
                <c:pt idx="3">
                  <c:v>0.17568027210884357</c:v>
                </c:pt>
                <c:pt idx="4">
                  <c:v>0.17568027210884357</c:v>
                </c:pt>
                <c:pt idx="5">
                  <c:v>0.17568027210884357</c:v>
                </c:pt>
                <c:pt idx="6">
                  <c:v>0.17568027210884357</c:v>
                </c:pt>
                <c:pt idx="7">
                  <c:v>0.17568027210884357</c:v>
                </c:pt>
                <c:pt idx="8">
                  <c:v>0.17568027210884357</c:v>
                </c:pt>
                <c:pt idx="9">
                  <c:v>0.17568027210884357</c:v>
                </c:pt>
                <c:pt idx="10">
                  <c:v>0.17568027210884357</c:v>
                </c:pt>
                <c:pt idx="11">
                  <c:v>0.17568027210884357</c:v>
                </c:pt>
                <c:pt idx="12">
                  <c:v>0.17568027210884357</c:v>
                </c:pt>
                <c:pt idx="13">
                  <c:v>0.33333333333333331</c:v>
                </c:pt>
                <c:pt idx="14">
                  <c:v>0.17568027210884357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D-41BB-AE54-4CA641B9F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89F-4E1E-BBAE-D9591FAD8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F-4E1E-BBAE-D9591FAD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9F-4E1E-BBAE-D9591FAD86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9F-4E1E-BBAE-D9591FAD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2">
                  <c:v>4995</c:v>
                </c:pt>
                <c:pt idx="3">
                  <c:v>5085</c:v>
                </c:pt>
                <c:pt idx="4">
                  <c:v>29328</c:v>
                </c:pt>
                <c:pt idx="5">
                  <c:v>4733</c:v>
                </c:pt>
                <c:pt idx="6">
                  <c:v>3498</c:v>
                </c:pt>
                <c:pt idx="7">
                  <c:v>3691</c:v>
                </c:pt>
                <c:pt idx="9">
                  <c:v>2918</c:v>
                </c:pt>
                <c:pt idx="10">
                  <c:v>3301</c:v>
                </c:pt>
                <c:pt idx="11">
                  <c:v>698</c:v>
                </c:pt>
                <c:pt idx="12">
                  <c:v>1050</c:v>
                </c:pt>
                <c:pt idx="13">
                  <c:v>3263</c:v>
                </c:pt>
                <c:pt idx="14">
                  <c:v>2663</c:v>
                </c:pt>
                <c:pt idx="15">
                  <c:v>38372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9-4315-B83A-1B452CD2FEAC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4995</c:v>
                </c:pt>
                <c:pt idx="3">
                  <c:v>5085</c:v>
                </c:pt>
                <c:pt idx="4">
                  <c:v>29328</c:v>
                </c:pt>
                <c:pt idx="5">
                  <c:v>4733</c:v>
                </c:pt>
                <c:pt idx="6">
                  <c:v>3498</c:v>
                </c:pt>
                <c:pt idx="7">
                  <c:v>3691</c:v>
                </c:pt>
                <c:pt idx="8">
                  <c:v>131</c:v>
                </c:pt>
                <c:pt idx="9">
                  <c:v>2918</c:v>
                </c:pt>
                <c:pt idx="10">
                  <c:v>3301</c:v>
                </c:pt>
                <c:pt idx="11">
                  <c:v>698</c:v>
                </c:pt>
                <c:pt idx="12">
                  <c:v>1050</c:v>
                </c:pt>
                <c:pt idx="13">
                  <c:v>3263</c:v>
                </c:pt>
                <c:pt idx="14">
                  <c:v>2663</c:v>
                </c:pt>
                <c:pt idx="15">
                  <c:v>38372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9-4315-B83A-1B452CD2F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83%</c:v>
                </c:pt>
                <c:pt idx="7">
                  <c:v>88%</c:v>
                </c:pt>
                <c:pt idx="8">
                  <c:v>0%</c:v>
                </c:pt>
                <c:pt idx="9">
                  <c:v>75%</c:v>
                </c:pt>
                <c:pt idx="10">
                  <c:v>67%</c:v>
                </c:pt>
                <c:pt idx="11">
                  <c:v>17%</c:v>
                </c:pt>
                <c:pt idx="12">
                  <c:v>25%</c:v>
                </c:pt>
                <c:pt idx="13">
                  <c:v>67%</c:v>
                </c:pt>
                <c:pt idx="14">
                  <c:v>71%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0.16666666666666666</c:v>
                </c:pt>
                <c:pt idx="12">
                  <c:v>0.25</c:v>
                </c:pt>
                <c:pt idx="13">
                  <c:v>0.66666666666666663</c:v>
                </c:pt>
                <c:pt idx="14">
                  <c:v>0.70833333333333337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7-4F4F-91F3-CE7D0D21FE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97-4F4F-91F3-CE7D0D21FE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0.62500000000000011</c:v>
                </c:pt>
                <c:pt idx="1">
                  <c:v>0.62500000000000011</c:v>
                </c:pt>
                <c:pt idx="2">
                  <c:v>0.62500000000000011</c:v>
                </c:pt>
                <c:pt idx="3">
                  <c:v>0.62500000000000011</c:v>
                </c:pt>
                <c:pt idx="4">
                  <c:v>0.62500000000000011</c:v>
                </c:pt>
                <c:pt idx="5">
                  <c:v>0.62500000000000011</c:v>
                </c:pt>
                <c:pt idx="6">
                  <c:v>0.62500000000000011</c:v>
                </c:pt>
                <c:pt idx="7">
                  <c:v>0.62500000000000011</c:v>
                </c:pt>
                <c:pt idx="8">
                  <c:v>0.62500000000000011</c:v>
                </c:pt>
                <c:pt idx="9">
                  <c:v>0.62500000000000011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0.62500000000000011</c:v>
                </c:pt>
                <c:pt idx="13">
                  <c:v>0.62500000000000011</c:v>
                </c:pt>
                <c:pt idx="14">
                  <c:v>0.45833333333333331</c:v>
                </c:pt>
                <c:pt idx="15">
                  <c:v>0.62500000000000011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97-4F4F-91F3-CE7D0D21F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2">
                  <c:v>4995</c:v>
                </c:pt>
                <c:pt idx="3">
                  <c:v>5085</c:v>
                </c:pt>
                <c:pt idx="4">
                  <c:v>29328</c:v>
                </c:pt>
                <c:pt idx="5">
                  <c:v>4733</c:v>
                </c:pt>
                <c:pt idx="6">
                  <c:v>3498</c:v>
                </c:pt>
                <c:pt idx="7">
                  <c:v>3691</c:v>
                </c:pt>
                <c:pt idx="9">
                  <c:v>2918</c:v>
                </c:pt>
                <c:pt idx="10">
                  <c:v>3301</c:v>
                </c:pt>
                <c:pt idx="11">
                  <c:v>698</c:v>
                </c:pt>
                <c:pt idx="12">
                  <c:v>1050</c:v>
                </c:pt>
                <c:pt idx="13">
                  <c:v>3263</c:v>
                </c:pt>
                <c:pt idx="14">
                  <c:v>2663</c:v>
                </c:pt>
                <c:pt idx="15">
                  <c:v>38372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B-46DD-B54F-0EC9BDB8CCF9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4995</c:v>
                </c:pt>
                <c:pt idx="3">
                  <c:v>5085</c:v>
                </c:pt>
                <c:pt idx="4">
                  <c:v>29328</c:v>
                </c:pt>
                <c:pt idx="5">
                  <c:v>4733</c:v>
                </c:pt>
                <c:pt idx="6">
                  <c:v>3498</c:v>
                </c:pt>
                <c:pt idx="7">
                  <c:v>3691</c:v>
                </c:pt>
                <c:pt idx="8">
                  <c:v>131</c:v>
                </c:pt>
                <c:pt idx="9">
                  <c:v>2918</c:v>
                </c:pt>
                <c:pt idx="10">
                  <c:v>3301</c:v>
                </c:pt>
                <c:pt idx="11">
                  <c:v>698</c:v>
                </c:pt>
                <c:pt idx="12">
                  <c:v>1050</c:v>
                </c:pt>
                <c:pt idx="13">
                  <c:v>3263</c:v>
                </c:pt>
                <c:pt idx="14">
                  <c:v>2663</c:v>
                </c:pt>
                <c:pt idx="15">
                  <c:v>38372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B-46DD-B54F-0EC9BDB8C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83%</c:v>
                </c:pt>
                <c:pt idx="7">
                  <c:v>88%</c:v>
                </c:pt>
                <c:pt idx="8">
                  <c:v>0%</c:v>
                </c:pt>
                <c:pt idx="9">
                  <c:v>75%</c:v>
                </c:pt>
                <c:pt idx="10">
                  <c:v>67%</c:v>
                </c:pt>
                <c:pt idx="11">
                  <c:v>17%</c:v>
                </c:pt>
                <c:pt idx="12">
                  <c:v>25%</c:v>
                </c:pt>
                <c:pt idx="13">
                  <c:v>67%</c:v>
                </c:pt>
                <c:pt idx="14">
                  <c:v>71%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0.16666666666666666</c:v>
                </c:pt>
                <c:pt idx="12">
                  <c:v>0.25</c:v>
                </c:pt>
                <c:pt idx="13">
                  <c:v>0.66666666666666663</c:v>
                </c:pt>
                <c:pt idx="14">
                  <c:v>0.70833333333333337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7-4AAD-BC82-F3FBCC80A51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B7-4AAD-BC82-F3FBCC80A5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22P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0.62500000000000011</c:v>
                </c:pt>
                <c:pt idx="1">
                  <c:v>0.62500000000000011</c:v>
                </c:pt>
                <c:pt idx="2">
                  <c:v>0.62500000000000011</c:v>
                </c:pt>
                <c:pt idx="3">
                  <c:v>0.62500000000000011</c:v>
                </c:pt>
                <c:pt idx="4">
                  <c:v>0.62500000000000011</c:v>
                </c:pt>
                <c:pt idx="5">
                  <c:v>0.62500000000000011</c:v>
                </c:pt>
                <c:pt idx="6">
                  <c:v>0.62500000000000011</c:v>
                </c:pt>
                <c:pt idx="7">
                  <c:v>0.62500000000000011</c:v>
                </c:pt>
                <c:pt idx="8">
                  <c:v>0.62500000000000011</c:v>
                </c:pt>
                <c:pt idx="9">
                  <c:v>0.62500000000000011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0.62500000000000011</c:v>
                </c:pt>
                <c:pt idx="13">
                  <c:v>0.62500000000000011</c:v>
                </c:pt>
                <c:pt idx="14">
                  <c:v>0.45833333333333331</c:v>
                </c:pt>
                <c:pt idx="15">
                  <c:v>0.62500000000000011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B7-4AAD-BC82-F3FBCC80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D0C-42B1-BFFE-E111C9AAE9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C-42B1-BFFE-E111C9AA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0C-42B1-BFFE-E111C9AAE9C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0C-42B1-BFFE-E111C9AA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4416</c:v>
                </c:pt>
                <c:pt idx="3">
                  <c:v>3146</c:v>
                </c:pt>
                <c:pt idx="4">
                  <c:v>30333</c:v>
                </c:pt>
                <c:pt idx="5">
                  <c:v>3556</c:v>
                </c:pt>
                <c:pt idx="6">
                  <c:v>2947</c:v>
                </c:pt>
                <c:pt idx="7">
                  <c:v>5140</c:v>
                </c:pt>
                <c:pt idx="10">
                  <c:v>6416</c:v>
                </c:pt>
                <c:pt idx="12">
                  <c:v>5115</c:v>
                </c:pt>
                <c:pt idx="13">
                  <c:v>4223</c:v>
                </c:pt>
                <c:pt idx="14">
                  <c:v>42384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1-497C-B1BD-676CFE31257C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4416</c:v>
                </c:pt>
                <c:pt idx="3">
                  <c:v>3146</c:v>
                </c:pt>
                <c:pt idx="4">
                  <c:v>30333</c:v>
                </c:pt>
                <c:pt idx="5">
                  <c:v>3556</c:v>
                </c:pt>
                <c:pt idx="6">
                  <c:v>2947</c:v>
                </c:pt>
                <c:pt idx="7">
                  <c:v>5140</c:v>
                </c:pt>
                <c:pt idx="8">
                  <c:v>131</c:v>
                </c:pt>
                <c:pt idx="9">
                  <c:v>2918</c:v>
                </c:pt>
                <c:pt idx="10">
                  <c:v>6416</c:v>
                </c:pt>
                <c:pt idx="11">
                  <c:v>698</c:v>
                </c:pt>
                <c:pt idx="12">
                  <c:v>5115</c:v>
                </c:pt>
                <c:pt idx="13">
                  <c:v>4223</c:v>
                </c:pt>
                <c:pt idx="14">
                  <c:v>42384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1-497C-B1BD-676CFE31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79%</c:v>
                </c:pt>
                <c:pt idx="4">
                  <c:v>100%</c:v>
                </c:pt>
                <c:pt idx="5">
                  <c:v>88%</c:v>
                </c:pt>
                <c:pt idx="6">
                  <c:v>75%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0.79166666666666663</c:v>
                </c:pt>
                <c:pt idx="4">
                  <c:v>1</c:v>
                </c:pt>
                <c:pt idx="5">
                  <c:v>0.875</c:v>
                </c:pt>
                <c:pt idx="6">
                  <c:v>0.75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8-4D28-AC83-74923F052EB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98-4D28-AC83-74923F052E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0.58055555555555549</c:v>
                </c:pt>
                <c:pt idx="1">
                  <c:v>0.58055555555555549</c:v>
                </c:pt>
                <c:pt idx="2">
                  <c:v>0.58055555555555549</c:v>
                </c:pt>
                <c:pt idx="3">
                  <c:v>0.58055555555555549</c:v>
                </c:pt>
                <c:pt idx="4">
                  <c:v>0.58055555555555549</c:v>
                </c:pt>
                <c:pt idx="5">
                  <c:v>0.58055555555555549</c:v>
                </c:pt>
                <c:pt idx="6">
                  <c:v>0.58055555555555549</c:v>
                </c:pt>
                <c:pt idx="7">
                  <c:v>0.58055555555555549</c:v>
                </c:pt>
                <c:pt idx="8">
                  <c:v>0.58055555555555549</c:v>
                </c:pt>
                <c:pt idx="9">
                  <c:v>0.58055555555555549</c:v>
                </c:pt>
                <c:pt idx="10">
                  <c:v>0.58055555555555549</c:v>
                </c:pt>
                <c:pt idx="11">
                  <c:v>0.58055555555555549</c:v>
                </c:pt>
                <c:pt idx="12">
                  <c:v>0.58055555555555549</c:v>
                </c:pt>
                <c:pt idx="13">
                  <c:v>0.54166666666666663</c:v>
                </c:pt>
                <c:pt idx="14">
                  <c:v>0.58055555555555549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8-4D28-AC83-74923F05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4416</c:v>
                </c:pt>
                <c:pt idx="3">
                  <c:v>3146</c:v>
                </c:pt>
                <c:pt idx="4">
                  <c:v>30333</c:v>
                </c:pt>
                <c:pt idx="5">
                  <c:v>3556</c:v>
                </c:pt>
                <c:pt idx="6">
                  <c:v>2947</c:v>
                </c:pt>
                <c:pt idx="7">
                  <c:v>5140</c:v>
                </c:pt>
                <c:pt idx="10">
                  <c:v>6416</c:v>
                </c:pt>
                <c:pt idx="12">
                  <c:v>5115</c:v>
                </c:pt>
                <c:pt idx="13">
                  <c:v>4223</c:v>
                </c:pt>
                <c:pt idx="14">
                  <c:v>42384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3-4580-A929-638C0DFA8B73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4416</c:v>
                </c:pt>
                <c:pt idx="3">
                  <c:v>3146</c:v>
                </c:pt>
                <c:pt idx="4">
                  <c:v>30333</c:v>
                </c:pt>
                <c:pt idx="5">
                  <c:v>3556</c:v>
                </c:pt>
                <c:pt idx="6">
                  <c:v>2947</c:v>
                </c:pt>
                <c:pt idx="7">
                  <c:v>5140</c:v>
                </c:pt>
                <c:pt idx="8">
                  <c:v>131</c:v>
                </c:pt>
                <c:pt idx="9">
                  <c:v>2918</c:v>
                </c:pt>
                <c:pt idx="10">
                  <c:v>6416</c:v>
                </c:pt>
                <c:pt idx="11">
                  <c:v>698</c:v>
                </c:pt>
                <c:pt idx="12">
                  <c:v>5115</c:v>
                </c:pt>
                <c:pt idx="13">
                  <c:v>4223</c:v>
                </c:pt>
                <c:pt idx="14">
                  <c:v>42384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3-4580-A929-638C0DFA8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79%</c:v>
                </c:pt>
                <c:pt idx="4">
                  <c:v>100%</c:v>
                </c:pt>
                <c:pt idx="5">
                  <c:v>88%</c:v>
                </c:pt>
                <c:pt idx="6">
                  <c:v>75%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0.79166666666666663</c:v>
                </c:pt>
                <c:pt idx="4">
                  <c:v>1</c:v>
                </c:pt>
                <c:pt idx="5">
                  <c:v>0.875</c:v>
                </c:pt>
                <c:pt idx="6">
                  <c:v>0.75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1-447B-888F-D41100B746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01-447B-888F-D41100B746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22P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0.58055555555555549</c:v>
                </c:pt>
                <c:pt idx="1">
                  <c:v>0.58055555555555549</c:v>
                </c:pt>
                <c:pt idx="2">
                  <c:v>0.58055555555555549</c:v>
                </c:pt>
                <c:pt idx="3">
                  <c:v>0.58055555555555549</c:v>
                </c:pt>
                <c:pt idx="4">
                  <c:v>0.58055555555555549</c:v>
                </c:pt>
                <c:pt idx="5">
                  <c:v>0.58055555555555549</c:v>
                </c:pt>
                <c:pt idx="6">
                  <c:v>0.58055555555555549</c:v>
                </c:pt>
                <c:pt idx="7">
                  <c:v>0.58055555555555549</c:v>
                </c:pt>
                <c:pt idx="8">
                  <c:v>0.58055555555555549</c:v>
                </c:pt>
                <c:pt idx="9">
                  <c:v>0.58055555555555549</c:v>
                </c:pt>
                <c:pt idx="10">
                  <c:v>0.58055555555555549</c:v>
                </c:pt>
                <c:pt idx="11">
                  <c:v>0.58055555555555549</c:v>
                </c:pt>
                <c:pt idx="12">
                  <c:v>0.58055555555555549</c:v>
                </c:pt>
                <c:pt idx="13">
                  <c:v>0.54166666666666663</c:v>
                </c:pt>
                <c:pt idx="14">
                  <c:v>0.58055555555555549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01-447B-888F-D41100B74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446-4782-AD3F-B986F79FF7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6-4782-AD3F-B986F79FF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46-4782-AD3F-B986F79FF7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46-4782-AD3F-B986F79FF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4982</c:v>
                </c:pt>
                <c:pt idx="3">
                  <c:v>4848</c:v>
                </c:pt>
                <c:pt idx="4">
                  <c:v>5302</c:v>
                </c:pt>
                <c:pt idx="5">
                  <c:v>2062</c:v>
                </c:pt>
                <c:pt idx="6">
                  <c:v>3861</c:v>
                </c:pt>
                <c:pt idx="7">
                  <c:v>4355</c:v>
                </c:pt>
                <c:pt idx="10">
                  <c:v>6261</c:v>
                </c:pt>
                <c:pt idx="12">
                  <c:v>1172</c:v>
                </c:pt>
                <c:pt idx="13">
                  <c:v>4771</c:v>
                </c:pt>
                <c:pt idx="14">
                  <c:v>45788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4-485D-9ABA-CFA380B9FB82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4982</c:v>
                </c:pt>
                <c:pt idx="3">
                  <c:v>4848</c:v>
                </c:pt>
                <c:pt idx="4">
                  <c:v>5302</c:v>
                </c:pt>
                <c:pt idx="5">
                  <c:v>2062</c:v>
                </c:pt>
                <c:pt idx="6">
                  <c:v>3861</c:v>
                </c:pt>
                <c:pt idx="7">
                  <c:v>4355</c:v>
                </c:pt>
                <c:pt idx="8">
                  <c:v>131</c:v>
                </c:pt>
                <c:pt idx="9">
                  <c:v>2918</c:v>
                </c:pt>
                <c:pt idx="10">
                  <c:v>6261</c:v>
                </c:pt>
                <c:pt idx="11">
                  <c:v>698</c:v>
                </c:pt>
                <c:pt idx="12">
                  <c:v>1172</c:v>
                </c:pt>
                <c:pt idx="13">
                  <c:v>4771</c:v>
                </c:pt>
                <c:pt idx="14">
                  <c:v>45788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4-485D-9ABA-CFA380B9F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54%</c:v>
                </c:pt>
                <c:pt idx="6">
                  <c:v>83%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96%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0.54166666666666663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0.95833333333333337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6-4C6E-8D41-8E4F1F6DF1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D6-4C6E-8D41-8E4F1F6DF1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0.53611111111111109</c:v>
                </c:pt>
                <c:pt idx="1">
                  <c:v>0.53611111111111109</c:v>
                </c:pt>
                <c:pt idx="2">
                  <c:v>0.53611111111111109</c:v>
                </c:pt>
                <c:pt idx="3">
                  <c:v>0.53611111111111109</c:v>
                </c:pt>
                <c:pt idx="4">
                  <c:v>0.53611111111111109</c:v>
                </c:pt>
                <c:pt idx="5">
                  <c:v>0.53611111111111109</c:v>
                </c:pt>
                <c:pt idx="6">
                  <c:v>0.53611111111111109</c:v>
                </c:pt>
                <c:pt idx="7">
                  <c:v>0.53611111111111109</c:v>
                </c:pt>
                <c:pt idx="8">
                  <c:v>0.53611111111111109</c:v>
                </c:pt>
                <c:pt idx="9">
                  <c:v>0.53611111111111109</c:v>
                </c:pt>
                <c:pt idx="10">
                  <c:v>0.53611111111111109</c:v>
                </c:pt>
                <c:pt idx="11">
                  <c:v>0.53611111111111109</c:v>
                </c:pt>
                <c:pt idx="12">
                  <c:v>0.53611111111111109</c:v>
                </c:pt>
                <c:pt idx="13">
                  <c:v>0.54166666666666663</c:v>
                </c:pt>
                <c:pt idx="14">
                  <c:v>0.53611111111111109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6-4C6E-8D41-8E4F1F6DF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4982</c:v>
                </c:pt>
                <c:pt idx="3">
                  <c:v>4848</c:v>
                </c:pt>
                <c:pt idx="4">
                  <c:v>5302</c:v>
                </c:pt>
                <c:pt idx="5">
                  <c:v>2062</c:v>
                </c:pt>
                <c:pt idx="6">
                  <c:v>3861</c:v>
                </c:pt>
                <c:pt idx="7">
                  <c:v>4355</c:v>
                </c:pt>
                <c:pt idx="10">
                  <c:v>6261</c:v>
                </c:pt>
                <c:pt idx="12">
                  <c:v>1172</c:v>
                </c:pt>
                <c:pt idx="13">
                  <c:v>4771</c:v>
                </c:pt>
                <c:pt idx="14">
                  <c:v>45788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D-4AEA-8C94-F0F3F4E21B64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4982</c:v>
                </c:pt>
                <c:pt idx="3">
                  <c:v>4848</c:v>
                </c:pt>
                <c:pt idx="4">
                  <c:v>5302</c:v>
                </c:pt>
                <c:pt idx="5">
                  <c:v>2062</c:v>
                </c:pt>
                <c:pt idx="6">
                  <c:v>3861</c:v>
                </c:pt>
                <c:pt idx="7">
                  <c:v>4355</c:v>
                </c:pt>
                <c:pt idx="8">
                  <c:v>131</c:v>
                </c:pt>
                <c:pt idx="9">
                  <c:v>2918</c:v>
                </c:pt>
                <c:pt idx="10">
                  <c:v>6261</c:v>
                </c:pt>
                <c:pt idx="11">
                  <c:v>698</c:v>
                </c:pt>
                <c:pt idx="12">
                  <c:v>1172</c:v>
                </c:pt>
                <c:pt idx="13">
                  <c:v>4771</c:v>
                </c:pt>
                <c:pt idx="14">
                  <c:v>45788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D-4AEA-8C94-F0F3F4E21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54%</c:v>
                </c:pt>
                <c:pt idx="6">
                  <c:v>83%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96%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0.54166666666666663</c:v>
                </c:pt>
                <c:pt idx="6">
                  <c:v>0.83333333333333337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0.95833333333333337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8-4641-8A5E-9E94C82D72E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98-4641-8A5E-9E94C82D72E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LEAD GUIDE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TOP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0.53611111111111109</c:v>
                </c:pt>
                <c:pt idx="1">
                  <c:v>0.53611111111111109</c:v>
                </c:pt>
                <c:pt idx="2">
                  <c:v>0.53611111111111109</c:v>
                </c:pt>
                <c:pt idx="3">
                  <c:v>0.53611111111111109</c:v>
                </c:pt>
                <c:pt idx="4">
                  <c:v>0.53611111111111109</c:v>
                </c:pt>
                <c:pt idx="5">
                  <c:v>0.53611111111111109</c:v>
                </c:pt>
                <c:pt idx="6">
                  <c:v>0.53611111111111109</c:v>
                </c:pt>
                <c:pt idx="7">
                  <c:v>0.53611111111111109</c:v>
                </c:pt>
                <c:pt idx="8">
                  <c:v>0.53611111111111109</c:v>
                </c:pt>
                <c:pt idx="9">
                  <c:v>0.53611111111111109</c:v>
                </c:pt>
                <c:pt idx="10">
                  <c:v>0.53611111111111109</c:v>
                </c:pt>
                <c:pt idx="11">
                  <c:v>0.53611111111111109</c:v>
                </c:pt>
                <c:pt idx="12">
                  <c:v>0.53611111111111109</c:v>
                </c:pt>
                <c:pt idx="13">
                  <c:v>0.54166666666666663</c:v>
                </c:pt>
                <c:pt idx="14">
                  <c:v>0.53611111111111109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98-4641-8A5E-9E94C82D7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253-420F-A9E9-739A2698D1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3-420F-A9E9-739A2698D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53-420F-A9E9-739A2698D18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53-420F-A9E9-739A2698D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2">
                  <c:v>5992</c:v>
                </c:pt>
                <c:pt idx="3">
                  <c:v>2815</c:v>
                </c:pt>
                <c:pt idx="4">
                  <c:v>6142</c:v>
                </c:pt>
                <c:pt idx="5">
                  <c:v>4209</c:v>
                </c:pt>
                <c:pt idx="6">
                  <c:v>4365</c:v>
                </c:pt>
                <c:pt idx="7">
                  <c:v>4828</c:v>
                </c:pt>
                <c:pt idx="10">
                  <c:v>2531</c:v>
                </c:pt>
                <c:pt idx="11">
                  <c:v>2943</c:v>
                </c:pt>
                <c:pt idx="12">
                  <c:v>3122</c:v>
                </c:pt>
                <c:pt idx="13">
                  <c:v>2487</c:v>
                </c:pt>
                <c:pt idx="14">
                  <c:v>2984</c:v>
                </c:pt>
                <c:pt idx="15">
                  <c:v>41780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D-4F34-A24C-8573290C9BA2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5992</c:v>
                </c:pt>
                <c:pt idx="3">
                  <c:v>2815</c:v>
                </c:pt>
                <c:pt idx="4">
                  <c:v>6142</c:v>
                </c:pt>
                <c:pt idx="5">
                  <c:v>4209</c:v>
                </c:pt>
                <c:pt idx="6">
                  <c:v>4365</c:v>
                </c:pt>
                <c:pt idx="7">
                  <c:v>4828</c:v>
                </c:pt>
                <c:pt idx="8">
                  <c:v>131</c:v>
                </c:pt>
                <c:pt idx="9">
                  <c:v>2918</c:v>
                </c:pt>
                <c:pt idx="10">
                  <c:v>2531</c:v>
                </c:pt>
                <c:pt idx="11">
                  <c:v>2943</c:v>
                </c:pt>
                <c:pt idx="12">
                  <c:v>3122</c:v>
                </c:pt>
                <c:pt idx="13">
                  <c:v>2487</c:v>
                </c:pt>
                <c:pt idx="14">
                  <c:v>2984</c:v>
                </c:pt>
                <c:pt idx="15">
                  <c:v>41780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D-4F34-A24C-8573290C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83%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54%</c:v>
                </c:pt>
                <c:pt idx="12">
                  <c:v>71%</c:v>
                </c:pt>
                <c:pt idx="13">
                  <c:v>67%</c:v>
                </c:pt>
                <c:pt idx="14">
                  <c:v>71%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0.83333333333333337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0.54166666666666663</c:v>
                </c:pt>
                <c:pt idx="12">
                  <c:v>0.70833333333333337</c:v>
                </c:pt>
                <c:pt idx="13">
                  <c:v>0.66666666666666663</c:v>
                </c:pt>
                <c:pt idx="14">
                  <c:v>0.70833333333333337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6-41F8-BFC4-CFCA6F1112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06-41F8-BFC4-CFCA6F1112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0.59166666666666667</c:v>
                </c:pt>
                <c:pt idx="1">
                  <c:v>0.59166666666666667</c:v>
                </c:pt>
                <c:pt idx="2">
                  <c:v>0.59166666666666667</c:v>
                </c:pt>
                <c:pt idx="3">
                  <c:v>0.59166666666666667</c:v>
                </c:pt>
                <c:pt idx="4">
                  <c:v>0.59166666666666667</c:v>
                </c:pt>
                <c:pt idx="5">
                  <c:v>0.59166666666666667</c:v>
                </c:pt>
                <c:pt idx="6">
                  <c:v>0.59166666666666667</c:v>
                </c:pt>
                <c:pt idx="7">
                  <c:v>0.59166666666666667</c:v>
                </c:pt>
                <c:pt idx="8">
                  <c:v>0.59166666666666667</c:v>
                </c:pt>
                <c:pt idx="9">
                  <c:v>0.59166666666666667</c:v>
                </c:pt>
                <c:pt idx="10">
                  <c:v>0.59166666666666667</c:v>
                </c:pt>
                <c:pt idx="11">
                  <c:v>0.59166666666666667</c:v>
                </c:pt>
                <c:pt idx="12">
                  <c:v>0.59166666666666667</c:v>
                </c:pt>
                <c:pt idx="13">
                  <c:v>0.59166666666666667</c:v>
                </c:pt>
                <c:pt idx="14">
                  <c:v>0.54166666666666663</c:v>
                </c:pt>
                <c:pt idx="15">
                  <c:v>0.59166666666666667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06-41F8-BFC4-CFCA6F111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2">
                  <c:v>5992</c:v>
                </c:pt>
                <c:pt idx="3">
                  <c:v>2815</c:v>
                </c:pt>
                <c:pt idx="4">
                  <c:v>6142</c:v>
                </c:pt>
                <c:pt idx="5">
                  <c:v>4209</c:v>
                </c:pt>
                <c:pt idx="6">
                  <c:v>4365</c:v>
                </c:pt>
                <c:pt idx="7">
                  <c:v>4828</c:v>
                </c:pt>
                <c:pt idx="10">
                  <c:v>2531</c:v>
                </c:pt>
                <c:pt idx="11">
                  <c:v>2943</c:v>
                </c:pt>
                <c:pt idx="12">
                  <c:v>3122</c:v>
                </c:pt>
                <c:pt idx="13">
                  <c:v>2487</c:v>
                </c:pt>
                <c:pt idx="14">
                  <c:v>2984</c:v>
                </c:pt>
                <c:pt idx="15">
                  <c:v>41780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A-4A32-8884-6286A6F9F5C7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5992</c:v>
                </c:pt>
                <c:pt idx="3">
                  <c:v>2815</c:v>
                </c:pt>
                <c:pt idx="4">
                  <c:v>6142</c:v>
                </c:pt>
                <c:pt idx="5">
                  <c:v>4209</c:v>
                </c:pt>
                <c:pt idx="6">
                  <c:v>4365</c:v>
                </c:pt>
                <c:pt idx="7">
                  <c:v>4828</c:v>
                </c:pt>
                <c:pt idx="8">
                  <c:v>131</c:v>
                </c:pt>
                <c:pt idx="9">
                  <c:v>2918</c:v>
                </c:pt>
                <c:pt idx="10">
                  <c:v>2531</c:v>
                </c:pt>
                <c:pt idx="11">
                  <c:v>2943</c:v>
                </c:pt>
                <c:pt idx="12">
                  <c:v>3122</c:v>
                </c:pt>
                <c:pt idx="13">
                  <c:v>2487</c:v>
                </c:pt>
                <c:pt idx="14">
                  <c:v>2984</c:v>
                </c:pt>
                <c:pt idx="15">
                  <c:v>41780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A-4A32-8884-6286A6F9F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83%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54%</c:v>
                </c:pt>
                <c:pt idx="12">
                  <c:v>71%</c:v>
                </c:pt>
                <c:pt idx="13">
                  <c:v>67%</c:v>
                </c:pt>
                <c:pt idx="14">
                  <c:v>71%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0.83333333333333337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0.54166666666666663</c:v>
                </c:pt>
                <c:pt idx="12">
                  <c:v>0.70833333333333337</c:v>
                </c:pt>
                <c:pt idx="13">
                  <c:v>0.66666666666666663</c:v>
                </c:pt>
                <c:pt idx="14">
                  <c:v>0.70833333333333337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6-4EE2-BC37-0C89DAF090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76-4EE2-BC37-0C89DAF090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88P</c:v>
                </c:pt>
                <c:pt idx="10">
                  <c:v>88P</c:v>
                </c:pt>
                <c:pt idx="11">
                  <c:v>COVER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0.59166666666666667</c:v>
                </c:pt>
                <c:pt idx="1">
                  <c:v>0.59166666666666667</c:v>
                </c:pt>
                <c:pt idx="2">
                  <c:v>0.59166666666666667</c:v>
                </c:pt>
                <c:pt idx="3">
                  <c:v>0.59166666666666667</c:v>
                </c:pt>
                <c:pt idx="4">
                  <c:v>0.59166666666666667</c:v>
                </c:pt>
                <c:pt idx="5">
                  <c:v>0.59166666666666667</c:v>
                </c:pt>
                <c:pt idx="6">
                  <c:v>0.59166666666666667</c:v>
                </c:pt>
                <c:pt idx="7">
                  <c:v>0.59166666666666667</c:v>
                </c:pt>
                <c:pt idx="8">
                  <c:v>0.59166666666666667</c:v>
                </c:pt>
                <c:pt idx="9">
                  <c:v>0.59166666666666667</c:v>
                </c:pt>
                <c:pt idx="10">
                  <c:v>0.59166666666666667</c:v>
                </c:pt>
                <c:pt idx="11">
                  <c:v>0.59166666666666667</c:v>
                </c:pt>
                <c:pt idx="12">
                  <c:v>0.59166666666666667</c:v>
                </c:pt>
                <c:pt idx="13">
                  <c:v>0.59166666666666667</c:v>
                </c:pt>
                <c:pt idx="14">
                  <c:v>0.54166666666666663</c:v>
                </c:pt>
                <c:pt idx="15">
                  <c:v>0.59166666666666667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76-4EE2-BC37-0C89DAF0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51E-4D96-A5E6-F02853C310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E-4D96-A5E6-F02853C31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1E-4D96-A5E6-F02853C310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1E-4D96-A5E6-F02853C31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2">
                  <c:v>5775</c:v>
                </c:pt>
                <c:pt idx="3">
                  <c:v>4519</c:v>
                </c:pt>
                <c:pt idx="4">
                  <c:v>2357</c:v>
                </c:pt>
                <c:pt idx="5">
                  <c:v>2346</c:v>
                </c:pt>
                <c:pt idx="6">
                  <c:v>4861</c:v>
                </c:pt>
                <c:pt idx="7">
                  <c:v>4445</c:v>
                </c:pt>
                <c:pt idx="8">
                  <c:v>1130</c:v>
                </c:pt>
                <c:pt idx="9">
                  <c:v>2568</c:v>
                </c:pt>
                <c:pt idx="12">
                  <c:v>4343</c:v>
                </c:pt>
                <c:pt idx="13">
                  <c:v>2167</c:v>
                </c:pt>
                <c:pt idx="14">
                  <c:v>4864</c:v>
                </c:pt>
                <c:pt idx="15">
                  <c:v>1155</c:v>
                </c:pt>
                <c:pt idx="16">
                  <c:v>40684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2-4CD3-B1AE-59430E4DD0DF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5775</c:v>
                </c:pt>
                <c:pt idx="3">
                  <c:v>4519</c:v>
                </c:pt>
                <c:pt idx="4">
                  <c:v>2357</c:v>
                </c:pt>
                <c:pt idx="5">
                  <c:v>2346</c:v>
                </c:pt>
                <c:pt idx="6">
                  <c:v>4861</c:v>
                </c:pt>
                <c:pt idx="7">
                  <c:v>4445</c:v>
                </c:pt>
                <c:pt idx="8">
                  <c:v>1130</c:v>
                </c:pt>
                <c:pt idx="9">
                  <c:v>2568</c:v>
                </c:pt>
                <c:pt idx="10">
                  <c:v>131</c:v>
                </c:pt>
                <c:pt idx="11">
                  <c:v>2918</c:v>
                </c:pt>
                <c:pt idx="12">
                  <c:v>4343</c:v>
                </c:pt>
                <c:pt idx="13">
                  <c:v>2167</c:v>
                </c:pt>
                <c:pt idx="14">
                  <c:v>4864</c:v>
                </c:pt>
                <c:pt idx="15">
                  <c:v>1155</c:v>
                </c:pt>
                <c:pt idx="16">
                  <c:v>40684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2-4CD3-B1AE-59430E4D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42%</c:v>
                </c:pt>
                <c:pt idx="5">
                  <c:v>42%</c:v>
                </c:pt>
                <c:pt idx="6">
                  <c:v>100%</c:v>
                </c:pt>
                <c:pt idx="7">
                  <c:v>92%</c:v>
                </c:pt>
                <c:pt idx="8">
                  <c:v>25%</c:v>
                </c:pt>
                <c:pt idx="9">
                  <c:v>33%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42%</c:v>
                </c:pt>
                <c:pt idx="14">
                  <c:v>100%</c:v>
                </c:pt>
                <c:pt idx="15">
                  <c:v>29%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1</c:v>
                </c:pt>
                <c:pt idx="7">
                  <c:v>0.91666666666666663</c:v>
                </c:pt>
                <c:pt idx="8">
                  <c:v>0.25</c:v>
                </c:pt>
                <c:pt idx="9">
                  <c:v>0.33333333333333331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0.41666666666666669</c:v>
                </c:pt>
                <c:pt idx="14">
                  <c:v>1</c:v>
                </c:pt>
                <c:pt idx="15">
                  <c:v>0.29166666666666669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1-49ED-9883-11C454D2FF5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E1-49ED-9883-11C454D2FF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0.56944444444444442</c:v>
                </c:pt>
                <c:pt idx="1">
                  <c:v>0.56944444444444442</c:v>
                </c:pt>
                <c:pt idx="2">
                  <c:v>0.56944444444444442</c:v>
                </c:pt>
                <c:pt idx="3">
                  <c:v>0.56944444444444442</c:v>
                </c:pt>
                <c:pt idx="4">
                  <c:v>0.56944444444444442</c:v>
                </c:pt>
                <c:pt idx="5">
                  <c:v>0.56944444444444442</c:v>
                </c:pt>
                <c:pt idx="6">
                  <c:v>0.56944444444444442</c:v>
                </c:pt>
                <c:pt idx="7">
                  <c:v>0.56944444444444442</c:v>
                </c:pt>
                <c:pt idx="8">
                  <c:v>0.56944444444444442</c:v>
                </c:pt>
                <c:pt idx="9">
                  <c:v>0.56944444444444442</c:v>
                </c:pt>
                <c:pt idx="10">
                  <c:v>0.56944444444444442</c:v>
                </c:pt>
                <c:pt idx="11">
                  <c:v>0.56944444444444442</c:v>
                </c:pt>
                <c:pt idx="12">
                  <c:v>0.56944444444444442</c:v>
                </c:pt>
                <c:pt idx="13">
                  <c:v>0.56944444444444442</c:v>
                </c:pt>
                <c:pt idx="14">
                  <c:v>0.56944444444444442</c:v>
                </c:pt>
                <c:pt idx="15">
                  <c:v>0.54166666666666663</c:v>
                </c:pt>
                <c:pt idx="16">
                  <c:v>0.56944444444444442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1-49ED-9883-11C454D2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2">
                  <c:v>5775</c:v>
                </c:pt>
                <c:pt idx="3">
                  <c:v>4519</c:v>
                </c:pt>
                <c:pt idx="4">
                  <c:v>2357</c:v>
                </c:pt>
                <c:pt idx="5">
                  <c:v>2346</c:v>
                </c:pt>
                <c:pt idx="6">
                  <c:v>4861</c:v>
                </c:pt>
                <c:pt idx="7">
                  <c:v>4445</c:v>
                </c:pt>
                <c:pt idx="8">
                  <c:v>1130</c:v>
                </c:pt>
                <c:pt idx="9">
                  <c:v>2568</c:v>
                </c:pt>
                <c:pt idx="12">
                  <c:v>4343</c:v>
                </c:pt>
                <c:pt idx="13">
                  <c:v>2167</c:v>
                </c:pt>
                <c:pt idx="14">
                  <c:v>4864</c:v>
                </c:pt>
                <c:pt idx="15">
                  <c:v>1155</c:v>
                </c:pt>
                <c:pt idx="16">
                  <c:v>40684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6-4DF5-AB49-42CD7CF60E76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5775</c:v>
                </c:pt>
                <c:pt idx="3">
                  <c:v>4519</c:v>
                </c:pt>
                <c:pt idx="4">
                  <c:v>2357</c:v>
                </c:pt>
                <c:pt idx="5">
                  <c:v>2346</c:v>
                </c:pt>
                <c:pt idx="6">
                  <c:v>4861</c:v>
                </c:pt>
                <c:pt idx="7">
                  <c:v>4445</c:v>
                </c:pt>
                <c:pt idx="8">
                  <c:v>1130</c:v>
                </c:pt>
                <c:pt idx="9">
                  <c:v>2568</c:v>
                </c:pt>
                <c:pt idx="10">
                  <c:v>131</c:v>
                </c:pt>
                <c:pt idx="11">
                  <c:v>2918</c:v>
                </c:pt>
                <c:pt idx="12">
                  <c:v>4343</c:v>
                </c:pt>
                <c:pt idx="13">
                  <c:v>2167</c:v>
                </c:pt>
                <c:pt idx="14">
                  <c:v>4864</c:v>
                </c:pt>
                <c:pt idx="15">
                  <c:v>1155</c:v>
                </c:pt>
                <c:pt idx="16">
                  <c:v>40684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6-4DF5-AB49-42CD7CF60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42%</c:v>
                </c:pt>
                <c:pt idx="5">
                  <c:v>42%</c:v>
                </c:pt>
                <c:pt idx="6">
                  <c:v>100%</c:v>
                </c:pt>
                <c:pt idx="7">
                  <c:v>92%</c:v>
                </c:pt>
                <c:pt idx="8">
                  <c:v>25%</c:v>
                </c:pt>
                <c:pt idx="9">
                  <c:v>33%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42%</c:v>
                </c:pt>
                <c:pt idx="14">
                  <c:v>100%</c:v>
                </c:pt>
                <c:pt idx="15">
                  <c:v>29%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1</c:v>
                </c:pt>
                <c:pt idx="7">
                  <c:v>0.91666666666666663</c:v>
                </c:pt>
                <c:pt idx="8">
                  <c:v>0.25</c:v>
                </c:pt>
                <c:pt idx="9">
                  <c:v>0.33333333333333331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0.41666666666666669</c:v>
                </c:pt>
                <c:pt idx="14">
                  <c:v>1</c:v>
                </c:pt>
                <c:pt idx="15">
                  <c:v>0.29166666666666669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0-49E9-8938-94A532D3B0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50-49E9-8938-94A532D3B0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88P</c:v>
                </c:pt>
                <c:pt idx="12">
                  <c:v>COVER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0.56944444444444442</c:v>
                </c:pt>
                <c:pt idx="1">
                  <c:v>0.56944444444444442</c:v>
                </c:pt>
                <c:pt idx="2">
                  <c:v>0.56944444444444442</c:v>
                </c:pt>
                <c:pt idx="3">
                  <c:v>0.56944444444444442</c:v>
                </c:pt>
                <c:pt idx="4">
                  <c:v>0.56944444444444442</c:v>
                </c:pt>
                <c:pt idx="5">
                  <c:v>0.56944444444444442</c:v>
                </c:pt>
                <c:pt idx="6">
                  <c:v>0.56944444444444442</c:v>
                </c:pt>
                <c:pt idx="7">
                  <c:v>0.56944444444444442</c:v>
                </c:pt>
                <c:pt idx="8">
                  <c:v>0.56944444444444442</c:v>
                </c:pt>
                <c:pt idx="9">
                  <c:v>0.56944444444444442</c:v>
                </c:pt>
                <c:pt idx="10">
                  <c:v>0.56944444444444442</c:v>
                </c:pt>
                <c:pt idx="11">
                  <c:v>0.56944444444444442</c:v>
                </c:pt>
                <c:pt idx="12">
                  <c:v>0.56944444444444442</c:v>
                </c:pt>
                <c:pt idx="13">
                  <c:v>0.56944444444444442</c:v>
                </c:pt>
                <c:pt idx="14">
                  <c:v>0.56944444444444442</c:v>
                </c:pt>
                <c:pt idx="15">
                  <c:v>0.54166666666666663</c:v>
                </c:pt>
                <c:pt idx="16">
                  <c:v>0.56944444444444442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50-49E9-8938-94A532D3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18-4DA6-AAC2-545AD9B81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8-4DA6-AAC2-545AD9B81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18-4DA6-AAC2-545AD9B815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8-4DA6-AAC2-545AD9B81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2">
                  <c:v>4932</c:v>
                </c:pt>
                <c:pt idx="3">
                  <c:v>344</c:v>
                </c:pt>
                <c:pt idx="5">
                  <c:v>702</c:v>
                </c:pt>
                <c:pt idx="6">
                  <c:v>2112</c:v>
                </c:pt>
                <c:pt idx="7">
                  <c:v>3045</c:v>
                </c:pt>
                <c:pt idx="8">
                  <c:v>2821</c:v>
                </c:pt>
                <c:pt idx="11">
                  <c:v>1435</c:v>
                </c:pt>
                <c:pt idx="12">
                  <c:v>2796</c:v>
                </c:pt>
                <c:pt idx="14">
                  <c:v>4838</c:v>
                </c:pt>
                <c:pt idx="15">
                  <c:v>2915</c:v>
                </c:pt>
                <c:pt idx="16">
                  <c:v>22748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D-4387-BD0F-0FCC5A7B22FB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5775</c:v>
                </c:pt>
                <c:pt idx="3">
                  <c:v>344</c:v>
                </c:pt>
                <c:pt idx="4">
                  <c:v>2346</c:v>
                </c:pt>
                <c:pt idx="5">
                  <c:v>702</c:v>
                </c:pt>
                <c:pt idx="6">
                  <c:v>2112</c:v>
                </c:pt>
                <c:pt idx="7">
                  <c:v>3045</c:v>
                </c:pt>
                <c:pt idx="8">
                  <c:v>2821</c:v>
                </c:pt>
                <c:pt idx="9">
                  <c:v>131</c:v>
                </c:pt>
                <c:pt idx="10">
                  <c:v>2918</c:v>
                </c:pt>
                <c:pt idx="11">
                  <c:v>1435</c:v>
                </c:pt>
                <c:pt idx="12">
                  <c:v>2796</c:v>
                </c:pt>
                <c:pt idx="13">
                  <c:v>2167</c:v>
                </c:pt>
                <c:pt idx="14">
                  <c:v>4838</c:v>
                </c:pt>
                <c:pt idx="15">
                  <c:v>2915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D-4387-BD0F-0FCC5A7B2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85%</c:v>
                </c:pt>
                <c:pt idx="3">
                  <c:v>17%</c:v>
                </c:pt>
                <c:pt idx="4">
                  <c:v>0%</c:v>
                </c:pt>
                <c:pt idx="5">
                  <c:v>21%</c:v>
                </c:pt>
                <c:pt idx="6">
                  <c:v>58%</c:v>
                </c:pt>
                <c:pt idx="7">
                  <c:v>83%</c:v>
                </c:pt>
                <c:pt idx="8">
                  <c:v>79%</c:v>
                </c:pt>
                <c:pt idx="9">
                  <c:v>0%</c:v>
                </c:pt>
                <c:pt idx="10">
                  <c:v>0%</c:v>
                </c:pt>
                <c:pt idx="11">
                  <c:v>33%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71%</c:v>
                </c:pt>
                <c:pt idx="16">
                  <c:v>62%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0.85402597402597402</c:v>
                </c:pt>
                <c:pt idx="3">
                  <c:v>0.16666666666666666</c:v>
                </c:pt>
                <c:pt idx="4">
                  <c:v>0</c:v>
                </c:pt>
                <c:pt idx="5">
                  <c:v>0.20833333333333334</c:v>
                </c:pt>
                <c:pt idx="6">
                  <c:v>0.58333333333333337</c:v>
                </c:pt>
                <c:pt idx="7">
                  <c:v>0.83333333333333337</c:v>
                </c:pt>
                <c:pt idx="8">
                  <c:v>0.79166666666666663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0.70833333333333337</c:v>
                </c:pt>
                <c:pt idx="16">
                  <c:v>0.61609166666666659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5-4EAC-BD9C-E93E7F70E31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D5-4EAC-BD9C-E93E7F70E3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0.43411895382395382</c:v>
                </c:pt>
                <c:pt idx="1">
                  <c:v>0.43411895382395382</c:v>
                </c:pt>
                <c:pt idx="2">
                  <c:v>0.43411895382395382</c:v>
                </c:pt>
                <c:pt idx="3">
                  <c:v>0.43411895382395382</c:v>
                </c:pt>
                <c:pt idx="4">
                  <c:v>0.43411895382395382</c:v>
                </c:pt>
                <c:pt idx="5">
                  <c:v>0.43411895382395382</c:v>
                </c:pt>
                <c:pt idx="6">
                  <c:v>0.43411895382395382</c:v>
                </c:pt>
                <c:pt idx="7">
                  <c:v>0.43411895382395382</c:v>
                </c:pt>
                <c:pt idx="8">
                  <c:v>0.43411895382395382</c:v>
                </c:pt>
                <c:pt idx="9">
                  <c:v>0.43411895382395382</c:v>
                </c:pt>
                <c:pt idx="10">
                  <c:v>0.43411895382395382</c:v>
                </c:pt>
                <c:pt idx="11">
                  <c:v>0.43411895382395382</c:v>
                </c:pt>
                <c:pt idx="12">
                  <c:v>0.43411895382395382</c:v>
                </c:pt>
                <c:pt idx="13">
                  <c:v>0.43411895382395382</c:v>
                </c:pt>
                <c:pt idx="14">
                  <c:v>0.43411895382395382</c:v>
                </c:pt>
                <c:pt idx="15">
                  <c:v>0.61609166666666659</c:v>
                </c:pt>
                <c:pt idx="16">
                  <c:v>0.43411895382395382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5-4EAC-BD9C-E93E7F70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2">
                  <c:v>4932</c:v>
                </c:pt>
                <c:pt idx="3">
                  <c:v>344</c:v>
                </c:pt>
                <c:pt idx="5">
                  <c:v>702</c:v>
                </c:pt>
                <c:pt idx="6">
                  <c:v>2112</c:v>
                </c:pt>
                <c:pt idx="7">
                  <c:v>3045</c:v>
                </c:pt>
                <c:pt idx="8">
                  <c:v>2821</c:v>
                </c:pt>
                <c:pt idx="11">
                  <c:v>1435</c:v>
                </c:pt>
                <c:pt idx="12">
                  <c:v>2796</c:v>
                </c:pt>
                <c:pt idx="14">
                  <c:v>4838</c:v>
                </c:pt>
                <c:pt idx="15">
                  <c:v>2915</c:v>
                </c:pt>
                <c:pt idx="16">
                  <c:v>22748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E-4F7F-ABD2-33DEE754EEDC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5775</c:v>
                </c:pt>
                <c:pt idx="3">
                  <c:v>344</c:v>
                </c:pt>
                <c:pt idx="4">
                  <c:v>2346</c:v>
                </c:pt>
                <c:pt idx="5">
                  <c:v>702</c:v>
                </c:pt>
                <c:pt idx="6">
                  <c:v>2112</c:v>
                </c:pt>
                <c:pt idx="7">
                  <c:v>3045</c:v>
                </c:pt>
                <c:pt idx="8">
                  <c:v>2821</c:v>
                </c:pt>
                <c:pt idx="9">
                  <c:v>131</c:v>
                </c:pt>
                <c:pt idx="10">
                  <c:v>2918</c:v>
                </c:pt>
                <c:pt idx="11">
                  <c:v>1435</c:v>
                </c:pt>
                <c:pt idx="12">
                  <c:v>2796</c:v>
                </c:pt>
                <c:pt idx="13">
                  <c:v>2167</c:v>
                </c:pt>
                <c:pt idx="14">
                  <c:v>4838</c:v>
                </c:pt>
                <c:pt idx="15">
                  <c:v>2915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E-4F7F-ABD2-33DEE754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85%</c:v>
                </c:pt>
                <c:pt idx="3">
                  <c:v>17%</c:v>
                </c:pt>
                <c:pt idx="4">
                  <c:v>0%</c:v>
                </c:pt>
                <c:pt idx="5">
                  <c:v>21%</c:v>
                </c:pt>
                <c:pt idx="6">
                  <c:v>58%</c:v>
                </c:pt>
                <c:pt idx="7">
                  <c:v>83%</c:v>
                </c:pt>
                <c:pt idx="8">
                  <c:v>79%</c:v>
                </c:pt>
                <c:pt idx="9">
                  <c:v>0%</c:v>
                </c:pt>
                <c:pt idx="10">
                  <c:v>0%</c:v>
                </c:pt>
                <c:pt idx="11">
                  <c:v>33%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71%</c:v>
                </c:pt>
                <c:pt idx="16">
                  <c:v>62%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0.85402597402597402</c:v>
                </c:pt>
                <c:pt idx="3">
                  <c:v>0.16666666666666666</c:v>
                </c:pt>
                <c:pt idx="4">
                  <c:v>0</c:v>
                </c:pt>
                <c:pt idx="5">
                  <c:v>0.20833333333333334</c:v>
                </c:pt>
                <c:pt idx="6">
                  <c:v>0.58333333333333337</c:v>
                </c:pt>
                <c:pt idx="7">
                  <c:v>0.83333333333333337</c:v>
                </c:pt>
                <c:pt idx="8">
                  <c:v>0.79166666666666663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0.70833333333333337</c:v>
                </c:pt>
                <c:pt idx="16">
                  <c:v>0.61609166666666659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2-40F9-A503-5BC5FC5A596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32-40F9-A503-5BC5FC5A59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COVER</c:v>
                </c:pt>
                <c:pt idx="6">
                  <c:v>LOCKER</c:v>
                </c:pt>
                <c:pt idx="7">
                  <c:v>BASE</c:v>
                </c:pt>
                <c:pt idx="8">
                  <c:v>BOTTOM</c:v>
                </c:pt>
                <c:pt idx="9">
                  <c:v>88P</c:v>
                </c:pt>
                <c:pt idx="11">
                  <c:v>LATCH PLATE</c:v>
                </c:pt>
                <c:pt idx="12">
                  <c:v>HOUSING</c:v>
                </c:pt>
                <c:pt idx="13">
                  <c:v>FLOATING</c:v>
                </c:pt>
                <c:pt idx="14">
                  <c:v>ST/HO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0.43411895382395382</c:v>
                </c:pt>
                <c:pt idx="1">
                  <c:v>0.43411895382395382</c:v>
                </c:pt>
                <c:pt idx="2">
                  <c:v>0.43411895382395382</c:v>
                </c:pt>
                <c:pt idx="3">
                  <c:v>0.43411895382395382</c:v>
                </c:pt>
                <c:pt idx="4">
                  <c:v>0.43411895382395382</c:v>
                </c:pt>
                <c:pt idx="5">
                  <c:v>0.43411895382395382</c:v>
                </c:pt>
                <c:pt idx="6">
                  <c:v>0.43411895382395382</c:v>
                </c:pt>
                <c:pt idx="7">
                  <c:v>0.43411895382395382</c:v>
                </c:pt>
                <c:pt idx="8">
                  <c:v>0.43411895382395382</c:v>
                </c:pt>
                <c:pt idx="9">
                  <c:v>0.43411895382395382</c:v>
                </c:pt>
                <c:pt idx="10">
                  <c:v>0.43411895382395382</c:v>
                </c:pt>
                <c:pt idx="11">
                  <c:v>0.43411895382395382</c:v>
                </c:pt>
                <c:pt idx="12">
                  <c:v>0.43411895382395382</c:v>
                </c:pt>
                <c:pt idx="13">
                  <c:v>0.43411895382395382</c:v>
                </c:pt>
                <c:pt idx="14">
                  <c:v>0.43411895382395382</c:v>
                </c:pt>
                <c:pt idx="15">
                  <c:v>0.61609166666666659</c:v>
                </c:pt>
                <c:pt idx="16">
                  <c:v>0.43411895382395382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32-40F9-A503-5BC5FC5A5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852-4DB7-9EAF-852FB8AD3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2-4DB7-9EAF-852FB8AD3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52-4DB7-9EAF-852FB8AD3B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52-4DB7-9EAF-852FB8AD3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2">
                  <c:v>2901</c:v>
                </c:pt>
                <c:pt idx="3">
                  <c:v>311</c:v>
                </c:pt>
                <c:pt idx="4">
                  <c:v>1714</c:v>
                </c:pt>
                <c:pt idx="5">
                  <c:v>3140</c:v>
                </c:pt>
                <c:pt idx="6">
                  <c:v>377</c:v>
                </c:pt>
                <c:pt idx="7">
                  <c:v>3170</c:v>
                </c:pt>
                <c:pt idx="10">
                  <c:v>4781</c:v>
                </c:pt>
                <c:pt idx="12">
                  <c:v>891</c:v>
                </c:pt>
                <c:pt idx="13">
                  <c:v>3402</c:v>
                </c:pt>
                <c:pt idx="14">
                  <c:v>59648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4-48BD-929C-D720727982D6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2901</c:v>
                </c:pt>
                <c:pt idx="3">
                  <c:v>311</c:v>
                </c:pt>
                <c:pt idx="4">
                  <c:v>1714</c:v>
                </c:pt>
                <c:pt idx="5">
                  <c:v>3140</c:v>
                </c:pt>
                <c:pt idx="6">
                  <c:v>377</c:v>
                </c:pt>
                <c:pt idx="7">
                  <c:v>3170</c:v>
                </c:pt>
                <c:pt idx="8">
                  <c:v>131</c:v>
                </c:pt>
                <c:pt idx="9">
                  <c:v>2918</c:v>
                </c:pt>
                <c:pt idx="10">
                  <c:v>4781</c:v>
                </c:pt>
                <c:pt idx="11">
                  <c:v>2167</c:v>
                </c:pt>
                <c:pt idx="12">
                  <c:v>891</c:v>
                </c:pt>
                <c:pt idx="13">
                  <c:v>3402</c:v>
                </c:pt>
                <c:pt idx="14">
                  <c:v>59648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4-48BD-929C-D72072798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71%</c:v>
                </c:pt>
                <c:pt idx="3">
                  <c:v>17%</c:v>
                </c:pt>
                <c:pt idx="4">
                  <c:v>17%</c:v>
                </c:pt>
                <c:pt idx="5">
                  <c:v>75%</c:v>
                </c:pt>
                <c:pt idx="6">
                  <c:v>17%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96%</c:v>
                </c:pt>
                <c:pt idx="11">
                  <c:v>0%</c:v>
                </c:pt>
                <c:pt idx="12">
                  <c:v>21%</c:v>
                </c:pt>
                <c:pt idx="13">
                  <c:v>83%</c:v>
                </c:pt>
                <c:pt idx="14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0.75</c:v>
                </c:pt>
                <c:pt idx="6">
                  <c:v>0.16666666666666666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4490-9DBB-C530EDE9654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BF-4490-9DBB-C530EDE965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0.83333333333333337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F-4490-9DBB-C530EDE96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2">
                  <c:v>2901</c:v>
                </c:pt>
                <c:pt idx="3">
                  <c:v>311</c:v>
                </c:pt>
                <c:pt idx="4">
                  <c:v>1714</c:v>
                </c:pt>
                <c:pt idx="5">
                  <c:v>3140</c:v>
                </c:pt>
                <c:pt idx="6">
                  <c:v>377</c:v>
                </c:pt>
                <c:pt idx="7">
                  <c:v>3170</c:v>
                </c:pt>
                <c:pt idx="10">
                  <c:v>4781</c:v>
                </c:pt>
                <c:pt idx="12">
                  <c:v>891</c:v>
                </c:pt>
                <c:pt idx="13">
                  <c:v>3402</c:v>
                </c:pt>
                <c:pt idx="14">
                  <c:v>59648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1-47E8-B790-B7F438FCA1F3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2901</c:v>
                </c:pt>
                <c:pt idx="3">
                  <c:v>311</c:v>
                </c:pt>
                <c:pt idx="4">
                  <c:v>1714</c:v>
                </c:pt>
                <c:pt idx="5">
                  <c:v>3140</c:v>
                </c:pt>
                <c:pt idx="6">
                  <c:v>377</c:v>
                </c:pt>
                <c:pt idx="7">
                  <c:v>3170</c:v>
                </c:pt>
                <c:pt idx="8">
                  <c:v>131</c:v>
                </c:pt>
                <c:pt idx="9">
                  <c:v>2918</c:v>
                </c:pt>
                <c:pt idx="10">
                  <c:v>4781</c:v>
                </c:pt>
                <c:pt idx="11">
                  <c:v>2167</c:v>
                </c:pt>
                <c:pt idx="12">
                  <c:v>891</c:v>
                </c:pt>
                <c:pt idx="13">
                  <c:v>3402</c:v>
                </c:pt>
                <c:pt idx="14">
                  <c:v>59648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1-47E8-B790-B7F438FCA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71%</c:v>
                </c:pt>
                <c:pt idx="3">
                  <c:v>17%</c:v>
                </c:pt>
                <c:pt idx="4">
                  <c:v>17%</c:v>
                </c:pt>
                <c:pt idx="5">
                  <c:v>75%</c:v>
                </c:pt>
                <c:pt idx="6">
                  <c:v>17%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96%</c:v>
                </c:pt>
                <c:pt idx="11">
                  <c:v>0%</c:v>
                </c:pt>
                <c:pt idx="12">
                  <c:v>21%</c:v>
                </c:pt>
                <c:pt idx="13">
                  <c:v>83%</c:v>
                </c:pt>
                <c:pt idx="14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0.75</c:v>
                </c:pt>
                <c:pt idx="6">
                  <c:v>0.16666666666666666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7-491D-BFE5-F3942BD830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37-491D-BFE5-F3942BD830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0.83333333333333337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7-491D-BFE5-F3942BD83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C21-406E-BA53-1A3FED6526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1-406E-BA53-1A3FED652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21-406E-BA53-1A3FED6526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1-406E-BA53-1A3FED652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5851</c:v>
                </c:pt>
                <c:pt idx="4">
                  <c:v>13656</c:v>
                </c:pt>
                <c:pt idx="5">
                  <c:v>4571</c:v>
                </c:pt>
                <c:pt idx="6">
                  <c:v>4890</c:v>
                </c:pt>
                <c:pt idx="10">
                  <c:v>4959</c:v>
                </c:pt>
                <c:pt idx="12">
                  <c:v>1216</c:v>
                </c:pt>
                <c:pt idx="13">
                  <c:v>2253</c:v>
                </c:pt>
                <c:pt idx="14">
                  <c:v>41444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D-4EA7-899D-A259374A14B1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5851</c:v>
                </c:pt>
                <c:pt idx="3">
                  <c:v>311</c:v>
                </c:pt>
                <c:pt idx="4">
                  <c:v>13656</c:v>
                </c:pt>
                <c:pt idx="5">
                  <c:v>4571</c:v>
                </c:pt>
                <c:pt idx="6">
                  <c:v>4890</c:v>
                </c:pt>
                <c:pt idx="7">
                  <c:v>3170</c:v>
                </c:pt>
                <c:pt idx="8">
                  <c:v>131</c:v>
                </c:pt>
                <c:pt idx="9">
                  <c:v>2918</c:v>
                </c:pt>
                <c:pt idx="10">
                  <c:v>4959</c:v>
                </c:pt>
                <c:pt idx="11">
                  <c:v>2167</c:v>
                </c:pt>
                <c:pt idx="12">
                  <c:v>1216</c:v>
                </c:pt>
                <c:pt idx="13">
                  <c:v>2253</c:v>
                </c:pt>
                <c:pt idx="14">
                  <c:v>41444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D-4EA7-899D-A259374A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83%</c:v>
                </c:pt>
                <c:pt idx="6">
                  <c:v>96%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54%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0.83333333333333337</c:v>
                </c:pt>
                <c:pt idx="6">
                  <c:v>0.95833333333333337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0.54166666666666663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7-4AC6-8429-69F9BADC5BC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57-4AC6-8429-69F9BADC5B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0.40833333333333333</c:v>
                </c:pt>
                <c:pt idx="1">
                  <c:v>0.40833333333333333</c:v>
                </c:pt>
                <c:pt idx="2">
                  <c:v>0.40833333333333333</c:v>
                </c:pt>
                <c:pt idx="3">
                  <c:v>0.40833333333333333</c:v>
                </c:pt>
                <c:pt idx="4">
                  <c:v>0.40833333333333333</c:v>
                </c:pt>
                <c:pt idx="5">
                  <c:v>0.40833333333333333</c:v>
                </c:pt>
                <c:pt idx="6">
                  <c:v>0.40833333333333333</c:v>
                </c:pt>
                <c:pt idx="7">
                  <c:v>0.40833333333333333</c:v>
                </c:pt>
                <c:pt idx="8">
                  <c:v>0.40833333333333333</c:v>
                </c:pt>
                <c:pt idx="9">
                  <c:v>0.40833333333333333</c:v>
                </c:pt>
                <c:pt idx="10">
                  <c:v>0.40833333333333333</c:v>
                </c:pt>
                <c:pt idx="11">
                  <c:v>0.40833333333333333</c:v>
                </c:pt>
                <c:pt idx="12">
                  <c:v>0.40833333333333333</c:v>
                </c:pt>
                <c:pt idx="13">
                  <c:v>0.58333333333333337</c:v>
                </c:pt>
                <c:pt idx="14">
                  <c:v>0.40833333333333333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57-4AC6-8429-69F9BADC5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5851</c:v>
                </c:pt>
                <c:pt idx="4">
                  <c:v>13656</c:v>
                </c:pt>
                <c:pt idx="5">
                  <c:v>4571</c:v>
                </c:pt>
                <c:pt idx="6">
                  <c:v>4890</c:v>
                </c:pt>
                <c:pt idx="10">
                  <c:v>4959</c:v>
                </c:pt>
                <c:pt idx="12">
                  <c:v>1216</c:v>
                </c:pt>
                <c:pt idx="13">
                  <c:v>2253</c:v>
                </c:pt>
                <c:pt idx="14">
                  <c:v>41444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3A-4CB0-8FBB-D73712AB626C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5851</c:v>
                </c:pt>
                <c:pt idx="3">
                  <c:v>311</c:v>
                </c:pt>
                <c:pt idx="4">
                  <c:v>13656</c:v>
                </c:pt>
                <c:pt idx="5">
                  <c:v>4571</c:v>
                </c:pt>
                <c:pt idx="6">
                  <c:v>4890</c:v>
                </c:pt>
                <c:pt idx="7">
                  <c:v>3170</c:v>
                </c:pt>
                <c:pt idx="8">
                  <c:v>131</c:v>
                </c:pt>
                <c:pt idx="9">
                  <c:v>2918</c:v>
                </c:pt>
                <c:pt idx="10">
                  <c:v>4959</c:v>
                </c:pt>
                <c:pt idx="11">
                  <c:v>2167</c:v>
                </c:pt>
                <c:pt idx="12">
                  <c:v>1216</c:v>
                </c:pt>
                <c:pt idx="13">
                  <c:v>2253</c:v>
                </c:pt>
                <c:pt idx="14">
                  <c:v>41444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A-4CB0-8FBB-D73712AB6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83%</c:v>
                </c:pt>
                <c:pt idx="6">
                  <c:v>96%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54%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0.83333333333333337</c:v>
                </c:pt>
                <c:pt idx="6">
                  <c:v>0.95833333333333337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0.54166666666666663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9-4097-8F8B-352BE153AE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39-4097-8F8B-352BE153AE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M2 CONN</c:v>
                </c:pt>
                <c:pt idx="8">
                  <c:v>88P</c:v>
                </c:pt>
                <c:pt idx="10">
                  <c:v>BODY</c:v>
                </c:pt>
                <c:pt idx="11">
                  <c:v>FLOATING</c:v>
                </c:pt>
                <c:pt idx="12">
                  <c:v>ST/HO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0.40833333333333333</c:v>
                </c:pt>
                <c:pt idx="1">
                  <c:v>0.40833333333333333</c:v>
                </c:pt>
                <c:pt idx="2">
                  <c:v>0.40833333333333333</c:v>
                </c:pt>
                <c:pt idx="3">
                  <c:v>0.40833333333333333</c:v>
                </c:pt>
                <c:pt idx="4">
                  <c:v>0.40833333333333333</c:v>
                </c:pt>
                <c:pt idx="5">
                  <c:v>0.40833333333333333</c:v>
                </c:pt>
                <c:pt idx="6">
                  <c:v>0.40833333333333333</c:v>
                </c:pt>
                <c:pt idx="7">
                  <c:v>0.40833333333333333</c:v>
                </c:pt>
                <c:pt idx="8">
                  <c:v>0.40833333333333333</c:v>
                </c:pt>
                <c:pt idx="9">
                  <c:v>0.40833333333333333</c:v>
                </c:pt>
                <c:pt idx="10">
                  <c:v>0.40833333333333333</c:v>
                </c:pt>
                <c:pt idx="11">
                  <c:v>0.40833333333333333</c:v>
                </c:pt>
                <c:pt idx="12">
                  <c:v>0.40833333333333333</c:v>
                </c:pt>
                <c:pt idx="13">
                  <c:v>0.58333333333333337</c:v>
                </c:pt>
                <c:pt idx="14">
                  <c:v>0.40833333333333333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9-4097-8F8B-352BE153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CE1-44B1-A52C-2FD630B03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1-44B1-A52C-2FD630B03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E1-44B1-A52C-2FD630B032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E1-44B1-A52C-2FD630B03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2">
                  <c:v>5827</c:v>
                </c:pt>
                <c:pt idx="3">
                  <c:v>39024</c:v>
                </c:pt>
                <c:pt idx="4">
                  <c:v>2704</c:v>
                </c:pt>
                <c:pt idx="5">
                  <c:v>15988</c:v>
                </c:pt>
                <c:pt idx="6">
                  <c:v>411</c:v>
                </c:pt>
                <c:pt idx="7">
                  <c:v>5161</c:v>
                </c:pt>
                <c:pt idx="11">
                  <c:v>5517</c:v>
                </c:pt>
                <c:pt idx="13">
                  <c:v>3725</c:v>
                </c:pt>
                <c:pt idx="14">
                  <c:v>3699</c:v>
                </c:pt>
                <c:pt idx="15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2-4710-A682-585C1D55D5FB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5827</c:v>
                </c:pt>
                <c:pt idx="3">
                  <c:v>39024</c:v>
                </c:pt>
                <c:pt idx="4">
                  <c:v>2704</c:v>
                </c:pt>
                <c:pt idx="5">
                  <c:v>15988</c:v>
                </c:pt>
                <c:pt idx="6">
                  <c:v>411</c:v>
                </c:pt>
                <c:pt idx="7">
                  <c:v>5161</c:v>
                </c:pt>
                <c:pt idx="8">
                  <c:v>3170</c:v>
                </c:pt>
                <c:pt idx="9">
                  <c:v>131</c:v>
                </c:pt>
                <c:pt idx="10">
                  <c:v>2918</c:v>
                </c:pt>
                <c:pt idx="11">
                  <c:v>5517</c:v>
                </c:pt>
                <c:pt idx="12">
                  <c:v>2167</c:v>
                </c:pt>
                <c:pt idx="13">
                  <c:v>3725</c:v>
                </c:pt>
                <c:pt idx="14">
                  <c:v>3699</c:v>
                </c:pt>
                <c:pt idx="15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2-4710-A682-585C1D55D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67%</c:v>
                </c:pt>
                <c:pt idx="5">
                  <c:v>100%</c:v>
                </c:pt>
                <c:pt idx="6">
                  <c:v>13%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83%</c:v>
                </c:pt>
                <c:pt idx="14">
                  <c:v>79%</c:v>
                </c:pt>
                <c:pt idx="15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  <c:pt idx="5">
                  <c:v>1</c:v>
                </c:pt>
                <c:pt idx="6">
                  <c:v>0.125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0.83333333333333337</c:v>
                </c:pt>
                <c:pt idx="14">
                  <c:v>0.79166666666666663</c:v>
                </c:pt>
                <c:pt idx="1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D-4B4B-9725-06D4792E6E0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1D-4B4B-9725-06D4792E6E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0.46944444444444439</c:v>
                </c:pt>
                <c:pt idx="1">
                  <c:v>0.46944444444444439</c:v>
                </c:pt>
                <c:pt idx="2">
                  <c:v>0.46944444444444439</c:v>
                </c:pt>
                <c:pt idx="3">
                  <c:v>0.46944444444444439</c:v>
                </c:pt>
                <c:pt idx="4">
                  <c:v>0.46944444444444439</c:v>
                </c:pt>
                <c:pt idx="5">
                  <c:v>0.46944444444444439</c:v>
                </c:pt>
                <c:pt idx="6">
                  <c:v>0.46944444444444439</c:v>
                </c:pt>
                <c:pt idx="7">
                  <c:v>0.46944444444444439</c:v>
                </c:pt>
                <c:pt idx="8">
                  <c:v>0.46944444444444439</c:v>
                </c:pt>
                <c:pt idx="9">
                  <c:v>0.46944444444444439</c:v>
                </c:pt>
                <c:pt idx="10">
                  <c:v>0.46944444444444439</c:v>
                </c:pt>
                <c:pt idx="11">
                  <c:v>0.46944444444444439</c:v>
                </c:pt>
                <c:pt idx="12">
                  <c:v>0.46944444444444439</c:v>
                </c:pt>
                <c:pt idx="13">
                  <c:v>0.46944444444444439</c:v>
                </c:pt>
                <c:pt idx="14">
                  <c:v>0.375</c:v>
                </c:pt>
                <c:pt idx="15">
                  <c:v>0.46944444444444439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D-4B4B-9725-06D4792E6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2">
                  <c:v>5827</c:v>
                </c:pt>
                <c:pt idx="3">
                  <c:v>39024</c:v>
                </c:pt>
                <c:pt idx="4">
                  <c:v>2704</c:v>
                </c:pt>
                <c:pt idx="5">
                  <c:v>15988</c:v>
                </c:pt>
                <c:pt idx="6">
                  <c:v>411</c:v>
                </c:pt>
                <c:pt idx="7">
                  <c:v>5161</c:v>
                </c:pt>
                <c:pt idx="11">
                  <c:v>5517</c:v>
                </c:pt>
                <c:pt idx="13">
                  <c:v>3725</c:v>
                </c:pt>
                <c:pt idx="14">
                  <c:v>3699</c:v>
                </c:pt>
                <c:pt idx="15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4-4045-B06A-800D5C866E47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5827</c:v>
                </c:pt>
                <c:pt idx="3">
                  <c:v>39024</c:v>
                </c:pt>
                <c:pt idx="4">
                  <c:v>2704</c:v>
                </c:pt>
                <c:pt idx="5">
                  <c:v>15988</c:v>
                </c:pt>
                <c:pt idx="6">
                  <c:v>411</c:v>
                </c:pt>
                <c:pt idx="7">
                  <c:v>5161</c:v>
                </c:pt>
                <c:pt idx="8">
                  <c:v>3170</c:v>
                </c:pt>
                <c:pt idx="9">
                  <c:v>131</c:v>
                </c:pt>
                <c:pt idx="10">
                  <c:v>2918</c:v>
                </c:pt>
                <c:pt idx="11">
                  <c:v>5517</c:v>
                </c:pt>
                <c:pt idx="12">
                  <c:v>2167</c:v>
                </c:pt>
                <c:pt idx="13">
                  <c:v>3725</c:v>
                </c:pt>
                <c:pt idx="14">
                  <c:v>3699</c:v>
                </c:pt>
                <c:pt idx="15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4-4045-B06A-800D5C866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67%</c:v>
                </c:pt>
                <c:pt idx="5">
                  <c:v>100%</c:v>
                </c:pt>
                <c:pt idx="6">
                  <c:v>13%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83%</c:v>
                </c:pt>
                <c:pt idx="14">
                  <c:v>79%</c:v>
                </c:pt>
                <c:pt idx="15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  <c:pt idx="5">
                  <c:v>1</c:v>
                </c:pt>
                <c:pt idx="6">
                  <c:v>0.125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0.83333333333333337</c:v>
                </c:pt>
                <c:pt idx="14">
                  <c:v>0.79166666666666663</c:v>
                </c:pt>
                <c:pt idx="1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0-4436-A9CA-2B086E09E0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C0-4436-A9CA-2B086E09E0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SHAFT</c:v>
                </c:pt>
                <c:pt idx="4">
                  <c:v>ACTUATOR</c:v>
                </c:pt>
                <c:pt idx="5">
                  <c:v>SEPARATOR</c:v>
                </c:pt>
                <c:pt idx="6">
                  <c:v>SP-A/B</c:v>
                </c:pt>
                <c:pt idx="7">
                  <c:v>BASE</c:v>
                </c:pt>
                <c:pt idx="8">
                  <c:v>M2 CONN</c:v>
                </c:pt>
                <c:pt idx="9">
                  <c:v>88P</c:v>
                </c:pt>
                <c:pt idx="11">
                  <c:v>BODY</c:v>
                </c:pt>
                <c:pt idx="12">
                  <c:v>FLOATING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0.46944444444444439</c:v>
                </c:pt>
                <c:pt idx="1">
                  <c:v>0.46944444444444439</c:v>
                </c:pt>
                <c:pt idx="2">
                  <c:v>0.46944444444444439</c:v>
                </c:pt>
                <c:pt idx="3">
                  <c:v>0.46944444444444439</c:v>
                </c:pt>
                <c:pt idx="4">
                  <c:v>0.46944444444444439</c:v>
                </c:pt>
                <c:pt idx="5">
                  <c:v>0.46944444444444439</c:v>
                </c:pt>
                <c:pt idx="6">
                  <c:v>0.46944444444444439</c:v>
                </c:pt>
                <c:pt idx="7">
                  <c:v>0.46944444444444439</c:v>
                </c:pt>
                <c:pt idx="8">
                  <c:v>0.46944444444444439</c:v>
                </c:pt>
                <c:pt idx="9">
                  <c:v>0.46944444444444439</c:v>
                </c:pt>
                <c:pt idx="10">
                  <c:v>0.46944444444444439</c:v>
                </c:pt>
                <c:pt idx="11">
                  <c:v>0.46944444444444439</c:v>
                </c:pt>
                <c:pt idx="12">
                  <c:v>0.46944444444444439</c:v>
                </c:pt>
                <c:pt idx="13">
                  <c:v>0.46944444444444439</c:v>
                </c:pt>
                <c:pt idx="14">
                  <c:v>0.375</c:v>
                </c:pt>
                <c:pt idx="15">
                  <c:v>0.46944444444444439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0-4436-A9CA-2B086E09E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66B-4564-BA49-97E63F42FE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B-4564-BA49-97E63F42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6B-4564-BA49-97E63F42FE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B-4564-BA49-97E63F42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5884</c:v>
                </c:pt>
                <c:pt idx="3">
                  <c:v>1127</c:v>
                </c:pt>
                <c:pt idx="4">
                  <c:v>1292</c:v>
                </c:pt>
                <c:pt idx="5">
                  <c:v>16420</c:v>
                </c:pt>
                <c:pt idx="6">
                  <c:v>2583</c:v>
                </c:pt>
                <c:pt idx="7">
                  <c:v>4192</c:v>
                </c:pt>
                <c:pt idx="8">
                  <c:v>1458</c:v>
                </c:pt>
                <c:pt idx="10">
                  <c:v>878</c:v>
                </c:pt>
                <c:pt idx="11">
                  <c:v>3360</c:v>
                </c:pt>
                <c:pt idx="12">
                  <c:v>533</c:v>
                </c:pt>
                <c:pt idx="13">
                  <c:v>4962</c:v>
                </c:pt>
                <c:pt idx="14">
                  <c:v>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2-428F-AF85-64FF609AE375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5884</c:v>
                </c:pt>
                <c:pt idx="3">
                  <c:v>1127</c:v>
                </c:pt>
                <c:pt idx="4">
                  <c:v>1292</c:v>
                </c:pt>
                <c:pt idx="5">
                  <c:v>16420</c:v>
                </c:pt>
                <c:pt idx="6">
                  <c:v>2583</c:v>
                </c:pt>
                <c:pt idx="7">
                  <c:v>4192</c:v>
                </c:pt>
                <c:pt idx="8">
                  <c:v>1458</c:v>
                </c:pt>
                <c:pt idx="9">
                  <c:v>131</c:v>
                </c:pt>
                <c:pt idx="10">
                  <c:v>878</c:v>
                </c:pt>
                <c:pt idx="11">
                  <c:v>3360</c:v>
                </c:pt>
                <c:pt idx="12">
                  <c:v>533</c:v>
                </c:pt>
                <c:pt idx="13">
                  <c:v>4962</c:v>
                </c:pt>
                <c:pt idx="14">
                  <c:v>5027</c:v>
                </c:pt>
                <c:pt idx="15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2-428F-AF85-64FF609A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29%</c:v>
                </c:pt>
                <c:pt idx="4">
                  <c:v>33%</c:v>
                </c:pt>
                <c:pt idx="5">
                  <c:v>100%</c:v>
                </c:pt>
                <c:pt idx="6">
                  <c:v>58%</c:v>
                </c:pt>
                <c:pt idx="7">
                  <c:v>88%</c:v>
                </c:pt>
                <c:pt idx="8">
                  <c:v>42%</c:v>
                </c:pt>
                <c:pt idx="9">
                  <c:v>0%</c:v>
                </c:pt>
                <c:pt idx="10">
                  <c:v>21%</c:v>
                </c:pt>
                <c:pt idx="11">
                  <c:v>63%</c:v>
                </c:pt>
                <c:pt idx="12">
                  <c:v>17%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0.29166666666666669</c:v>
                </c:pt>
                <c:pt idx="4">
                  <c:v>0.33333333333333331</c:v>
                </c:pt>
                <c:pt idx="5">
                  <c:v>1</c:v>
                </c:pt>
                <c:pt idx="6">
                  <c:v>0.58333333333333337</c:v>
                </c:pt>
                <c:pt idx="7">
                  <c:v>0.875</c:v>
                </c:pt>
                <c:pt idx="8">
                  <c:v>0.41666666666666669</c:v>
                </c:pt>
                <c:pt idx="9">
                  <c:v>0</c:v>
                </c:pt>
                <c:pt idx="10">
                  <c:v>0.20833333333333334</c:v>
                </c:pt>
                <c:pt idx="11">
                  <c:v>0.625</c:v>
                </c:pt>
                <c:pt idx="12">
                  <c:v>0.16666666666666666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A-4150-9F89-75C6AA7097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2A-4150-9F89-75C6AA7097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0.50000000000000011</c:v>
                </c:pt>
                <c:pt idx="1">
                  <c:v>0.50000000000000011</c:v>
                </c:pt>
                <c:pt idx="2">
                  <c:v>0.50000000000000011</c:v>
                </c:pt>
                <c:pt idx="3">
                  <c:v>0.50000000000000011</c:v>
                </c:pt>
                <c:pt idx="4">
                  <c:v>0.50000000000000011</c:v>
                </c:pt>
                <c:pt idx="5">
                  <c:v>0.50000000000000011</c:v>
                </c:pt>
                <c:pt idx="6">
                  <c:v>0.50000000000000011</c:v>
                </c:pt>
                <c:pt idx="7">
                  <c:v>0.50000000000000011</c:v>
                </c:pt>
                <c:pt idx="8">
                  <c:v>0.50000000000000011</c:v>
                </c:pt>
                <c:pt idx="9">
                  <c:v>0.50000000000000011</c:v>
                </c:pt>
                <c:pt idx="10">
                  <c:v>0.50000000000000011</c:v>
                </c:pt>
                <c:pt idx="11">
                  <c:v>0.50000000000000011</c:v>
                </c:pt>
                <c:pt idx="12">
                  <c:v>0.50000000000000011</c:v>
                </c:pt>
                <c:pt idx="13">
                  <c:v>0.50000000000000011</c:v>
                </c:pt>
                <c:pt idx="14">
                  <c:v>0</c:v>
                </c:pt>
                <c:pt idx="15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A-4150-9F89-75C6AA70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5884</c:v>
                </c:pt>
                <c:pt idx="3">
                  <c:v>1127</c:v>
                </c:pt>
                <c:pt idx="4">
                  <c:v>1292</c:v>
                </c:pt>
                <c:pt idx="5">
                  <c:v>16420</c:v>
                </c:pt>
                <c:pt idx="6">
                  <c:v>2583</c:v>
                </c:pt>
                <c:pt idx="7">
                  <c:v>4192</c:v>
                </c:pt>
                <c:pt idx="8">
                  <c:v>1458</c:v>
                </c:pt>
                <c:pt idx="10">
                  <c:v>878</c:v>
                </c:pt>
                <c:pt idx="11">
                  <c:v>3360</c:v>
                </c:pt>
                <c:pt idx="12">
                  <c:v>533</c:v>
                </c:pt>
                <c:pt idx="13">
                  <c:v>4962</c:v>
                </c:pt>
                <c:pt idx="14">
                  <c:v>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A-4E8F-88F2-B4FD745785C0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5884</c:v>
                </c:pt>
                <c:pt idx="3">
                  <c:v>1127</c:v>
                </c:pt>
                <c:pt idx="4">
                  <c:v>1292</c:v>
                </c:pt>
                <c:pt idx="5">
                  <c:v>16420</c:v>
                </c:pt>
                <c:pt idx="6">
                  <c:v>2583</c:v>
                </c:pt>
                <c:pt idx="7">
                  <c:v>4192</c:v>
                </c:pt>
                <c:pt idx="8">
                  <c:v>1458</c:v>
                </c:pt>
                <c:pt idx="9">
                  <c:v>131</c:v>
                </c:pt>
                <c:pt idx="10">
                  <c:v>878</c:v>
                </c:pt>
                <c:pt idx="11">
                  <c:v>3360</c:v>
                </c:pt>
                <c:pt idx="12">
                  <c:v>533</c:v>
                </c:pt>
                <c:pt idx="13">
                  <c:v>4962</c:v>
                </c:pt>
                <c:pt idx="14">
                  <c:v>5027</c:v>
                </c:pt>
                <c:pt idx="15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A-4E8F-88F2-B4FD74578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29%</c:v>
                </c:pt>
                <c:pt idx="4">
                  <c:v>33%</c:v>
                </c:pt>
                <c:pt idx="5">
                  <c:v>100%</c:v>
                </c:pt>
                <c:pt idx="6">
                  <c:v>58%</c:v>
                </c:pt>
                <c:pt idx="7">
                  <c:v>88%</c:v>
                </c:pt>
                <c:pt idx="8">
                  <c:v>42%</c:v>
                </c:pt>
                <c:pt idx="9">
                  <c:v>0%</c:v>
                </c:pt>
                <c:pt idx="10">
                  <c:v>21%</c:v>
                </c:pt>
                <c:pt idx="11">
                  <c:v>63%</c:v>
                </c:pt>
                <c:pt idx="12">
                  <c:v>17%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0.29166666666666669</c:v>
                </c:pt>
                <c:pt idx="4">
                  <c:v>0.33333333333333331</c:v>
                </c:pt>
                <c:pt idx="5">
                  <c:v>1</c:v>
                </c:pt>
                <c:pt idx="6">
                  <c:v>0.58333333333333337</c:v>
                </c:pt>
                <c:pt idx="7">
                  <c:v>0.875</c:v>
                </c:pt>
                <c:pt idx="8">
                  <c:v>0.41666666666666669</c:v>
                </c:pt>
                <c:pt idx="9">
                  <c:v>0</c:v>
                </c:pt>
                <c:pt idx="10">
                  <c:v>0.20833333333333334</c:v>
                </c:pt>
                <c:pt idx="11">
                  <c:v>0.625</c:v>
                </c:pt>
                <c:pt idx="12">
                  <c:v>0.16666666666666666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0-4C31-A580-6A46F9990DE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60-4C31-A580-6A46F9990D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ADAPTER</c:v>
                </c:pt>
                <c:pt idx="4">
                  <c:v>LEAD GUIDE</c:v>
                </c:pt>
                <c:pt idx="5">
                  <c:v>SEPARATOR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88P</c:v>
                </c:pt>
                <c:pt idx="10">
                  <c:v>ADAPTER</c:v>
                </c:pt>
                <c:pt idx="11">
                  <c:v>BODY</c:v>
                </c:pt>
                <c:pt idx="12">
                  <c:v>ADAPTER</c:v>
                </c:pt>
                <c:pt idx="13">
                  <c:v>ST/HO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0.50000000000000011</c:v>
                </c:pt>
                <c:pt idx="1">
                  <c:v>0.50000000000000011</c:v>
                </c:pt>
                <c:pt idx="2">
                  <c:v>0.50000000000000011</c:v>
                </c:pt>
                <c:pt idx="3">
                  <c:v>0.50000000000000011</c:v>
                </c:pt>
                <c:pt idx="4">
                  <c:v>0.50000000000000011</c:v>
                </c:pt>
                <c:pt idx="5">
                  <c:v>0.50000000000000011</c:v>
                </c:pt>
                <c:pt idx="6">
                  <c:v>0.50000000000000011</c:v>
                </c:pt>
                <c:pt idx="7">
                  <c:v>0.50000000000000011</c:v>
                </c:pt>
                <c:pt idx="8">
                  <c:v>0.50000000000000011</c:v>
                </c:pt>
                <c:pt idx="9">
                  <c:v>0.50000000000000011</c:v>
                </c:pt>
                <c:pt idx="10">
                  <c:v>0.50000000000000011</c:v>
                </c:pt>
                <c:pt idx="11">
                  <c:v>0.50000000000000011</c:v>
                </c:pt>
                <c:pt idx="12">
                  <c:v>0.50000000000000011</c:v>
                </c:pt>
                <c:pt idx="13">
                  <c:v>0.50000000000000011</c:v>
                </c:pt>
                <c:pt idx="14">
                  <c:v>0</c:v>
                </c:pt>
                <c:pt idx="15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60-4C31-A580-6A46F9990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EC0-479B-8449-95188C90D3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0-479B-8449-95188C90D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C0-479B-8449-95188C90D3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C0-479B-8449-95188C90D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5367</c:v>
                </c:pt>
                <c:pt idx="3">
                  <c:v>2448</c:v>
                </c:pt>
                <c:pt idx="4">
                  <c:v>5830</c:v>
                </c:pt>
                <c:pt idx="5">
                  <c:v>3680</c:v>
                </c:pt>
                <c:pt idx="6">
                  <c:v>351</c:v>
                </c:pt>
                <c:pt idx="7">
                  <c:v>4609</c:v>
                </c:pt>
                <c:pt idx="9">
                  <c:v>0</c:v>
                </c:pt>
                <c:pt idx="10">
                  <c:v>829</c:v>
                </c:pt>
                <c:pt idx="12">
                  <c:v>2483</c:v>
                </c:pt>
                <c:pt idx="13">
                  <c:v>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7-4D93-8A3F-D4684151B830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5367</c:v>
                </c:pt>
                <c:pt idx="3">
                  <c:v>2448</c:v>
                </c:pt>
                <c:pt idx="4">
                  <c:v>5830</c:v>
                </c:pt>
                <c:pt idx="5">
                  <c:v>3680</c:v>
                </c:pt>
                <c:pt idx="6">
                  <c:v>351</c:v>
                </c:pt>
                <c:pt idx="7">
                  <c:v>4609</c:v>
                </c:pt>
                <c:pt idx="8">
                  <c:v>131</c:v>
                </c:pt>
                <c:pt idx="9">
                  <c:v>878</c:v>
                </c:pt>
                <c:pt idx="10">
                  <c:v>829</c:v>
                </c:pt>
                <c:pt idx="11">
                  <c:v>533</c:v>
                </c:pt>
                <c:pt idx="12">
                  <c:v>2483</c:v>
                </c:pt>
                <c:pt idx="13">
                  <c:v>5326</c:v>
                </c:pt>
                <c:pt idx="14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7-4D93-8A3F-D4684151B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38%</c:v>
                </c:pt>
                <c:pt idx="5">
                  <c:v>75%</c:v>
                </c:pt>
                <c:pt idx="6">
                  <c:v>13%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0.375</c:v>
                </c:pt>
                <c:pt idx="5">
                  <c:v>0.75</c:v>
                </c:pt>
                <c:pt idx="6">
                  <c:v>0.125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D-4451-B1E5-8D690A90C6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8D-4451-B1E5-8D690A90C6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0.37777777777777782</c:v>
                </c:pt>
                <c:pt idx="1">
                  <c:v>0.37777777777777782</c:v>
                </c:pt>
                <c:pt idx="2">
                  <c:v>0.37777777777777782</c:v>
                </c:pt>
                <c:pt idx="3">
                  <c:v>0.37777777777777782</c:v>
                </c:pt>
                <c:pt idx="4">
                  <c:v>0.37777777777777782</c:v>
                </c:pt>
                <c:pt idx="5">
                  <c:v>0.37777777777777782</c:v>
                </c:pt>
                <c:pt idx="6">
                  <c:v>0.37777777777777782</c:v>
                </c:pt>
                <c:pt idx="7">
                  <c:v>0.37777777777777782</c:v>
                </c:pt>
                <c:pt idx="8">
                  <c:v>0.37777777777777782</c:v>
                </c:pt>
                <c:pt idx="9">
                  <c:v>0.37777777777777782</c:v>
                </c:pt>
                <c:pt idx="10">
                  <c:v>0.37777777777777782</c:v>
                </c:pt>
                <c:pt idx="11">
                  <c:v>0.37777777777777782</c:v>
                </c:pt>
                <c:pt idx="12">
                  <c:v>0.37777777777777782</c:v>
                </c:pt>
                <c:pt idx="13">
                  <c:v>0</c:v>
                </c:pt>
                <c:pt idx="14">
                  <c:v>0.37777777777777782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D-4451-B1E5-8D690A90C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5367</c:v>
                </c:pt>
                <c:pt idx="3">
                  <c:v>2448</c:v>
                </c:pt>
                <c:pt idx="4">
                  <c:v>5830</c:v>
                </c:pt>
                <c:pt idx="5">
                  <c:v>3680</c:v>
                </c:pt>
                <c:pt idx="6">
                  <c:v>351</c:v>
                </c:pt>
                <c:pt idx="7">
                  <c:v>4609</c:v>
                </c:pt>
                <c:pt idx="9">
                  <c:v>0</c:v>
                </c:pt>
                <c:pt idx="10">
                  <c:v>829</c:v>
                </c:pt>
                <c:pt idx="12">
                  <c:v>2483</c:v>
                </c:pt>
                <c:pt idx="13">
                  <c:v>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B-40C4-B711-642A6184411F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5367</c:v>
                </c:pt>
                <c:pt idx="3">
                  <c:v>2448</c:v>
                </c:pt>
                <c:pt idx="4">
                  <c:v>5830</c:v>
                </c:pt>
                <c:pt idx="5">
                  <c:v>3680</c:v>
                </c:pt>
                <c:pt idx="6">
                  <c:v>351</c:v>
                </c:pt>
                <c:pt idx="7">
                  <c:v>4609</c:v>
                </c:pt>
                <c:pt idx="8">
                  <c:v>131</c:v>
                </c:pt>
                <c:pt idx="9">
                  <c:v>878</c:v>
                </c:pt>
                <c:pt idx="10">
                  <c:v>829</c:v>
                </c:pt>
                <c:pt idx="11">
                  <c:v>533</c:v>
                </c:pt>
                <c:pt idx="12">
                  <c:v>2483</c:v>
                </c:pt>
                <c:pt idx="13">
                  <c:v>5326</c:v>
                </c:pt>
                <c:pt idx="14">
                  <c:v>25380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B-40C4-B711-642A61844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38%</c:v>
                </c:pt>
                <c:pt idx="5">
                  <c:v>75%</c:v>
                </c:pt>
                <c:pt idx="6">
                  <c:v>13%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0.375</c:v>
                </c:pt>
                <c:pt idx="5">
                  <c:v>0.75</c:v>
                </c:pt>
                <c:pt idx="6">
                  <c:v>0.125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F-4A4C-9CFE-9465170171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BF-4A4C-9CFE-9465170171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BASE</c:v>
                </c:pt>
                <c:pt idx="7">
                  <c:v>ACTUATOR</c:v>
                </c:pt>
                <c:pt idx="8">
                  <c:v>88P</c:v>
                </c:pt>
                <c:pt idx="9">
                  <c:v>ADAPTER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0.37777777777777782</c:v>
                </c:pt>
                <c:pt idx="1">
                  <c:v>0.37777777777777782</c:v>
                </c:pt>
                <c:pt idx="2">
                  <c:v>0.37777777777777782</c:v>
                </c:pt>
                <c:pt idx="3">
                  <c:v>0.37777777777777782</c:v>
                </c:pt>
                <c:pt idx="4">
                  <c:v>0.37777777777777782</c:v>
                </c:pt>
                <c:pt idx="5">
                  <c:v>0.37777777777777782</c:v>
                </c:pt>
                <c:pt idx="6">
                  <c:v>0.37777777777777782</c:v>
                </c:pt>
                <c:pt idx="7">
                  <c:v>0.37777777777777782</c:v>
                </c:pt>
                <c:pt idx="8">
                  <c:v>0.37777777777777782</c:v>
                </c:pt>
                <c:pt idx="9">
                  <c:v>0.37777777777777782</c:v>
                </c:pt>
                <c:pt idx="10">
                  <c:v>0.37777777777777782</c:v>
                </c:pt>
                <c:pt idx="11">
                  <c:v>0.37777777777777782</c:v>
                </c:pt>
                <c:pt idx="12">
                  <c:v>0.37777777777777782</c:v>
                </c:pt>
                <c:pt idx="13">
                  <c:v>0</c:v>
                </c:pt>
                <c:pt idx="14">
                  <c:v>0.37777777777777782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BF-4A4C-9CFE-946517017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56F-4C45-A599-0E95046DFC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F-4C45-A599-0E95046D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6F-4C45-A599-0E95046DFC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6F-4C45-A599-0E95046D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5809</c:v>
                </c:pt>
                <c:pt idx="4">
                  <c:v>12022</c:v>
                </c:pt>
                <c:pt idx="5">
                  <c:v>4703</c:v>
                </c:pt>
                <c:pt idx="6">
                  <c:v>2578</c:v>
                </c:pt>
                <c:pt idx="7">
                  <c:v>813</c:v>
                </c:pt>
                <c:pt idx="8">
                  <c:v>2012</c:v>
                </c:pt>
                <c:pt idx="11">
                  <c:v>5524</c:v>
                </c:pt>
                <c:pt idx="13">
                  <c:v>3339</c:v>
                </c:pt>
                <c:pt idx="14">
                  <c:v>3908</c:v>
                </c:pt>
                <c:pt idx="15">
                  <c:v>37344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8-4616-A649-BBA223D3750C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5809</c:v>
                </c:pt>
                <c:pt idx="3">
                  <c:v>2448</c:v>
                </c:pt>
                <c:pt idx="4">
                  <c:v>12022</c:v>
                </c:pt>
                <c:pt idx="5">
                  <c:v>4703</c:v>
                </c:pt>
                <c:pt idx="6">
                  <c:v>2578</c:v>
                </c:pt>
                <c:pt idx="7">
                  <c:v>813</c:v>
                </c:pt>
                <c:pt idx="8">
                  <c:v>2012</c:v>
                </c:pt>
                <c:pt idx="9">
                  <c:v>131</c:v>
                </c:pt>
                <c:pt idx="10">
                  <c:v>878</c:v>
                </c:pt>
                <c:pt idx="11">
                  <c:v>5524</c:v>
                </c:pt>
                <c:pt idx="12">
                  <c:v>533</c:v>
                </c:pt>
                <c:pt idx="13">
                  <c:v>3339</c:v>
                </c:pt>
                <c:pt idx="14">
                  <c:v>3908</c:v>
                </c:pt>
                <c:pt idx="15">
                  <c:v>37344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8-4616-A649-BBA223D37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79%</c:v>
                </c:pt>
                <c:pt idx="6">
                  <c:v>67%</c:v>
                </c:pt>
                <c:pt idx="7">
                  <c:v>21%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75%</c:v>
                </c:pt>
                <c:pt idx="14">
                  <c:v>88%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0.79166666666666663</c:v>
                </c:pt>
                <c:pt idx="6">
                  <c:v>0.66666666666666663</c:v>
                </c:pt>
                <c:pt idx="7">
                  <c:v>0.20833333333333334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0.75</c:v>
                </c:pt>
                <c:pt idx="14">
                  <c:v>0.875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B-4BFC-B3F1-B6E886CEA8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CB-4BFC-B3F1-B6E886CEA8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0.48611111111111105</c:v>
                </c:pt>
                <c:pt idx="1">
                  <c:v>0.48611111111111105</c:v>
                </c:pt>
                <c:pt idx="2">
                  <c:v>0.48611111111111105</c:v>
                </c:pt>
                <c:pt idx="3">
                  <c:v>0.48611111111111105</c:v>
                </c:pt>
                <c:pt idx="4">
                  <c:v>0.48611111111111105</c:v>
                </c:pt>
                <c:pt idx="5">
                  <c:v>0.48611111111111105</c:v>
                </c:pt>
                <c:pt idx="6">
                  <c:v>0.48611111111111105</c:v>
                </c:pt>
                <c:pt idx="7">
                  <c:v>0.48611111111111105</c:v>
                </c:pt>
                <c:pt idx="8">
                  <c:v>0.48611111111111105</c:v>
                </c:pt>
                <c:pt idx="9">
                  <c:v>0.48611111111111105</c:v>
                </c:pt>
                <c:pt idx="10">
                  <c:v>0.48611111111111105</c:v>
                </c:pt>
                <c:pt idx="11">
                  <c:v>0.48611111111111105</c:v>
                </c:pt>
                <c:pt idx="12">
                  <c:v>0.48611111111111105</c:v>
                </c:pt>
                <c:pt idx="13">
                  <c:v>0.48611111111111105</c:v>
                </c:pt>
                <c:pt idx="14">
                  <c:v>0.45833333333333331</c:v>
                </c:pt>
                <c:pt idx="15">
                  <c:v>0.48611111111111105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B-4BFC-B3F1-B6E886CEA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5809</c:v>
                </c:pt>
                <c:pt idx="4">
                  <c:v>12022</c:v>
                </c:pt>
                <c:pt idx="5">
                  <c:v>4703</c:v>
                </c:pt>
                <c:pt idx="6">
                  <c:v>2578</c:v>
                </c:pt>
                <c:pt idx="7">
                  <c:v>813</c:v>
                </c:pt>
                <c:pt idx="8">
                  <c:v>2012</c:v>
                </c:pt>
                <c:pt idx="11">
                  <c:v>5524</c:v>
                </c:pt>
                <c:pt idx="13">
                  <c:v>3339</c:v>
                </c:pt>
                <c:pt idx="14">
                  <c:v>3908</c:v>
                </c:pt>
                <c:pt idx="15">
                  <c:v>37344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B-4D01-883B-D7E0F92D2971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5809</c:v>
                </c:pt>
                <c:pt idx="3">
                  <c:v>2448</c:v>
                </c:pt>
                <c:pt idx="4">
                  <c:v>12022</c:v>
                </c:pt>
                <c:pt idx="5">
                  <c:v>4703</c:v>
                </c:pt>
                <c:pt idx="6">
                  <c:v>2578</c:v>
                </c:pt>
                <c:pt idx="7">
                  <c:v>813</c:v>
                </c:pt>
                <c:pt idx="8">
                  <c:v>2012</c:v>
                </c:pt>
                <c:pt idx="9">
                  <c:v>131</c:v>
                </c:pt>
                <c:pt idx="10">
                  <c:v>878</c:v>
                </c:pt>
                <c:pt idx="11">
                  <c:v>5524</c:v>
                </c:pt>
                <c:pt idx="12">
                  <c:v>533</c:v>
                </c:pt>
                <c:pt idx="13">
                  <c:v>3339</c:v>
                </c:pt>
                <c:pt idx="14">
                  <c:v>3908</c:v>
                </c:pt>
                <c:pt idx="15">
                  <c:v>37344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B-4D01-883B-D7E0F92D2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79%</c:v>
                </c:pt>
                <c:pt idx="6">
                  <c:v>67%</c:v>
                </c:pt>
                <c:pt idx="7">
                  <c:v>21%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75%</c:v>
                </c:pt>
                <c:pt idx="14">
                  <c:v>88%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0.79166666666666663</c:v>
                </c:pt>
                <c:pt idx="6">
                  <c:v>0.66666666666666663</c:v>
                </c:pt>
                <c:pt idx="7">
                  <c:v>0.20833333333333334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0.75</c:v>
                </c:pt>
                <c:pt idx="14">
                  <c:v>0.875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2-4230-B12A-9319DDB8FD2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B2-4230-B12A-9319DDB8FD2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SEPARATOR</c:v>
                </c:pt>
                <c:pt idx="5">
                  <c:v>SP-A/B</c:v>
                </c:pt>
                <c:pt idx="6">
                  <c:v>SLIDER</c:v>
                </c:pt>
                <c:pt idx="7">
                  <c:v>ACTUATOR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0.48611111111111105</c:v>
                </c:pt>
                <c:pt idx="1">
                  <c:v>0.48611111111111105</c:v>
                </c:pt>
                <c:pt idx="2">
                  <c:v>0.48611111111111105</c:v>
                </c:pt>
                <c:pt idx="3">
                  <c:v>0.48611111111111105</c:v>
                </c:pt>
                <c:pt idx="4">
                  <c:v>0.48611111111111105</c:v>
                </c:pt>
                <c:pt idx="5">
                  <c:v>0.48611111111111105</c:v>
                </c:pt>
                <c:pt idx="6">
                  <c:v>0.48611111111111105</c:v>
                </c:pt>
                <c:pt idx="7">
                  <c:v>0.48611111111111105</c:v>
                </c:pt>
                <c:pt idx="8">
                  <c:v>0.48611111111111105</c:v>
                </c:pt>
                <c:pt idx="9">
                  <c:v>0.48611111111111105</c:v>
                </c:pt>
                <c:pt idx="10">
                  <c:v>0.48611111111111105</c:v>
                </c:pt>
                <c:pt idx="11">
                  <c:v>0.48611111111111105</c:v>
                </c:pt>
                <c:pt idx="12">
                  <c:v>0.48611111111111105</c:v>
                </c:pt>
                <c:pt idx="13">
                  <c:v>0.48611111111111105</c:v>
                </c:pt>
                <c:pt idx="14">
                  <c:v>0.45833333333333331</c:v>
                </c:pt>
                <c:pt idx="15">
                  <c:v>0.48611111111111105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2-4230-B12A-9319DDB8F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FE4-491E-8022-3B29D08D11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4-491E-8022-3B29D08D1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E4-491E-8022-3B29D08D11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E4-491E-8022-3B29D08D1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'31'!$L$6:$L$22</c:f>
              <c:numCache>
                <c:formatCode>_(* #,##0_);_(* \(#,##0\);_(* "-"_);_(@_)</c:formatCode>
                <c:ptCount val="17"/>
                <c:pt idx="2">
                  <c:v>2713</c:v>
                </c:pt>
                <c:pt idx="3">
                  <c:v>884</c:v>
                </c:pt>
                <c:pt idx="4">
                  <c:v>803</c:v>
                </c:pt>
                <c:pt idx="5">
                  <c:v>8590</c:v>
                </c:pt>
                <c:pt idx="6">
                  <c:v>3306</c:v>
                </c:pt>
                <c:pt idx="7">
                  <c:v>2463</c:v>
                </c:pt>
                <c:pt idx="8">
                  <c:v>1513</c:v>
                </c:pt>
                <c:pt idx="11">
                  <c:v>5977</c:v>
                </c:pt>
                <c:pt idx="13">
                  <c:v>2439</c:v>
                </c:pt>
                <c:pt idx="14">
                  <c:v>817</c:v>
                </c:pt>
                <c:pt idx="15">
                  <c:v>2020</c:v>
                </c:pt>
                <c:pt idx="16">
                  <c:v>43084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7-4E18-BAB6-994BD2DDF424}"/>
            </c:ext>
          </c:extLst>
        </c:ser>
        <c:ser>
          <c:idx val="1"/>
          <c:order val="1"/>
          <c:tx>
            <c:v>계획</c:v>
          </c:tx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2713</c:v>
                </c:pt>
                <c:pt idx="3">
                  <c:v>884</c:v>
                </c:pt>
                <c:pt idx="4">
                  <c:v>803</c:v>
                </c:pt>
                <c:pt idx="5">
                  <c:v>8590</c:v>
                </c:pt>
                <c:pt idx="6">
                  <c:v>3306</c:v>
                </c:pt>
                <c:pt idx="7">
                  <c:v>2463</c:v>
                </c:pt>
                <c:pt idx="8">
                  <c:v>1513</c:v>
                </c:pt>
                <c:pt idx="9">
                  <c:v>131</c:v>
                </c:pt>
                <c:pt idx="10">
                  <c:v>878</c:v>
                </c:pt>
                <c:pt idx="11">
                  <c:v>5977</c:v>
                </c:pt>
                <c:pt idx="12">
                  <c:v>533</c:v>
                </c:pt>
                <c:pt idx="13">
                  <c:v>2439</c:v>
                </c:pt>
                <c:pt idx="14">
                  <c:v>817</c:v>
                </c:pt>
                <c:pt idx="15">
                  <c:v>2020</c:v>
                </c:pt>
                <c:pt idx="16">
                  <c:v>43084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7-4E18-BAB6-994BD2DD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21%</c:v>
                </c:pt>
                <c:pt idx="4">
                  <c:v>21%</c:v>
                </c:pt>
                <c:pt idx="5">
                  <c:v>71%</c:v>
                </c:pt>
                <c:pt idx="6">
                  <c:v>58%</c:v>
                </c:pt>
                <c:pt idx="7">
                  <c:v>63%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21%</c:v>
                </c:pt>
                <c:pt idx="15">
                  <c:v>50%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0.20833333333333334</c:v>
                </c:pt>
                <c:pt idx="4">
                  <c:v>0.20833333333333334</c:v>
                </c:pt>
                <c:pt idx="5">
                  <c:v>0.70833333333333337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0.20833333333333334</c:v>
                </c:pt>
                <c:pt idx="15">
                  <c:v>0.5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D-43E1-874D-4F2109935FB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8D-43E1-874D-4F2109935F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'31'!$AE$6:$AE$22</c:f>
              <c:numCache>
                <c:formatCode>0%</c:formatCode>
                <c:ptCount val="17"/>
                <c:pt idx="0">
                  <c:v>0.41944444444444445</c:v>
                </c:pt>
                <c:pt idx="1">
                  <c:v>0.41944444444444445</c:v>
                </c:pt>
                <c:pt idx="2">
                  <c:v>0.41944444444444445</c:v>
                </c:pt>
                <c:pt idx="3">
                  <c:v>0.41944444444444445</c:v>
                </c:pt>
                <c:pt idx="4">
                  <c:v>0.41944444444444445</c:v>
                </c:pt>
                <c:pt idx="5">
                  <c:v>0.41944444444444445</c:v>
                </c:pt>
                <c:pt idx="6">
                  <c:v>0.41944444444444445</c:v>
                </c:pt>
                <c:pt idx="7">
                  <c:v>0.41944444444444445</c:v>
                </c:pt>
                <c:pt idx="8">
                  <c:v>0.41944444444444445</c:v>
                </c:pt>
                <c:pt idx="9">
                  <c:v>0.41944444444444445</c:v>
                </c:pt>
                <c:pt idx="10">
                  <c:v>0.41944444444444445</c:v>
                </c:pt>
                <c:pt idx="11">
                  <c:v>0.41944444444444445</c:v>
                </c:pt>
                <c:pt idx="12">
                  <c:v>0.41944444444444445</c:v>
                </c:pt>
                <c:pt idx="13">
                  <c:v>0.41944444444444445</c:v>
                </c:pt>
                <c:pt idx="14">
                  <c:v>0.54166666666666663</c:v>
                </c:pt>
                <c:pt idx="15">
                  <c:v>0.54166666666666663</c:v>
                </c:pt>
                <c:pt idx="16">
                  <c:v>0.41944444444444445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D-43E1-874D-4F2109935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'31'!$L$6:$L$22</c:f>
              <c:numCache>
                <c:formatCode>_(* #,##0_);_(* \(#,##0\);_(* "-"_);_(@_)</c:formatCode>
                <c:ptCount val="17"/>
                <c:pt idx="2">
                  <c:v>2713</c:v>
                </c:pt>
                <c:pt idx="3">
                  <c:v>884</c:v>
                </c:pt>
                <c:pt idx="4">
                  <c:v>803</c:v>
                </c:pt>
                <c:pt idx="5">
                  <c:v>8590</c:v>
                </c:pt>
                <c:pt idx="6">
                  <c:v>3306</c:v>
                </c:pt>
                <c:pt idx="7">
                  <c:v>2463</c:v>
                </c:pt>
                <c:pt idx="8">
                  <c:v>1513</c:v>
                </c:pt>
                <c:pt idx="11">
                  <c:v>5977</c:v>
                </c:pt>
                <c:pt idx="13">
                  <c:v>2439</c:v>
                </c:pt>
                <c:pt idx="14">
                  <c:v>817</c:v>
                </c:pt>
                <c:pt idx="15">
                  <c:v>2020</c:v>
                </c:pt>
                <c:pt idx="16">
                  <c:v>43084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5-4D86-B223-394596CD7FFE}"/>
            </c:ext>
          </c:extLst>
        </c:ser>
        <c:ser>
          <c:idx val="1"/>
          <c:order val="1"/>
          <c:tx>
            <c:v>계획</c:v>
          </c:tx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2713</c:v>
                </c:pt>
                <c:pt idx="3">
                  <c:v>884</c:v>
                </c:pt>
                <c:pt idx="4">
                  <c:v>803</c:v>
                </c:pt>
                <c:pt idx="5">
                  <c:v>8590</c:v>
                </c:pt>
                <c:pt idx="6">
                  <c:v>3306</c:v>
                </c:pt>
                <c:pt idx="7">
                  <c:v>2463</c:v>
                </c:pt>
                <c:pt idx="8">
                  <c:v>1513</c:v>
                </c:pt>
                <c:pt idx="9">
                  <c:v>131</c:v>
                </c:pt>
                <c:pt idx="10">
                  <c:v>878</c:v>
                </c:pt>
                <c:pt idx="11">
                  <c:v>5977</c:v>
                </c:pt>
                <c:pt idx="12">
                  <c:v>533</c:v>
                </c:pt>
                <c:pt idx="13">
                  <c:v>2439</c:v>
                </c:pt>
                <c:pt idx="14">
                  <c:v>817</c:v>
                </c:pt>
                <c:pt idx="15">
                  <c:v>2020</c:v>
                </c:pt>
                <c:pt idx="16">
                  <c:v>43084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D5-4D86-B223-394596CD7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21%</c:v>
                </c:pt>
                <c:pt idx="4">
                  <c:v>21%</c:v>
                </c:pt>
                <c:pt idx="5">
                  <c:v>71%</c:v>
                </c:pt>
                <c:pt idx="6">
                  <c:v>58%</c:v>
                </c:pt>
                <c:pt idx="7">
                  <c:v>63%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21%</c:v>
                </c:pt>
                <c:pt idx="15">
                  <c:v>50%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0.20833333333333334</c:v>
                </c:pt>
                <c:pt idx="4">
                  <c:v>0.20833333333333334</c:v>
                </c:pt>
                <c:pt idx="5">
                  <c:v>0.70833333333333337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0.20833333333333334</c:v>
                </c:pt>
                <c:pt idx="15">
                  <c:v>0.5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25-4D59-B277-0C5DF867ED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25-4D59-B277-0C5DF867ED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COVER</c:v>
                </c:pt>
                <c:pt idx="4">
                  <c:v>BASE</c:v>
                </c:pt>
                <c:pt idx="5">
                  <c:v>SEPARATOR</c:v>
                </c:pt>
                <c:pt idx="6">
                  <c:v>SP-A/B</c:v>
                </c:pt>
                <c:pt idx="7">
                  <c:v>SLIDER</c:v>
                </c:pt>
                <c:pt idx="8">
                  <c:v>BASE</c:v>
                </c:pt>
                <c:pt idx="9">
                  <c:v>88P</c:v>
                </c:pt>
                <c:pt idx="10">
                  <c:v>ADAPTER</c:v>
                </c:pt>
                <c:pt idx="11">
                  <c:v>STOPPER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'31'!$AE$6:$AE$22</c:f>
              <c:numCache>
                <c:formatCode>0%</c:formatCode>
                <c:ptCount val="17"/>
                <c:pt idx="0">
                  <c:v>0.41944444444444445</c:v>
                </c:pt>
                <c:pt idx="1">
                  <c:v>0.41944444444444445</c:v>
                </c:pt>
                <c:pt idx="2">
                  <c:v>0.41944444444444445</c:v>
                </c:pt>
                <c:pt idx="3">
                  <c:v>0.41944444444444445</c:v>
                </c:pt>
                <c:pt idx="4">
                  <c:v>0.41944444444444445</c:v>
                </c:pt>
                <c:pt idx="5">
                  <c:v>0.41944444444444445</c:v>
                </c:pt>
                <c:pt idx="6">
                  <c:v>0.41944444444444445</c:v>
                </c:pt>
                <c:pt idx="7">
                  <c:v>0.41944444444444445</c:v>
                </c:pt>
                <c:pt idx="8">
                  <c:v>0.41944444444444445</c:v>
                </c:pt>
                <c:pt idx="9">
                  <c:v>0.41944444444444445</c:v>
                </c:pt>
                <c:pt idx="10">
                  <c:v>0.41944444444444445</c:v>
                </c:pt>
                <c:pt idx="11">
                  <c:v>0.41944444444444445</c:v>
                </c:pt>
                <c:pt idx="12">
                  <c:v>0.41944444444444445</c:v>
                </c:pt>
                <c:pt idx="13">
                  <c:v>0.41944444444444445</c:v>
                </c:pt>
                <c:pt idx="14">
                  <c:v>0.54166666666666663</c:v>
                </c:pt>
                <c:pt idx="15">
                  <c:v>0.54166666666666663</c:v>
                </c:pt>
                <c:pt idx="16">
                  <c:v>0.41944444444444445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5-4D59-B277-0C5DF867E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C98-4185-B502-0174D11F42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0.59722222222222221</c:v>
                </c:pt>
                <c:pt idx="1">
                  <c:v>0.51388888888888895</c:v>
                </c:pt>
                <c:pt idx="2">
                  <c:v>0.60833333333333328</c:v>
                </c:pt>
                <c:pt idx="3">
                  <c:v>0.56944444444444442</c:v>
                </c:pt>
                <c:pt idx="4">
                  <c:v>0.64444444444444438</c:v>
                </c:pt>
                <c:pt idx="5">
                  <c:v>0.58611111111111114</c:v>
                </c:pt>
                <c:pt idx="7">
                  <c:v>0.45833333333333326</c:v>
                </c:pt>
                <c:pt idx="8">
                  <c:v>0.45688394722094861</c:v>
                </c:pt>
                <c:pt idx="9">
                  <c:v>0.42777777777777787</c:v>
                </c:pt>
                <c:pt idx="10">
                  <c:v>0.51388888888888884</c:v>
                </c:pt>
                <c:pt idx="11">
                  <c:v>0.17568027210884357</c:v>
                </c:pt>
                <c:pt idx="14">
                  <c:v>0.62500000000000011</c:v>
                </c:pt>
                <c:pt idx="15">
                  <c:v>0.58055555555555549</c:v>
                </c:pt>
                <c:pt idx="16">
                  <c:v>0.53611111111111109</c:v>
                </c:pt>
                <c:pt idx="17">
                  <c:v>0.59166666666666667</c:v>
                </c:pt>
                <c:pt idx="18">
                  <c:v>0.56944444444444442</c:v>
                </c:pt>
                <c:pt idx="21">
                  <c:v>0.43411895382395382</c:v>
                </c:pt>
                <c:pt idx="22">
                  <c:v>0.375</c:v>
                </c:pt>
                <c:pt idx="23">
                  <c:v>0.40833333333333333</c:v>
                </c:pt>
                <c:pt idx="24">
                  <c:v>0.46944444444444439</c:v>
                </c:pt>
                <c:pt idx="25">
                  <c:v>0.50000000000000011</c:v>
                </c:pt>
                <c:pt idx="28">
                  <c:v>0.37777777777777782</c:v>
                </c:pt>
                <c:pt idx="29">
                  <c:v>0.48611111111111105</c:v>
                </c:pt>
                <c:pt idx="30">
                  <c:v>0.41944444444444445</c:v>
                </c:pt>
                <c:pt idx="31">
                  <c:v>0.38467795182216385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8-4185-B502-0174D11F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98-4185-B502-0174D11F42F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98-4185-B502-0174D11F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20928E-0629-42E3-A778-93F12B88A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0D23C6-5490-4D5A-9ABE-550D1493A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0FFBAAD-E74F-4EEB-B0DE-8D52143E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9C76EB-6230-4DB0-86C9-00E3F3499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B9841AB-A670-43CD-B62B-EEE86AAAE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02AD56C-0CCA-497C-8819-54DB6D95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AF7EE91-B3E2-4CFA-BB43-FF7EB51BB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8963DDC-A8AD-4E47-BB18-0CC9FDE59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382C451-50F3-4D63-B11F-7E7202471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DB89B47-DBC6-4FDF-8437-D84FF7F2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93EC6EF-5C7D-49EC-B732-D4B5F2C4D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E4FA9B6-04D4-47F1-AC21-4239E95D4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0A0566F-DF5F-4EF6-854A-C1A1A1AF4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602AF86-2F68-4BAD-AAD5-AD4038C0C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21D66E-5FD1-4503-865B-114C1E82E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C58EC8A-A331-49BD-9C46-B38633B61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01F44F1-CB15-4286-913A-7A4A592A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2643EF-AD71-4FC8-8184-6D98FFE32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48ECDE9-7931-40E3-9AA8-EE2225466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61E309B-ADA0-442A-99CF-9B389A625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ED80DAE-9D69-4AF5-B6DF-2D4E4BE62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73688F8-095E-4ED5-BD8A-69E62D213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9CAB8F3-2E7E-441B-B610-5E9FE5D70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F4119A3-1372-486D-983E-DB51FCAD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CE4F042-B580-4E3D-B473-530CD840C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1BB2525-F264-4E26-B138-8D90DC6CD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4CDB51E-CC01-4D1A-A4D4-2E6A8976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7A3B01E-9A87-45DC-B374-D41C53259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21AE71-9F10-4B75-B47A-6732D78BB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D60866-EF10-4D97-9F33-07DB717DE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4C638DB-0560-424A-ABDE-04230E99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76B4F9C-0779-48EF-9E1F-37A527FC3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3E21007-7A81-4439-88F2-67511C53D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BD19B62-AC67-4A23-BF66-57339600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383525D-A78A-49DD-8F50-AC919DD68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0456C24-3C51-4E10-B356-69C7CDD38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E7F50C6-D6E9-4BE2-A059-7174CDB56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59E56FE-92B6-46D9-B0D9-BBBBA5D8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A261E66-D16E-400E-BBC7-000C69B4B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F40CAFC-7EB0-4B59-A213-AB3987DB0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8B5863B-2A35-4F9D-B076-9E0B10CA8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8A9153D-8E15-4E4A-9A9B-748E906362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0361C98-8CC7-48F2-905B-8644E05AE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8AA1463-1FF8-443F-B597-14E317ABF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1E1233A-4DA7-40EE-89CF-58976E73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DB0E525-2716-40C8-9108-CB3C87254F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89CD6B5-074E-4378-839C-7253095D5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EE34AF-7FC8-41DD-8EDC-4E089083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20494BD-0702-4C8F-AAE7-4771D6137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C9E38C6-8CC7-4A29-A08E-4082ED21C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774241E-D856-4AE1-8CD5-735D5641D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E858617-30B5-461F-ACCC-C18174C6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0B8C5A-834D-4E07-9209-B7F27D9DB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AD5F51D-1F75-4F58-B94B-2A78BFB9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C1A39DB-4309-4927-AEED-7850509E1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1B747D2-70BA-4AA7-8762-3AE351470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F5D420D-B019-4287-AF64-3156103CA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09F0D36-D0B4-40BA-8E05-2FCD4C9EE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C068A2F-66D6-4B84-88BE-0E2C3B558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6E4A090-10AD-427C-AC1D-A00A5188F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402E32C-22C3-46DE-B16B-14E74813F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862040E-875B-4090-B048-77C3D759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11FCBE0-80F8-4E4E-B634-721DE5F0C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6797F1-03C1-4A77-8F48-0131D8617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62BF25A-A746-4C35-A853-DE55CC2D7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A0F2E4F-6EB8-406F-9BC7-0C32FD3E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1723379-5234-453F-AAEE-E6288104E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162B445-56F6-4D08-B5AF-23B2B52DA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3667A4A-D78F-4DE5-9794-E02688A0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0B66BFB-3B25-42AB-83F5-FD07B4D9F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896730C-53A6-41E4-97A1-A348C14ED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732F9D-381F-4B61-B50D-4E49754CA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5F5E8A-2E1F-40B8-94CF-1FA9DF8A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C46F110-BED7-4306-99C0-5C7513249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A2AE988-FDB1-404C-AD40-61912D966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1A1621E-61DC-4E06-9204-2C08B1D5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F81B738-9FA3-47AD-A3CF-186433EC4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AC8679-079D-42B8-B8FD-327984B7D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687CF2-D4AE-4049-8D3B-E2EA1369A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A15B0C9-F467-4CE9-9988-0305B601A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B894BB4-4A08-4D90-A483-B8E34DE58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6B63DD9-7688-44CE-AFD3-9170165D1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B424165-C181-45A7-B613-90AE6867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14AE8B7-33A4-479A-B583-8C51E1E27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B44C28-D5C9-403F-9F61-8246E978C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B8F4E74-87CE-49FB-8CC2-CF4A9AD01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1030D9F-3C46-4943-8C66-343BDD6C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2A43739-88A4-4869-87CD-AD3417D42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67A8D81-1EAA-441D-84C3-310D03FB4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8F2873D-1736-45A7-BB09-91413690D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29ABB14-0A8B-45D5-8BF3-8F10D29E93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DF131C0-BDFD-4F34-B3E9-C9D8975B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226C9C-C8CC-4709-B3DF-CB8273EAE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A183994-56C0-472B-AEDD-4DA74003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FCE40C5-82A4-4C7D-9B84-A09CDD8E9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AF01E7-1B62-4F40-9CF8-099E0B4D5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ABC50A9-BE5F-4030-BF71-FE310695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A61AACB-A11C-4DE6-9BAE-DF1FB8BC9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66D6B96-E35A-4E25-9515-7B521333D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5789C1A-4CE5-43C2-9D9D-038AE0DC4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543177C-9904-43CF-8AC0-25D003E4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5CAF68A-FB34-46CC-8F74-5613F5852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C9C1902-D97B-4E68-B4EF-4FCB6AF27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336F9C4-8C0B-4DCF-93DB-F3425F32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C23C4A5-4263-49F0-989D-06087EB0F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DFAEB75-77F9-4BC5-B6BF-AE9A90129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26127B-7795-45A5-AAF3-5D8CE7F88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C861555-E8EE-4002-85C1-B56ABEE81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98C856E-03DE-462A-8862-E8D919B21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50C072B-8373-4ECF-84AB-5F798DDC7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5CC0DB9-2878-4806-BD8A-EBD6EF7F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3D508F6-AD0A-4D8F-8A10-2414ADBD3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68191E7-D249-462B-9C24-471A2E081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3FA5B9A-A20F-404E-9F40-F4C6648CE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27D4F7F-61F4-45A3-8EF2-EBA9D057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764A74A-C33E-4344-AC13-AF6F46CFC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CC2FC79-34AE-401C-B90B-A3796A1CF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ABC1775-5AE7-42BB-BA16-63F40EDD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10DE77F-1B0A-40CA-976F-5467E2D29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F8FB48-BF70-4855-AC2E-BAE7EB8C8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B5B5E5-4773-49DF-8379-215FD448A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251B482-C250-41B4-B478-F13114B3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99C243D-1DD8-4697-8F1E-372775226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6D4A8AB-B564-40E5-8C72-C3746148C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7322F58-3841-40FF-B70C-D799DA5E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C70E999-AECC-45CE-BCC9-214777D02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F76A0E-CBE0-410E-96DD-5AEADE889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32A213-327F-4D63-9C2C-036D44F4E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AF413E-D3C1-4A24-95DF-25CC4618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8F8300D-E676-4020-9D82-FFD7EDA66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6C30C43-2651-4C22-BB1C-08E05A355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9F157E7-DEB3-436D-A630-E197A62F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63BF909-762D-4AB9-9DFC-3036BEFC7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404C13E-2C9C-4A98-BE82-68C1A2BFA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764474-EF0E-4453-9CFA-417E628E4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F4CBAF5-FA4A-4732-A47D-35D33C5B3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38F8A3-5F70-49D3-950C-A42A21027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EFC1E2C-B01C-4427-9D92-7857B8002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1011FB0-51F4-4175-96DA-E1D6E7C1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E1B17EB-2FBB-4A77-BBD5-5DD48C4AE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48B7978-F728-44BD-BB83-C10946B9E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3547DDA-15BF-49BC-8AE1-A31558E2B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279F5E0-A4F2-45A1-9597-A7BD82665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AEA8D2E-6438-49D1-AF71-70C5A9E91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C8962B6-F0E1-4810-AC0C-4134AC124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77939D4-7F5C-430C-9E56-BE07D34F6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8957D21-712F-41F9-BF55-756C49A73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D51CA1-D814-4E24-B771-C07EF8603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5DF6C2D-CA3E-4CD6-AF2C-03B387016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BA60A23-25F8-431F-B773-3C443ED91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1DA6FE2-4592-488F-9836-A784341DF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ADAC331-6FEB-43BF-913F-92E5957AC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8D8CCDB-7B78-4A85-B451-365BA1E3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D99228D-A96D-4176-A4D6-6432A6155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7CC6174-F3BF-4AEA-A383-B545AB207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D5ECBEC-9051-44F5-ABD9-4A7B4D637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A3C0A86-DF94-41D7-A2A0-51D003B5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3A50721-B64C-4B10-8837-BCAF392E5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0393CBC-9A6A-4216-A94D-6B6F8B20E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B5FE1E1-89A6-450F-8C23-FBABC661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0072551-993A-45BD-B221-D66DAB51A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6346776-026C-416D-9967-51B2BB766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C7C6CB-B0EC-4FC7-B4F6-B79ECE43D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CFD00CF-6258-402F-B6C3-07796E0D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C131978-BA7B-45CE-8F1A-4A5947E68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47B7E25-457F-4279-B3A8-D35B60A76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F6A076F-C729-40EF-A69C-628A8210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11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E243133-FF2B-48D2-95D1-EE30491F8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I11" sqref="AI11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359" t="s">
        <v>166</v>
      </c>
      <c r="B1" s="359"/>
      <c r="C1" s="359"/>
      <c r="D1" s="359"/>
      <c r="E1" s="359"/>
      <c r="F1" s="359"/>
      <c r="G1" s="359"/>
      <c r="H1" s="359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>
        <f>'01'!AD6</f>
        <v>0</v>
      </c>
      <c r="C3" s="104">
        <f>'02'!AD6</f>
        <v>0</v>
      </c>
      <c r="D3" s="97">
        <f>'03'!AD6</f>
        <v>0</v>
      </c>
      <c r="E3" s="97">
        <f>'04'!AD6</f>
        <v>0</v>
      </c>
      <c r="F3" s="97">
        <f>'05'!AD6</f>
        <v>0</v>
      </c>
      <c r="G3" s="97">
        <f>'06'!AD6</f>
        <v>0</v>
      </c>
      <c r="H3" s="97"/>
      <c r="I3" s="97">
        <f>'08'!AD6</f>
        <v>0</v>
      </c>
      <c r="J3" s="97">
        <f>'09'!AD6</f>
        <v>0</v>
      </c>
      <c r="K3" s="97">
        <f>'10'!AD6</f>
        <v>0</v>
      </c>
      <c r="L3" s="97">
        <f>'11'!AD6</f>
        <v>0</v>
      </c>
      <c r="M3" s="97">
        <f>'12'!AD6</f>
        <v>0</v>
      </c>
      <c r="N3" s="115"/>
      <c r="O3" s="97"/>
      <c r="P3" s="97">
        <f>'15'!AD6</f>
        <v>0</v>
      </c>
      <c r="Q3" s="97">
        <f>'16'!AD6</f>
        <v>0</v>
      </c>
      <c r="R3" s="97">
        <f>'17'!AD6</f>
        <v>0</v>
      </c>
      <c r="S3" s="97">
        <f>'18'!AD6</f>
        <v>0</v>
      </c>
      <c r="T3" s="97">
        <f>'19'!AD6</f>
        <v>0</v>
      </c>
      <c r="U3" s="97"/>
      <c r="V3" s="97"/>
      <c r="W3" s="115">
        <f>'22'!AD6</f>
        <v>0</v>
      </c>
      <c r="X3" s="97">
        <f>'23'!AD6</f>
        <v>0</v>
      </c>
      <c r="Y3" s="97">
        <f>'24'!AD6</f>
        <v>0</v>
      </c>
      <c r="Z3" s="97">
        <f>'25'!AD6</f>
        <v>0</v>
      </c>
      <c r="AA3" s="97">
        <f>'26'!AD6</f>
        <v>0</v>
      </c>
      <c r="AB3" s="97"/>
      <c r="AC3" s="97"/>
      <c r="AD3" s="97">
        <f>'29'!AD6</f>
        <v>0</v>
      </c>
      <c r="AE3" s="97">
        <f>'30'!AD6</f>
        <v>0</v>
      </c>
      <c r="AF3" s="98">
        <f>'31'!AD6</f>
        <v>0</v>
      </c>
      <c r="AG3" s="100">
        <f>SUM(B3:AF3)/31</f>
        <v>0</v>
      </c>
    </row>
    <row r="4" spans="1:33" ht="21.75" customHeight="1">
      <c r="A4" s="110" t="s">
        <v>61</v>
      </c>
      <c r="B4" s="105">
        <f>'01'!AD7</f>
        <v>0</v>
      </c>
      <c r="C4" s="105">
        <f>'02'!AD7</f>
        <v>0</v>
      </c>
      <c r="D4" s="74">
        <f>'03'!AD7</f>
        <v>0.83333333333333337</v>
      </c>
      <c r="E4" s="74">
        <f>'04'!AD7</f>
        <v>1</v>
      </c>
      <c r="F4" s="74">
        <f>'05'!AD7</f>
        <v>0.33333333333333331</v>
      </c>
      <c r="G4" s="74">
        <f>'06'!AD7</f>
        <v>0</v>
      </c>
      <c r="H4" s="74"/>
      <c r="I4" s="74">
        <f>'08'!AD7</f>
        <v>0</v>
      </c>
      <c r="J4" s="74">
        <f>'09'!AD7</f>
        <v>0</v>
      </c>
      <c r="K4" s="74">
        <f>'10'!AD7</f>
        <v>0</v>
      </c>
      <c r="L4" s="74">
        <f>'11'!AD7</f>
        <v>0</v>
      </c>
      <c r="M4" s="74">
        <f>'12'!AD7</f>
        <v>0</v>
      </c>
      <c r="N4" s="74"/>
      <c r="O4" s="74"/>
      <c r="P4" s="74">
        <f>'15'!AD7</f>
        <v>0</v>
      </c>
      <c r="Q4" s="74">
        <f>'16'!AD7</f>
        <v>0</v>
      </c>
      <c r="R4" s="74">
        <f>'17'!AD7</f>
        <v>0</v>
      </c>
      <c r="S4" s="74">
        <f>'18'!AD7</f>
        <v>0</v>
      </c>
      <c r="T4" s="74">
        <f>'19'!AD7</f>
        <v>0</v>
      </c>
      <c r="U4" s="74"/>
      <c r="V4" s="74"/>
      <c r="W4" s="74">
        <f>'22'!AD7</f>
        <v>0</v>
      </c>
      <c r="X4" s="74">
        <f>'23'!AD7</f>
        <v>0</v>
      </c>
      <c r="Y4" s="74">
        <f>'24'!AD7</f>
        <v>0</v>
      </c>
      <c r="Z4" s="74">
        <f>'25'!AD7</f>
        <v>0</v>
      </c>
      <c r="AA4" s="74">
        <f>'26'!AD7</f>
        <v>0</v>
      </c>
      <c r="AB4" s="74"/>
      <c r="AC4" s="74"/>
      <c r="AD4" s="74">
        <f>'29'!AD7</f>
        <v>0</v>
      </c>
      <c r="AE4" s="74">
        <f>'30'!AD7</f>
        <v>0</v>
      </c>
      <c r="AF4" s="75">
        <f>'31'!AD7</f>
        <v>0</v>
      </c>
      <c r="AG4" s="76">
        <f t="shared" ref="AG4:AG18" si="0">SUM(B4:AF4)/31</f>
        <v>6.9892473118279577E-2</v>
      </c>
    </row>
    <row r="5" spans="1:33" ht="21.75" customHeight="1">
      <c r="A5" s="111" t="s">
        <v>62</v>
      </c>
      <c r="B5" s="106">
        <f>'01'!AD8</f>
        <v>1</v>
      </c>
      <c r="C5" s="106">
        <f>'02'!AD8</f>
        <v>1</v>
      </c>
      <c r="D5" s="77">
        <f>'03'!AD8</f>
        <v>1</v>
      </c>
      <c r="E5" s="77">
        <f>'04'!AD8</f>
        <v>1</v>
      </c>
      <c r="F5" s="77">
        <f>'05'!AD8</f>
        <v>1</v>
      </c>
      <c r="G5" s="77">
        <f>'06'!AD8</f>
        <v>1</v>
      </c>
      <c r="H5" s="77"/>
      <c r="I5" s="77">
        <f>'08'!AD8</f>
        <v>0.79166666666666663</v>
      </c>
      <c r="J5" s="77">
        <f>'09'!AD8</f>
        <v>0.91666666666666663</v>
      </c>
      <c r="K5" s="77">
        <f>'10'!AD8</f>
        <v>0.91666666666666663</v>
      </c>
      <c r="L5" s="77">
        <f>'11'!AD8</f>
        <v>1</v>
      </c>
      <c r="M5" s="77">
        <f>'12'!AD8</f>
        <v>0.33333333333333331</v>
      </c>
      <c r="N5" s="77"/>
      <c r="O5" s="77"/>
      <c r="P5" s="77">
        <f>'15'!AD8</f>
        <v>1</v>
      </c>
      <c r="Q5" s="77">
        <f>'16'!AD8</f>
        <v>0.875</v>
      </c>
      <c r="R5" s="77">
        <f>'17'!AD8</f>
        <v>0.95833333333333337</v>
      </c>
      <c r="S5" s="77">
        <f>'18'!AD8</f>
        <v>1</v>
      </c>
      <c r="T5" s="77">
        <f>'19'!AD8</f>
        <v>1</v>
      </c>
      <c r="U5" s="77"/>
      <c r="V5" s="77"/>
      <c r="W5" s="116">
        <f>'22'!AD8</f>
        <v>0.85402597402597402</v>
      </c>
      <c r="X5" s="77">
        <f>'23'!AD8</f>
        <v>0.70833333333333337</v>
      </c>
      <c r="Y5" s="77">
        <f>'24'!AD8</f>
        <v>1</v>
      </c>
      <c r="Z5" s="77">
        <f>'25'!AD8</f>
        <v>1</v>
      </c>
      <c r="AA5" s="77">
        <f>'26'!AD8</f>
        <v>1</v>
      </c>
      <c r="AB5" s="77"/>
      <c r="AC5" s="77"/>
      <c r="AD5" s="77">
        <f>'29'!AD8</f>
        <v>1</v>
      </c>
      <c r="AE5" s="77">
        <f>'30'!AD8</f>
        <v>1</v>
      </c>
      <c r="AF5" s="78">
        <f>'31'!AD8</f>
        <v>0.58333333333333337</v>
      </c>
      <c r="AG5" s="79">
        <f t="shared" si="0"/>
        <v>0.7076567518503003</v>
      </c>
    </row>
    <row r="6" spans="1:33" ht="21.75" customHeight="1">
      <c r="A6" s="112" t="s">
        <v>63</v>
      </c>
      <c r="B6" s="107">
        <f>'01'!AD9+'01'!AD10</f>
        <v>0.95833333333333337</v>
      </c>
      <c r="C6" s="107">
        <f>'02'!AD9</f>
        <v>1</v>
      </c>
      <c r="D6" s="80">
        <f>'03'!AD9</f>
        <v>1</v>
      </c>
      <c r="E6" s="80">
        <f>'04'!AD9</f>
        <v>0.79166666666666663</v>
      </c>
      <c r="F6" s="80">
        <f>'05'!AD9</f>
        <v>0.75</v>
      </c>
      <c r="G6" s="80">
        <f>'06'!AD9</f>
        <v>1</v>
      </c>
      <c r="H6" s="80"/>
      <c r="I6" s="80">
        <f>'08'!AD9</f>
        <v>1</v>
      </c>
      <c r="J6" s="80">
        <f>'09'!AD9</f>
        <v>0.41666666666666669</v>
      </c>
      <c r="K6" s="80">
        <f>'10'!AD9</f>
        <v>1</v>
      </c>
      <c r="L6" s="80">
        <f>'11'!AD9</f>
        <v>1</v>
      </c>
      <c r="M6" s="80">
        <f>'12'!AD9</f>
        <v>0.33333333333333331</v>
      </c>
      <c r="N6" s="80"/>
      <c r="O6" s="80"/>
      <c r="P6" s="80">
        <f>'15'!AD9</f>
        <v>1</v>
      </c>
      <c r="Q6" s="80">
        <f>'16'!AD9</f>
        <v>0.79166666666666663</v>
      </c>
      <c r="R6" s="80">
        <f>'17'!AD9</f>
        <v>1</v>
      </c>
      <c r="S6" s="80">
        <f>'18'!AD9</f>
        <v>0.625</v>
      </c>
      <c r="T6" s="80">
        <f>'19'!AD9</f>
        <v>0.95833333333333337</v>
      </c>
      <c r="U6" s="80"/>
      <c r="V6" s="80"/>
      <c r="W6" s="80">
        <f>'22'!AD9</f>
        <v>0.16666666666666666</v>
      </c>
      <c r="X6" s="80">
        <f>'23'!AD9</f>
        <v>0.16666666666666666</v>
      </c>
      <c r="Y6" s="80">
        <f>'24'!AD9</f>
        <v>0</v>
      </c>
      <c r="Z6" s="80">
        <f>'25'!AD9+'25'!AD10</f>
        <v>0.91666666666666663</v>
      </c>
      <c r="AA6" s="80">
        <f>'26'!AD9+'26'!AD10</f>
        <v>0.625</v>
      </c>
      <c r="AB6" s="80"/>
      <c r="AC6" s="80"/>
      <c r="AD6" s="80">
        <f>'29'!AD9</f>
        <v>0.58333333333333337</v>
      </c>
      <c r="AE6" s="80">
        <f>'30'!AD9</f>
        <v>0</v>
      </c>
      <c r="AF6" s="81">
        <f>'31'!AD9</f>
        <v>0.20833333333333334</v>
      </c>
      <c r="AG6" s="82">
        <f t="shared" si="0"/>
        <v>0.52553763440860213</v>
      </c>
    </row>
    <row r="7" spans="1:33" ht="21.75" customHeight="1">
      <c r="A7" s="112" t="s">
        <v>64</v>
      </c>
      <c r="B7" s="107">
        <f>'01'!AD11+'01'!AD12</f>
        <v>0.91666666666666663</v>
      </c>
      <c r="C7" s="107">
        <f>'02'!AD10</f>
        <v>0.45833333333333331</v>
      </c>
      <c r="D7" s="80">
        <f>'03'!AD10</f>
        <v>0</v>
      </c>
      <c r="E7" s="80">
        <f>'04'!AD10</f>
        <v>0</v>
      </c>
      <c r="F7" s="80">
        <f>'05'!AD10</f>
        <v>0.58333333333333337</v>
      </c>
      <c r="G7" s="80">
        <f>'06'!AD10</f>
        <v>1</v>
      </c>
      <c r="H7" s="80"/>
      <c r="I7" s="80">
        <f>'08'!AD10</f>
        <v>1</v>
      </c>
      <c r="J7" s="80">
        <f>'09'!AD10</f>
        <v>1</v>
      </c>
      <c r="K7" s="80">
        <f>'10'!AD10</f>
        <v>0.20833333333333334</v>
      </c>
      <c r="L7" s="80">
        <f>'11'!AD10</f>
        <v>0.91666666666666663</v>
      </c>
      <c r="M7" s="80">
        <f>'12'!AD10</f>
        <v>0.33333333333333331</v>
      </c>
      <c r="N7" s="80"/>
      <c r="O7" s="80"/>
      <c r="P7" s="80">
        <f>'15'!AD10</f>
        <v>1</v>
      </c>
      <c r="Q7" s="80">
        <f>'16'!AD10</f>
        <v>1</v>
      </c>
      <c r="R7" s="80">
        <f>'17'!AD10</f>
        <v>1</v>
      </c>
      <c r="S7" s="80">
        <f>'18'!AD10</f>
        <v>1</v>
      </c>
      <c r="T7" s="80">
        <f>'19'!AD10+'19'!AD11</f>
        <v>0.83333333333333337</v>
      </c>
      <c r="U7" s="80"/>
      <c r="V7" s="80"/>
      <c r="W7" s="80">
        <f>'22'!AD10</f>
        <v>0</v>
      </c>
      <c r="X7" s="80">
        <f>'23'!AD10</f>
        <v>0.16666666666666666</v>
      </c>
      <c r="Y7" s="80">
        <f>'24'!AD10</f>
        <v>0.875</v>
      </c>
      <c r="Z7" s="80">
        <f>'25'!AD11</f>
        <v>1</v>
      </c>
      <c r="AA7" s="80">
        <f>'26'!AD11</f>
        <v>1</v>
      </c>
      <c r="AB7" s="80"/>
      <c r="AC7" s="80"/>
      <c r="AD7" s="80">
        <f>'29'!AD10</f>
        <v>0.375</v>
      </c>
      <c r="AE7" s="80">
        <f>'30'!AD10</f>
        <v>0.875</v>
      </c>
      <c r="AF7" s="81">
        <f>'31'!AD10</f>
        <v>0.20833333333333334</v>
      </c>
      <c r="AG7" s="82">
        <f t="shared" si="0"/>
        <v>0.50806451612903236</v>
      </c>
    </row>
    <row r="8" spans="1:33" ht="21.75" customHeight="1">
      <c r="A8" s="112" t="s">
        <v>65</v>
      </c>
      <c r="B8" s="107">
        <f>'01'!AD13</f>
        <v>0.45833333333333331</v>
      </c>
      <c r="C8" s="107">
        <f>'02'!AD11</f>
        <v>0.45833333333333331</v>
      </c>
      <c r="D8" s="80">
        <f>'03'!AD11+'03'!AD12</f>
        <v>0.83333333333333337</v>
      </c>
      <c r="E8" s="80">
        <f>'04'!AD11</f>
        <v>0.75</v>
      </c>
      <c r="F8" s="80">
        <f>'05'!AD11</f>
        <v>0.83333333333333337</v>
      </c>
      <c r="G8" s="80">
        <f>'06'!AD11</f>
        <v>0.45833333333333331</v>
      </c>
      <c r="H8" s="80"/>
      <c r="I8" s="80">
        <f>'08'!AD11</f>
        <v>0.41666666666666669</v>
      </c>
      <c r="J8" s="80">
        <f>'09'!AD11</f>
        <v>0.58333333333333337</v>
      </c>
      <c r="K8" s="80">
        <f>'10'!AD11</f>
        <v>0.83333333333333337</v>
      </c>
      <c r="L8" s="80">
        <f>'11'!AD11</f>
        <v>0.91666666666666663</v>
      </c>
      <c r="M8" s="80">
        <f>'12'!AD11</f>
        <v>0</v>
      </c>
      <c r="N8" s="80"/>
      <c r="O8" s="80"/>
      <c r="P8" s="80">
        <f>'15'!AD11</f>
        <v>1</v>
      </c>
      <c r="Q8" s="80">
        <f>'16'!AD11</f>
        <v>0.875</v>
      </c>
      <c r="R8" s="80">
        <f>'17'!AD11</f>
        <v>0.54166666666666663</v>
      </c>
      <c r="S8" s="80">
        <f>'18'!AD11</f>
        <v>0.83333333333333337</v>
      </c>
      <c r="T8" s="80">
        <f>'19'!AD12</f>
        <v>1</v>
      </c>
      <c r="U8" s="80"/>
      <c r="V8" s="80"/>
      <c r="W8" s="80">
        <f>'22'!AD11+'22'!AD12</f>
        <v>0.79166666666666674</v>
      </c>
      <c r="X8" s="80">
        <f>'23'!AD11</f>
        <v>0.75</v>
      </c>
      <c r="Y8" s="80">
        <f>'24'!AD11</f>
        <v>0.83333333333333337</v>
      </c>
      <c r="Z8" s="80">
        <f>'25'!AD12</f>
        <v>0.125</v>
      </c>
      <c r="AA8" s="80">
        <f>'26'!AD12</f>
        <v>0.58333333333333337</v>
      </c>
      <c r="AB8" s="80"/>
      <c r="AC8" s="80"/>
      <c r="AD8" s="80">
        <f>'29'!AD11</f>
        <v>0.75</v>
      </c>
      <c r="AE8" s="80">
        <f>'30'!AD11</f>
        <v>0.79166666666666663</v>
      </c>
      <c r="AF8" s="81">
        <f>'31'!AD11</f>
        <v>0.70833333333333337</v>
      </c>
      <c r="AG8" s="82">
        <f t="shared" si="0"/>
        <v>0.52016129032258063</v>
      </c>
    </row>
    <row r="9" spans="1:33" ht="21.75" customHeight="1">
      <c r="A9" s="112" t="s">
        <v>66</v>
      </c>
      <c r="B9" s="107">
        <f>'01'!AD14</f>
        <v>0.70833333333333337</v>
      </c>
      <c r="C9" s="107">
        <f>'02'!AD12</f>
        <v>0.70833333333333337</v>
      </c>
      <c r="D9" s="80">
        <f>'03'!AD13</f>
        <v>1</v>
      </c>
      <c r="E9" s="80">
        <f>'04'!AD12</f>
        <v>0</v>
      </c>
      <c r="F9" s="80">
        <f>'05'!AD12</f>
        <v>0.58333333333333337</v>
      </c>
      <c r="G9" s="80">
        <f>'06'!AD12</f>
        <v>0.375</v>
      </c>
      <c r="H9" s="80"/>
      <c r="I9" s="80">
        <f>'08'!AD12</f>
        <v>0.45833333333333331</v>
      </c>
      <c r="J9" s="80">
        <f>'09'!AD12</f>
        <v>0.60325920831422897</v>
      </c>
      <c r="K9" s="80">
        <f>'10'!AD12</f>
        <v>0.83333333333333337</v>
      </c>
      <c r="L9" s="80">
        <f>'11'!AD12</f>
        <v>0.875</v>
      </c>
      <c r="M9" s="80">
        <f>'12'!AD12</f>
        <v>0.25</v>
      </c>
      <c r="N9" s="80"/>
      <c r="O9" s="80"/>
      <c r="P9" s="80">
        <f>'15'!AD12</f>
        <v>0.83333333333333337</v>
      </c>
      <c r="Q9" s="80">
        <f>'16'!AD12</f>
        <v>0.75</v>
      </c>
      <c r="R9" s="80">
        <f>'17'!AD12</f>
        <v>0.83333333333333337</v>
      </c>
      <c r="S9" s="80">
        <f>'18'!AD12</f>
        <v>0.875</v>
      </c>
      <c r="T9" s="80">
        <f>'19'!AD13</f>
        <v>0.91666666666666663</v>
      </c>
      <c r="U9" s="80"/>
      <c r="V9" s="80"/>
      <c r="W9" s="80">
        <f>'22'!AD13</f>
        <v>0.83333333333333337</v>
      </c>
      <c r="X9" s="80">
        <f>'23'!AD12</f>
        <v>0.16666666666666666</v>
      </c>
      <c r="Y9" s="80">
        <f>'24'!AD12</f>
        <v>0.95833333333333337</v>
      </c>
      <c r="Z9" s="80">
        <f>'25'!AD13</f>
        <v>1</v>
      </c>
      <c r="AA9" s="80">
        <f>'26'!AD13</f>
        <v>0.875</v>
      </c>
      <c r="AB9" s="80"/>
      <c r="AC9" s="80"/>
      <c r="AD9" s="80">
        <f>'29'!AD12</f>
        <v>0.125</v>
      </c>
      <c r="AE9" s="80">
        <f>'30'!AD12</f>
        <v>0.66666666666666663</v>
      </c>
      <c r="AF9" s="81">
        <f>'31'!AD12</f>
        <v>0.58333333333333337</v>
      </c>
      <c r="AG9" s="82">
        <f t="shared" si="0"/>
        <v>0.51005137231121167</v>
      </c>
    </row>
    <row r="10" spans="1:33" ht="21.75" customHeight="1">
      <c r="A10" s="112" t="s">
        <v>67</v>
      </c>
      <c r="B10" s="107">
        <f>'01'!AD15+'01'!AD16</f>
        <v>0.91666666666666674</v>
      </c>
      <c r="C10" s="107">
        <f>'02'!AD13+'02'!AD14+'02'!AD15</f>
        <v>0.91666666666666652</v>
      </c>
      <c r="D10" s="80">
        <f>'03'!AD14</f>
        <v>0.58333333333333337</v>
      </c>
      <c r="E10" s="80">
        <f>'04'!AD13</f>
        <v>0.91666666666666663</v>
      </c>
      <c r="F10" s="80">
        <f>'05'!AD13</f>
        <v>0.95833333333333337</v>
      </c>
      <c r="G10" s="80">
        <f>'06'!AD13</f>
        <v>1</v>
      </c>
      <c r="H10" s="80"/>
      <c r="I10" s="80">
        <f>'08'!AD13</f>
        <v>0</v>
      </c>
      <c r="J10" s="80">
        <f>'09'!AD13</f>
        <v>0</v>
      </c>
      <c r="K10" s="80">
        <f>'10'!AD13</f>
        <v>0</v>
      </c>
      <c r="L10" s="80">
        <f>'11'!AD13</f>
        <v>0.45833333333333331</v>
      </c>
      <c r="M10" s="80">
        <f>'12'!AD13</f>
        <v>0.16666666666666666</v>
      </c>
      <c r="N10" s="80"/>
      <c r="O10" s="80"/>
      <c r="P10" s="80">
        <f>'15'!AD13</f>
        <v>0.875</v>
      </c>
      <c r="Q10" s="80">
        <f>'16'!AD13</f>
        <v>0.95833333333333337</v>
      </c>
      <c r="R10" s="80">
        <f>'17'!AD13</f>
        <v>0.875</v>
      </c>
      <c r="S10" s="80">
        <f>'18'!AD13</f>
        <v>1</v>
      </c>
      <c r="T10" s="80">
        <f>'19'!AD14+'19'!AD15</f>
        <v>0.58333333333333326</v>
      </c>
      <c r="U10" s="80"/>
      <c r="V10" s="80"/>
      <c r="W10" s="80">
        <f>'22'!AD14</f>
        <v>0.79166666666666663</v>
      </c>
      <c r="X10" s="80">
        <f>'23'!AD13</f>
        <v>0.83333333333333337</v>
      </c>
      <c r="Y10" s="80">
        <f>'24'!AD13</f>
        <v>0</v>
      </c>
      <c r="Z10" s="80">
        <f>'25'!AD14</f>
        <v>0</v>
      </c>
      <c r="AA10" s="80">
        <f>'26'!AD14</f>
        <v>0.41666666666666669</v>
      </c>
      <c r="AB10" s="80"/>
      <c r="AC10" s="80"/>
      <c r="AD10" s="80">
        <f>'29'!AD13</f>
        <v>1</v>
      </c>
      <c r="AE10" s="80">
        <f>'30'!AD13+'30'!AD14</f>
        <v>0.875</v>
      </c>
      <c r="AF10" s="81">
        <f>'31'!AD13</f>
        <v>0.625</v>
      </c>
      <c r="AG10" s="82">
        <f t="shared" si="0"/>
        <v>0.47580645161290325</v>
      </c>
    </row>
    <row r="11" spans="1:33" ht="21.75" customHeight="1">
      <c r="A11" s="119" t="s">
        <v>68</v>
      </c>
      <c r="B11" s="120">
        <f>'01'!AD17</f>
        <v>0</v>
      </c>
      <c r="C11" s="120">
        <f>'02'!AD16</f>
        <v>0</v>
      </c>
      <c r="D11" s="121">
        <f>'03'!AD15</f>
        <v>0</v>
      </c>
      <c r="E11" s="121">
        <f>'04'!AD14</f>
        <v>0</v>
      </c>
      <c r="F11" s="121">
        <f>'05'!AD14</f>
        <v>0</v>
      </c>
      <c r="G11" s="121">
        <f>'06'!AD14</f>
        <v>0</v>
      </c>
      <c r="H11" s="121"/>
      <c r="I11" s="121">
        <f>'08'!AD14</f>
        <v>0</v>
      </c>
      <c r="J11" s="121">
        <f>'09'!AD14</f>
        <v>0</v>
      </c>
      <c r="K11" s="121">
        <f>'10'!AD14</f>
        <v>0</v>
      </c>
      <c r="L11" s="121">
        <f>'11'!AD14</f>
        <v>0</v>
      </c>
      <c r="M11" s="121">
        <f>'12'!AD14</f>
        <v>0</v>
      </c>
      <c r="N11" s="121"/>
      <c r="O11" s="121"/>
      <c r="P11" s="121">
        <f>'15'!AD14</f>
        <v>0</v>
      </c>
      <c r="Q11" s="121">
        <f>'16'!AD14</f>
        <v>0</v>
      </c>
      <c r="R11" s="121">
        <f>'17'!AD14</f>
        <v>0</v>
      </c>
      <c r="S11" s="121">
        <f>'18'!AD14</f>
        <v>0</v>
      </c>
      <c r="T11" s="121">
        <f>'19'!AD16</f>
        <v>0</v>
      </c>
      <c r="U11" s="121"/>
      <c r="V11" s="121"/>
      <c r="W11" s="121">
        <f>'22'!AD15</f>
        <v>0</v>
      </c>
      <c r="X11" s="121">
        <f>'23'!AD14</f>
        <v>0</v>
      </c>
      <c r="Y11" s="121">
        <f>'24'!AD14</f>
        <v>0</v>
      </c>
      <c r="Z11" s="121">
        <f>'25'!AD15</f>
        <v>0</v>
      </c>
      <c r="AA11" s="121">
        <f>'26'!AD15</f>
        <v>0</v>
      </c>
      <c r="AB11" s="121"/>
      <c r="AC11" s="121"/>
      <c r="AD11" s="121">
        <f>'29'!AD14</f>
        <v>0</v>
      </c>
      <c r="AE11" s="121">
        <f>'30'!AD15</f>
        <v>0</v>
      </c>
      <c r="AF11" s="122">
        <f>'31'!AD14</f>
        <v>0.54166666666666663</v>
      </c>
      <c r="AG11" s="123">
        <f t="shared" si="0"/>
        <v>1.7473118279569891E-2</v>
      </c>
    </row>
    <row r="12" spans="1:33" ht="21.75" customHeight="1">
      <c r="A12" s="111" t="s">
        <v>69</v>
      </c>
      <c r="B12" s="106">
        <f>'01'!AD18</f>
        <v>0.91666666666666663</v>
      </c>
      <c r="C12" s="106">
        <f>'02'!AD17</f>
        <v>1</v>
      </c>
      <c r="D12" s="77">
        <f>'03'!AD16</f>
        <v>1</v>
      </c>
      <c r="E12" s="77">
        <f>'04'!AD15</f>
        <v>1</v>
      </c>
      <c r="F12" s="77">
        <f>'05'!AD15</f>
        <v>0.66666666666666663</v>
      </c>
      <c r="G12" s="77">
        <f>'06'!AD15</f>
        <v>0</v>
      </c>
      <c r="H12" s="77"/>
      <c r="I12" s="77">
        <f>'08'!AD15</f>
        <v>0</v>
      </c>
      <c r="J12" s="77">
        <f>'09'!AD15</f>
        <v>0.375</v>
      </c>
      <c r="K12" s="77">
        <f>'10'!AD15</f>
        <v>0</v>
      </c>
      <c r="L12" s="77">
        <f>'11'!AD15</f>
        <v>0</v>
      </c>
      <c r="M12" s="77">
        <f>'12'!AD15</f>
        <v>0.33333333333333331</v>
      </c>
      <c r="N12" s="77"/>
      <c r="O12" s="77"/>
      <c r="P12" s="77">
        <f>'15'!AD15</f>
        <v>0.75</v>
      </c>
      <c r="Q12" s="77">
        <f>'16'!AD15</f>
        <v>0</v>
      </c>
      <c r="R12" s="77">
        <f>'17'!AD15</f>
        <v>0</v>
      </c>
      <c r="S12" s="77">
        <f>'18'!AD15</f>
        <v>0</v>
      </c>
      <c r="T12" s="77">
        <f>'19'!AD17</f>
        <v>0</v>
      </c>
      <c r="U12" s="77"/>
      <c r="V12" s="77"/>
      <c r="W12" s="77">
        <f>'22'!AD16</f>
        <v>0</v>
      </c>
      <c r="X12" s="77">
        <f>'23'!AD15</f>
        <v>0</v>
      </c>
      <c r="Y12" s="77">
        <f>'24'!AD15</f>
        <v>0</v>
      </c>
      <c r="Z12" s="77">
        <f>'25'!AD16</f>
        <v>0</v>
      </c>
      <c r="AA12" s="77">
        <f>'26'!AD16</f>
        <v>0.20833333333333334</v>
      </c>
      <c r="AB12" s="77"/>
      <c r="AC12" s="77"/>
      <c r="AD12" s="77">
        <f>'29'!AD15</f>
        <v>0</v>
      </c>
      <c r="AE12" s="77">
        <f>'30'!AD16</f>
        <v>0</v>
      </c>
      <c r="AF12" s="78">
        <f>'31'!AD15</f>
        <v>0</v>
      </c>
      <c r="AG12" s="79">
        <f t="shared" si="0"/>
        <v>0.20161290322580641</v>
      </c>
    </row>
    <row r="13" spans="1:33" ht="21.75" customHeight="1">
      <c r="A13" s="111" t="s">
        <v>70</v>
      </c>
      <c r="B13" s="106">
        <f>'01'!AD19</f>
        <v>0.75</v>
      </c>
      <c r="C13" s="106">
        <f>'02'!AD18</f>
        <v>0</v>
      </c>
      <c r="D13" s="77">
        <f>'03'!AD17</f>
        <v>0.75</v>
      </c>
      <c r="E13" s="77">
        <f>'04'!AD16</f>
        <v>0</v>
      </c>
      <c r="F13" s="77">
        <f>'05'!AD16</f>
        <v>0.58333333333333337</v>
      </c>
      <c r="G13" s="77">
        <f>'06'!AD16</f>
        <v>1</v>
      </c>
      <c r="H13" s="77"/>
      <c r="I13" s="77">
        <f>'08'!AD16</f>
        <v>1</v>
      </c>
      <c r="J13" s="77">
        <f>'09'!AD16</f>
        <v>1</v>
      </c>
      <c r="K13" s="77">
        <f>'10'!AD16</f>
        <v>1</v>
      </c>
      <c r="L13" s="77">
        <f>'11'!AD16</f>
        <v>1</v>
      </c>
      <c r="M13" s="77">
        <f>'12'!AD16</f>
        <v>0.33333333333333331</v>
      </c>
      <c r="N13" s="77"/>
      <c r="O13" s="77"/>
      <c r="P13" s="77">
        <f>'15'!AD16</f>
        <v>0.66666666666666663</v>
      </c>
      <c r="Q13" s="77">
        <f>'16'!AD16</f>
        <v>1</v>
      </c>
      <c r="R13" s="77">
        <f>'17'!AD16</f>
        <v>1</v>
      </c>
      <c r="S13" s="77">
        <f>'18'!AD16+'18'!AD17</f>
        <v>0.91666666666666663</v>
      </c>
      <c r="T13" s="77">
        <f>'19'!AD18</f>
        <v>1</v>
      </c>
      <c r="U13" s="77"/>
      <c r="V13" s="77"/>
      <c r="W13" s="77">
        <f>'22'!AD17+'22'!AD18</f>
        <v>0.75</v>
      </c>
      <c r="X13" s="77">
        <f>'23'!AD16</f>
        <v>0.95833333333333337</v>
      </c>
      <c r="Y13" s="77">
        <f>'24'!AD16</f>
        <v>1</v>
      </c>
      <c r="Z13" s="77">
        <f>'25'!AD17</f>
        <v>1</v>
      </c>
      <c r="AA13" s="77">
        <f>'26'!AD17</f>
        <v>0.625</v>
      </c>
      <c r="AB13" s="77"/>
      <c r="AC13" s="77"/>
      <c r="AD13" s="77">
        <f>'29'!AD16</f>
        <v>0.25</v>
      </c>
      <c r="AE13" s="77">
        <f>'30'!AD17</f>
        <v>1</v>
      </c>
      <c r="AF13" s="78">
        <f>'31'!AD16</f>
        <v>0</v>
      </c>
      <c r="AG13" s="79">
        <f t="shared" si="0"/>
        <v>0.56720430107526887</v>
      </c>
    </row>
    <row r="14" spans="1:33" ht="21.75" customHeight="1">
      <c r="A14" s="111" t="s">
        <v>71</v>
      </c>
      <c r="B14" s="106">
        <f>'01'!AD20</f>
        <v>0</v>
      </c>
      <c r="C14" s="106">
        <f>'02'!AD19</f>
        <v>0</v>
      </c>
      <c r="D14" s="77">
        <f>'03'!AD18</f>
        <v>0.25</v>
      </c>
      <c r="E14" s="77">
        <f>'04'!AD17</f>
        <v>0.75</v>
      </c>
      <c r="F14" s="77">
        <f>'05'!AD17</f>
        <v>1</v>
      </c>
      <c r="G14" s="77">
        <f>'06'!AD17</f>
        <v>1</v>
      </c>
      <c r="H14" s="77"/>
      <c r="I14" s="77">
        <f>'08'!AD17</f>
        <v>0</v>
      </c>
      <c r="J14" s="77">
        <f>'09'!AD17</f>
        <v>0</v>
      </c>
      <c r="K14" s="77">
        <f>'10'!AD17</f>
        <v>0</v>
      </c>
      <c r="L14" s="77">
        <f>'11'!AD17</f>
        <v>0</v>
      </c>
      <c r="M14" s="77">
        <f>'12'!AD17</f>
        <v>0.20833333333333334</v>
      </c>
      <c r="N14" s="77"/>
      <c r="O14" s="77"/>
      <c r="P14" s="77">
        <f>'15'!AD17</f>
        <v>0.16666666666666666</v>
      </c>
      <c r="Q14" s="77">
        <f>'16'!AD17</f>
        <v>0</v>
      </c>
      <c r="R14" s="77">
        <f>'17'!AD17</f>
        <v>0</v>
      </c>
      <c r="S14" s="77">
        <f>'18'!AD18</f>
        <v>0.70833333333333337</v>
      </c>
      <c r="T14" s="77">
        <f>'19'!AD19</f>
        <v>0.41666666666666669</v>
      </c>
      <c r="U14" s="77"/>
      <c r="V14" s="77"/>
      <c r="W14" s="77">
        <f>'22'!AD19</f>
        <v>0</v>
      </c>
      <c r="X14" s="77">
        <f>'23'!AD17</f>
        <v>0</v>
      </c>
      <c r="Y14" s="77">
        <f>'24'!AD17</f>
        <v>0</v>
      </c>
      <c r="Z14" s="77">
        <f>'25'!AD18</f>
        <v>0</v>
      </c>
      <c r="AA14" s="77">
        <f>'26'!AD18</f>
        <v>0.16666666666666666</v>
      </c>
      <c r="AB14" s="77"/>
      <c r="AC14" s="77"/>
      <c r="AD14" s="77">
        <f>'29'!AD17</f>
        <v>0</v>
      </c>
      <c r="AE14" s="77">
        <f>'30'!AD18</f>
        <v>0</v>
      </c>
      <c r="AF14" s="78">
        <f>'31'!AD17</f>
        <v>1</v>
      </c>
      <c r="AG14" s="79">
        <f t="shared" si="0"/>
        <v>0.18279569892473119</v>
      </c>
    </row>
    <row r="15" spans="1:33" ht="21.75" customHeight="1">
      <c r="A15" s="112" t="s">
        <v>72</v>
      </c>
      <c r="B15" s="107">
        <f>'01'!AD21+'01'!AD22</f>
        <v>0.79166666666666674</v>
      </c>
      <c r="C15" s="107">
        <f>'02'!AD20</f>
        <v>0.79166666666666663</v>
      </c>
      <c r="D15" s="80">
        <f>'03'!AD19</f>
        <v>0.41666666666666669</v>
      </c>
      <c r="E15" s="80">
        <f>'04'!AD18</f>
        <v>0.79166666666666663</v>
      </c>
      <c r="F15" s="80">
        <f>'05'!AD18</f>
        <v>1</v>
      </c>
      <c r="G15" s="80">
        <f>'06'!AD18</f>
        <v>1</v>
      </c>
      <c r="H15" s="80"/>
      <c r="I15" s="80">
        <f>'08'!AD18</f>
        <v>1</v>
      </c>
      <c r="J15" s="80">
        <f>'09'!AD18+'09'!AD19</f>
        <v>0.5</v>
      </c>
      <c r="K15" s="80">
        <f>'10'!AD18</f>
        <v>0.16666666666666666</v>
      </c>
      <c r="L15" s="80">
        <f>'11'!AD18</f>
        <v>0</v>
      </c>
      <c r="M15" s="80">
        <f>'12'!AD18</f>
        <v>0</v>
      </c>
      <c r="N15" s="80"/>
      <c r="O15" s="80"/>
      <c r="P15" s="80">
        <f>'15'!AD18+'15'!AD19</f>
        <v>0.91666666666666663</v>
      </c>
      <c r="Q15" s="80">
        <f>'16'!AD18</f>
        <v>1</v>
      </c>
      <c r="R15" s="80">
        <f>'17'!AD18</f>
        <v>0.33333333333333331</v>
      </c>
      <c r="S15" s="80">
        <f>'18'!AD19</f>
        <v>0.66666666666666663</v>
      </c>
      <c r="T15" s="80">
        <f>'19'!AD20</f>
        <v>1</v>
      </c>
      <c r="U15" s="80"/>
      <c r="V15" s="80"/>
      <c r="W15" s="80">
        <f>'22'!AD20</f>
        <v>1</v>
      </c>
      <c r="X15" s="80">
        <f>'23'!AD18</f>
        <v>0.20833333333333334</v>
      </c>
      <c r="Y15" s="80">
        <f>'24'!AD18</f>
        <v>0.33333333333333331</v>
      </c>
      <c r="Z15" s="80">
        <f>'25'!AD19</f>
        <v>0.83333333333333337</v>
      </c>
      <c r="AA15" s="80">
        <f>'26'!AD19</f>
        <v>1</v>
      </c>
      <c r="AB15" s="80"/>
      <c r="AC15" s="80"/>
      <c r="AD15" s="80">
        <f>'29'!AD18</f>
        <v>0.58333333333333337</v>
      </c>
      <c r="AE15" s="80">
        <f>'30'!AD19</f>
        <v>0.75</v>
      </c>
      <c r="AF15" s="81">
        <f>'31'!AD18</f>
        <v>0</v>
      </c>
      <c r="AG15" s="82">
        <f t="shared" si="0"/>
        <v>0.4865591397849463</v>
      </c>
    </row>
    <row r="16" spans="1:33" ht="21.75" customHeight="1">
      <c r="A16" s="112" t="s">
        <v>73</v>
      </c>
      <c r="B16" s="107">
        <f>'01'!AD23</f>
        <v>1</v>
      </c>
      <c r="C16" s="107">
        <f>'02'!AD21</f>
        <v>0.83333333333333337</v>
      </c>
      <c r="D16" s="80">
        <f>'03'!AD20</f>
        <v>0.91666666666666663</v>
      </c>
      <c r="E16" s="80">
        <f>'04'!AD19</f>
        <v>1</v>
      </c>
      <c r="F16" s="80">
        <f>'05'!AD19</f>
        <v>0.83333333333333337</v>
      </c>
      <c r="G16" s="80">
        <f>'06'!AD19</f>
        <v>0.95833333333333337</v>
      </c>
      <c r="H16" s="80"/>
      <c r="I16" s="80">
        <f>'08'!AD19</f>
        <v>0.75</v>
      </c>
      <c r="J16" s="80">
        <f>'09'!AD20</f>
        <v>0.91666666666666663</v>
      </c>
      <c r="K16" s="80">
        <f>'10'!AD19</f>
        <v>0.91666666666666663</v>
      </c>
      <c r="L16" s="80">
        <f>'11'!AD19</f>
        <v>1</v>
      </c>
      <c r="M16" s="80">
        <f>'12'!AD19</f>
        <v>1.020408163265306E-2</v>
      </c>
      <c r="N16" s="80"/>
      <c r="O16" s="80"/>
      <c r="P16" s="80">
        <f>'15'!AD20</f>
        <v>0.70833333333333337</v>
      </c>
      <c r="Q16" s="80">
        <f>'16'!AD19</f>
        <v>0.91666666666666663</v>
      </c>
      <c r="R16" s="80">
        <f>'17'!AD19</f>
        <v>0.95833333333333337</v>
      </c>
      <c r="S16" s="80">
        <f>'18'!AD20</f>
        <v>0.70833333333333337</v>
      </c>
      <c r="T16" s="80">
        <f>'19'!AD21</f>
        <v>0.29166666666666669</v>
      </c>
      <c r="U16" s="80"/>
      <c r="V16" s="80"/>
      <c r="W16" s="80">
        <f>'22'!AD21</f>
        <v>0.70833333333333337</v>
      </c>
      <c r="X16" s="80">
        <f>'23'!AD19</f>
        <v>0.83333333333333337</v>
      </c>
      <c r="Y16" s="80">
        <f>'24'!AD19</f>
        <v>0.54166666666666663</v>
      </c>
      <c r="Z16" s="80">
        <f>'25'!AD20</f>
        <v>0.79166666666666663</v>
      </c>
      <c r="AA16" s="80">
        <f>'26'!AD20</f>
        <v>1</v>
      </c>
      <c r="AB16" s="80"/>
      <c r="AC16" s="80"/>
      <c r="AD16" s="80">
        <f>'29'!AD19</f>
        <v>1</v>
      </c>
      <c r="AE16" s="80">
        <f>'30'!AD20</f>
        <v>0.875</v>
      </c>
      <c r="AF16" s="81">
        <f>'31'!AD20+'31'!AD21</f>
        <v>0.70833333333333337</v>
      </c>
      <c r="AG16" s="82">
        <f t="shared" si="0"/>
        <v>0.61860873381610704</v>
      </c>
    </row>
    <row r="17" spans="1:33" ht="21.75" customHeight="1" thickBot="1">
      <c r="A17" s="113" t="s">
        <v>111</v>
      </c>
      <c r="B17" s="108">
        <f>'01'!AD24</f>
        <v>0.54166666666666663</v>
      </c>
      <c r="C17" s="108">
        <f>'02'!AD22</f>
        <v>0.54166666666666663</v>
      </c>
      <c r="D17" s="83">
        <f>'03'!AD21</f>
        <v>0.54166666666666663</v>
      </c>
      <c r="E17" s="83">
        <f>'04'!AD20</f>
        <v>0.54166666666666663</v>
      </c>
      <c r="F17" s="83">
        <f>'05'!AD20</f>
        <v>0.54166666666666663</v>
      </c>
      <c r="G17" s="83">
        <f>'06'!AD20</f>
        <v>0</v>
      </c>
      <c r="H17" s="83"/>
      <c r="I17" s="83">
        <f>'08'!AD20</f>
        <v>0.45833333333333331</v>
      </c>
      <c r="J17" s="83">
        <f>'09'!AD21</f>
        <v>0.54166666666666663</v>
      </c>
      <c r="K17" s="83">
        <f>'10'!AD20</f>
        <v>0.54166666666666663</v>
      </c>
      <c r="L17" s="83">
        <f>'11'!AD20</f>
        <v>0.54166666666666663</v>
      </c>
      <c r="M17" s="83">
        <f>'12'!AD20</f>
        <v>0.33333333333333331</v>
      </c>
      <c r="N17" s="83"/>
      <c r="O17" s="83"/>
      <c r="P17" s="83">
        <f>'15'!AD21</f>
        <v>0.45833333333333331</v>
      </c>
      <c r="Q17" s="83">
        <f>'16'!AD20</f>
        <v>0.54166666666666663</v>
      </c>
      <c r="R17" s="83">
        <f>'17'!AD20</f>
        <v>0.54166666666666663</v>
      </c>
      <c r="S17" s="83">
        <f>'18'!AD21</f>
        <v>0.54166666666666663</v>
      </c>
      <c r="T17" s="83">
        <f>'19'!AD22</f>
        <v>0.54166666666666663</v>
      </c>
      <c r="U17" s="83"/>
      <c r="V17" s="83"/>
      <c r="W17" s="83">
        <f>'22'!AD22</f>
        <v>0.61609166666666659</v>
      </c>
      <c r="X17" s="83">
        <f>'23'!AD20</f>
        <v>0.83333333333333337</v>
      </c>
      <c r="Y17" s="83">
        <f>'24'!AD20</f>
        <v>0.58333333333333337</v>
      </c>
      <c r="Z17" s="83">
        <f>'25'!AD21</f>
        <v>0.375</v>
      </c>
      <c r="AA17" s="83">
        <f>'26'!AD21</f>
        <v>0</v>
      </c>
      <c r="AB17" s="83"/>
      <c r="AC17" s="83"/>
      <c r="AD17" s="83">
        <f>'29'!AD20</f>
        <v>0</v>
      </c>
      <c r="AE17" s="83">
        <f>'30'!AD21</f>
        <v>0.45833333333333331</v>
      </c>
      <c r="AF17" s="84">
        <f>'31'!AD22</f>
        <v>0.54166666666666663</v>
      </c>
      <c r="AG17" s="85">
        <f t="shared" si="0"/>
        <v>0.35992768817204307</v>
      </c>
    </row>
    <row r="18" spans="1:33" s="86" customFormat="1" ht="21.75" customHeight="1">
      <c r="A18" s="90" t="s">
        <v>105</v>
      </c>
      <c r="B18" s="94">
        <f>'01'!AD25</f>
        <v>0.59722222222222221</v>
      </c>
      <c r="C18" s="94">
        <f>'02'!AD23</f>
        <v>0.51388888888888895</v>
      </c>
      <c r="D18" s="95">
        <f>'03'!AD22</f>
        <v>0.60833333333333328</v>
      </c>
      <c r="E18" s="95">
        <f>'04'!AD21</f>
        <v>0.56944444444444442</v>
      </c>
      <c r="F18" s="95">
        <f>'05'!AD21</f>
        <v>0.64444444444444438</v>
      </c>
      <c r="G18" s="95">
        <f>'06'!AD21</f>
        <v>0.58611111111111114</v>
      </c>
      <c r="H18" s="95"/>
      <c r="I18" s="95">
        <f>'08'!AD21</f>
        <v>0.45833333333333326</v>
      </c>
      <c r="J18" s="95">
        <f>'09'!AD22</f>
        <v>0.45688394722094861</v>
      </c>
      <c r="K18" s="95">
        <f>'10'!AD21</f>
        <v>0.42777777777777787</v>
      </c>
      <c r="L18" s="95">
        <f>'11'!AD21</f>
        <v>0.51388888888888884</v>
      </c>
      <c r="M18" s="95">
        <f>'12'!AD21</f>
        <v>0.17568027210884357</v>
      </c>
      <c r="N18" s="95"/>
      <c r="O18" s="95"/>
      <c r="P18" s="95">
        <f>'15'!AD22</f>
        <v>0.62500000000000011</v>
      </c>
      <c r="Q18" s="95">
        <f>'16'!AD21</f>
        <v>0.58055555555555549</v>
      </c>
      <c r="R18" s="95">
        <f>'17'!AD21</f>
        <v>0.53611111111111109</v>
      </c>
      <c r="S18" s="95">
        <f>'18'!AD22</f>
        <v>0.59166666666666667</v>
      </c>
      <c r="T18" s="95">
        <f>'19'!AD23</f>
        <v>0.56944444444444442</v>
      </c>
      <c r="U18" s="95"/>
      <c r="V18" s="95"/>
      <c r="W18" s="95">
        <f>'22'!AD23</f>
        <v>0.43411895382395382</v>
      </c>
      <c r="X18" s="95">
        <f>'23'!AD21</f>
        <v>0.375</v>
      </c>
      <c r="Y18" s="95">
        <f>'24'!AD21</f>
        <v>0.40833333333333333</v>
      </c>
      <c r="Z18" s="95">
        <f>'25'!AD22</f>
        <v>0.46944444444444439</v>
      </c>
      <c r="AA18" s="95">
        <f>'26'!AD22</f>
        <v>0.50000000000000011</v>
      </c>
      <c r="AB18" s="95"/>
      <c r="AC18" s="95"/>
      <c r="AD18" s="95">
        <f>'29'!AD21</f>
        <v>0.37777777777777782</v>
      </c>
      <c r="AE18" s="95">
        <f>'30'!AD22</f>
        <v>0.48611111111111105</v>
      </c>
      <c r="AF18" s="96">
        <f>'31'!AD23</f>
        <v>0.41944444444444445</v>
      </c>
      <c r="AG18" s="99">
        <f t="shared" si="0"/>
        <v>0.38467795182216385</v>
      </c>
    </row>
    <row r="19" spans="1:33" ht="21.75" customHeight="1" thickBot="1">
      <c r="A19" s="69" t="s">
        <v>109</v>
      </c>
      <c r="B19" s="70">
        <v>0.7</v>
      </c>
      <c r="C19" s="71">
        <v>0.7</v>
      </c>
      <c r="D19" s="71">
        <v>0.7</v>
      </c>
      <c r="E19" s="71">
        <v>0.7</v>
      </c>
      <c r="F19" s="71">
        <v>0.7</v>
      </c>
      <c r="G19" s="71">
        <v>0.7</v>
      </c>
      <c r="H19" s="71">
        <v>0.7</v>
      </c>
      <c r="I19" s="71">
        <v>0.7</v>
      </c>
      <c r="J19" s="71">
        <v>0.7</v>
      </c>
      <c r="K19" s="71">
        <v>0.7</v>
      </c>
      <c r="L19" s="71">
        <v>0.7</v>
      </c>
      <c r="M19" s="71">
        <v>0.7</v>
      </c>
      <c r="N19" s="71">
        <v>0.7</v>
      </c>
      <c r="O19" s="71">
        <v>0.7</v>
      </c>
      <c r="P19" s="71">
        <v>0.7</v>
      </c>
      <c r="Q19" s="71">
        <v>0.7</v>
      </c>
      <c r="R19" s="71">
        <v>0.7</v>
      </c>
      <c r="S19" s="71">
        <v>0.7</v>
      </c>
      <c r="T19" s="71">
        <v>0.7</v>
      </c>
      <c r="U19" s="71">
        <v>0.7</v>
      </c>
      <c r="V19" s="71">
        <v>0.7</v>
      </c>
      <c r="W19" s="71">
        <v>0.7</v>
      </c>
      <c r="X19" s="71">
        <v>0.7</v>
      </c>
      <c r="Y19" s="71">
        <v>0.7</v>
      </c>
      <c r="Z19" s="71">
        <v>0.7</v>
      </c>
      <c r="AA19" s="71">
        <v>0.7</v>
      </c>
      <c r="AB19" s="71">
        <v>0.7</v>
      </c>
      <c r="AC19" s="71">
        <v>0.7</v>
      </c>
      <c r="AD19" s="71">
        <v>0.7</v>
      </c>
      <c r="AE19" s="71">
        <v>0.7</v>
      </c>
      <c r="AF19" s="72">
        <v>0.7</v>
      </c>
      <c r="AG19" s="73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D2BE-AABD-4CC3-8E51-977FAB262F57}">
  <dimension ref="A1:AF90"/>
  <sheetViews>
    <sheetView zoomScale="72" zoomScaleNormal="72" zoomScaleSheetLayoutView="70" workbookViewId="0">
      <selection activeCell="E20" sqref="E2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148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4" si="1">L6-N6</f>
        <v>0</v>
      </c>
      <c r="N6" s="15">
        <v>0</v>
      </c>
      <c r="O6" s="58" t="str">
        <f t="shared" ref="O6:O25" si="2">IF(L6=0,"0",N6/L6)</f>
        <v>0</v>
      </c>
      <c r="P6" s="39" t="str">
        <f t="shared" ref="P6:P24" si="3">IF(L6=0,"0",(24-Q6))</f>
        <v>0</v>
      </c>
      <c r="Q6" s="40">
        <f t="shared" ref="Q6:Q24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4" si="5">IF(J6=0,"0",(L6/J6))</f>
        <v>0</v>
      </c>
      <c r="AC6" s="9">
        <f t="shared" ref="AC6:AC24" si="6">IF(P6=0,"0",(P6/24))</f>
        <v>0</v>
      </c>
      <c r="AD6" s="10">
        <f t="shared" ref="AD6:AD24" si="7">AC6*AB6*(1-O6)</f>
        <v>0</v>
      </c>
      <c r="AE6" s="36">
        <f t="shared" ref="AE6:AE24" si="8">$AD$25</f>
        <v>0.59722222222222221</v>
      </c>
      <c r="AF6" s="87">
        <f t="shared" ref="AF6:AF24" si="9">A6</f>
        <v>1</v>
      </c>
    </row>
    <row r="7" spans="1:32" ht="27" customHeight="1">
      <c r="A7" s="101">
        <v>2</v>
      </c>
      <c r="B7" s="11" t="s">
        <v>57</v>
      </c>
      <c r="C7" s="34" t="s">
        <v>141</v>
      </c>
      <c r="D7" s="52"/>
      <c r="E7" s="53" t="s">
        <v>142</v>
      </c>
      <c r="F7" s="30" t="s">
        <v>116</v>
      </c>
      <c r="G7" s="12">
        <v>1</v>
      </c>
      <c r="H7" s="13">
        <v>28</v>
      </c>
      <c r="I7" s="31">
        <v>2000</v>
      </c>
      <c r="J7" s="5">
        <v>5472</v>
      </c>
      <c r="K7" s="15">
        <f>L7+2937+3866+4040+2868</f>
        <v>13711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0.59722222222222221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5472</v>
      </c>
      <c r="K8" s="15">
        <f>L8+3759+5540+5479+2152+4687+4572+4460</f>
        <v>36121</v>
      </c>
      <c r="L8" s="15">
        <v>5472</v>
      </c>
      <c r="M8" s="15">
        <f t="shared" si="1"/>
        <v>5472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0.59722222222222221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131</v>
      </c>
      <c r="D9" s="52" t="s">
        <v>119</v>
      </c>
      <c r="E9" s="53" t="s">
        <v>159</v>
      </c>
      <c r="F9" s="30" t="s">
        <v>150</v>
      </c>
      <c r="G9" s="33">
        <v>1</v>
      </c>
      <c r="H9" s="35">
        <v>24</v>
      </c>
      <c r="I9" s="7">
        <v>1200</v>
      </c>
      <c r="J9" s="14">
        <v>1349</v>
      </c>
      <c r="K9" s="15">
        <f t="shared" ref="K9:K16" si="10">L9</f>
        <v>1349</v>
      </c>
      <c r="L9" s="15">
        <v>1349</v>
      </c>
      <c r="M9" s="15">
        <f t="shared" si="1"/>
        <v>1349</v>
      </c>
      <c r="N9" s="15">
        <v>0</v>
      </c>
      <c r="O9" s="58">
        <f t="shared" si="2"/>
        <v>0</v>
      </c>
      <c r="P9" s="39">
        <f t="shared" si="3"/>
        <v>9</v>
      </c>
      <c r="Q9" s="40">
        <f t="shared" si="4"/>
        <v>15</v>
      </c>
      <c r="R9" s="7"/>
      <c r="S9" s="6"/>
      <c r="T9" s="16"/>
      <c r="U9" s="16"/>
      <c r="V9" s="17"/>
      <c r="W9" s="5">
        <v>15</v>
      </c>
      <c r="X9" s="16"/>
      <c r="Y9" s="16"/>
      <c r="Z9" s="16"/>
      <c r="AA9" s="18"/>
      <c r="AB9" s="8">
        <f t="shared" si="5"/>
        <v>1</v>
      </c>
      <c r="AC9" s="9">
        <f t="shared" si="6"/>
        <v>0.375</v>
      </c>
      <c r="AD9" s="10">
        <f t="shared" si="7"/>
        <v>0.375</v>
      </c>
      <c r="AE9" s="36">
        <f t="shared" si="8"/>
        <v>0.59722222222222221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125</v>
      </c>
      <c r="D10" s="52" t="s">
        <v>151</v>
      </c>
      <c r="E10" s="53" t="s">
        <v>153</v>
      </c>
      <c r="F10" s="30" t="s">
        <v>128</v>
      </c>
      <c r="G10" s="33">
        <v>1</v>
      </c>
      <c r="H10" s="35">
        <v>24</v>
      </c>
      <c r="I10" s="7">
        <v>1000</v>
      </c>
      <c r="J10" s="14">
        <v>2940</v>
      </c>
      <c r="K10" s="15">
        <f t="shared" si="10"/>
        <v>2940</v>
      </c>
      <c r="L10" s="15">
        <f>2035+905</f>
        <v>2940</v>
      </c>
      <c r="M10" s="15">
        <f t="shared" ref="M10" si="11">L10-N10</f>
        <v>2940</v>
      </c>
      <c r="N10" s="15">
        <v>0</v>
      </c>
      <c r="O10" s="58">
        <f t="shared" ref="O10" si="12">IF(L10=0,"0",N10/L10)</f>
        <v>0</v>
      </c>
      <c r="P10" s="39">
        <f t="shared" ref="P10" si="13">IF(L10=0,"0",(24-Q10))</f>
        <v>14</v>
      </c>
      <c r="Q10" s="40">
        <f t="shared" ref="Q10" si="14">SUM(R10:AA10)</f>
        <v>10</v>
      </c>
      <c r="R10" s="7"/>
      <c r="S10" s="6"/>
      <c r="T10" s="16">
        <v>10</v>
      </c>
      <c r="U10" s="16"/>
      <c r="V10" s="17"/>
      <c r="W10" s="5"/>
      <c r="X10" s="16"/>
      <c r="Y10" s="16"/>
      <c r="Z10" s="16"/>
      <c r="AA10" s="18"/>
      <c r="AB10" s="8">
        <f t="shared" ref="AB10" si="15">IF(J10=0,"0",(L10/J10))</f>
        <v>1</v>
      </c>
      <c r="AC10" s="9">
        <f t="shared" ref="AC10" si="16">IF(P10=0,"0",(P10/24))</f>
        <v>0.58333333333333337</v>
      </c>
      <c r="AD10" s="10">
        <f t="shared" ref="AD10" si="17">AC10*AB10*(1-O10)</f>
        <v>0.58333333333333337</v>
      </c>
      <c r="AE10" s="36">
        <f t="shared" si="8"/>
        <v>0.59722222222222221</v>
      </c>
      <c r="AF10" s="87">
        <f t="shared" ref="AF10" si="18">A10</f>
        <v>4</v>
      </c>
    </row>
    <row r="11" spans="1:32" ht="27" customHeight="1">
      <c r="A11" s="103">
        <v>5</v>
      </c>
      <c r="B11" s="11" t="s">
        <v>57</v>
      </c>
      <c r="C11" s="34" t="s">
        <v>125</v>
      </c>
      <c r="D11" s="52" t="s">
        <v>154</v>
      </c>
      <c r="E11" s="53" t="s">
        <v>155</v>
      </c>
      <c r="F11" s="30" t="s">
        <v>128</v>
      </c>
      <c r="G11" s="33">
        <v>2</v>
      </c>
      <c r="H11" s="35">
        <v>24</v>
      </c>
      <c r="I11" s="7">
        <v>1500</v>
      </c>
      <c r="J11" s="5">
        <v>2072</v>
      </c>
      <c r="K11" s="15">
        <f t="shared" si="10"/>
        <v>2072</v>
      </c>
      <c r="L11" s="15">
        <f>1036*2</f>
        <v>2072</v>
      </c>
      <c r="M11" s="15">
        <f t="shared" si="1"/>
        <v>2072</v>
      </c>
      <c r="N11" s="15">
        <v>0</v>
      </c>
      <c r="O11" s="58">
        <f t="shared" si="2"/>
        <v>0</v>
      </c>
      <c r="P11" s="39">
        <f t="shared" si="3"/>
        <v>6</v>
      </c>
      <c r="Q11" s="40">
        <f t="shared" si="4"/>
        <v>18</v>
      </c>
      <c r="R11" s="7"/>
      <c r="S11" s="6"/>
      <c r="T11" s="16"/>
      <c r="U11" s="16"/>
      <c r="V11" s="17"/>
      <c r="W11" s="5">
        <v>18</v>
      </c>
      <c r="X11" s="16"/>
      <c r="Y11" s="16"/>
      <c r="Z11" s="16"/>
      <c r="AA11" s="18"/>
      <c r="AB11" s="8">
        <f t="shared" si="5"/>
        <v>1</v>
      </c>
      <c r="AC11" s="9">
        <f t="shared" si="6"/>
        <v>0.25</v>
      </c>
      <c r="AD11" s="10">
        <f>AC11*AB11*(1-O11)</f>
        <v>0.25</v>
      </c>
      <c r="AE11" s="36">
        <f t="shared" si="8"/>
        <v>0.59722222222222221</v>
      </c>
      <c r="AF11" s="87">
        <f t="shared" si="9"/>
        <v>5</v>
      </c>
    </row>
    <row r="12" spans="1:32" ht="27" customHeight="1">
      <c r="A12" s="103">
        <v>5</v>
      </c>
      <c r="B12" s="11" t="s">
        <v>57</v>
      </c>
      <c r="C12" s="34" t="s">
        <v>114</v>
      </c>
      <c r="D12" s="52" t="s">
        <v>154</v>
      </c>
      <c r="E12" s="53" t="s">
        <v>156</v>
      </c>
      <c r="F12" s="30" t="s">
        <v>135</v>
      </c>
      <c r="G12" s="33">
        <v>2</v>
      </c>
      <c r="H12" s="35">
        <v>24</v>
      </c>
      <c r="I12" s="7">
        <v>4000</v>
      </c>
      <c r="J12" s="5">
        <v>5210</v>
      </c>
      <c r="K12" s="15">
        <f t="shared" si="10"/>
        <v>5210</v>
      </c>
      <c r="L12" s="15">
        <f>1300*2+1305*2</f>
        <v>5210</v>
      </c>
      <c r="M12" s="15">
        <f t="shared" ref="M12" si="19">L12-N12</f>
        <v>5210</v>
      </c>
      <c r="N12" s="15">
        <v>0</v>
      </c>
      <c r="O12" s="58">
        <f t="shared" ref="O12" si="20">IF(L12=0,"0",N12/L12)</f>
        <v>0</v>
      </c>
      <c r="P12" s="39">
        <f t="shared" ref="P12" si="21">IF(L12=0,"0",(24-Q12))</f>
        <v>16</v>
      </c>
      <c r="Q12" s="40">
        <f t="shared" ref="Q12" si="22">SUM(R12:AA12)</f>
        <v>8</v>
      </c>
      <c r="R12" s="7"/>
      <c r="S12" s="6"/>
      <c r="T12" s="16">
        <v>8</v>
      </c>
      <c r="U12" s="16"/>
      <c r="V12" s="17"/>
      <c r="W12" s="5"/>
      <c r="X12" s="16"/>
      <c r="Y12" s="16"/>
      <c r="Z12" s="16"/>
      <c r="AA12" s="18"/>
      <c r="AB12" s="8">
        <f t="shared" ref="AB12" si="23">IF(J12=0,"0",(L12/J12))</f>
        <v>1</v>
      </c>
      <c r="AC12" s="9">
        <f t="shared" ref="AC12" si="24">IF(P12=0,"0",(P12/24))</f>
        <v>0.66666666666666663</v>
      </c>
      <c r="AD12" s="10">
        <f>AC12*AB12*(1-O12)</f>
        <v>0.66666666666666663</v>
      </c>
      <c r="AE12" s="36">
        <f t="shared" si="8"/>
        <v>0.59722222222222221</v>
      </c>
      <c r="AF12" s="87">
        <f t="shared" ref="AF12" si="25">A12</f>
        <v>5</v>
      </c>
    </row>
    <row r="13" spans="1:32" ht="27" customHeight="1">
      <c r="A13" s="103">
        <v>6</v>
      </c>
      <c r="B13" s="11" t="s">
        <v>57</v>
      </c>
      <c r="C13" s="11" t="s">
        <v>157</v>
      </c>
      <c r="D13" s="52" t="s">
        <v>119</v>
      </c>
      <c r="E13" s="53"/>
      <c r="F13" s="30" t="s">
        <v>158</v>
      </c>
      <c r="G13" s="33">
        <v>1</v>
      </c>
      <c r="H13" s="35">
        <v>20</v>
      </c>
      <c r="I13" s="7">
        <v>1000</v>
      </c>
      <c r="J13" s="14">
        <v>2186</v>
      </c>
      <c r="K13" s="15">
        <f t="shared" si="10"/>
        <v>2186</v>
      </c>
      <c r="L13" s="15">
        <f>2186</f>
        <v>2186</v>
      </c>
      <c r="M13" s="15">
        <f t="shared" si="1"/>
        <v>2186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/>
      <c r="T13" s="16"/>
      <c r="U13" s="16"/>
      <c r="V13" s="17"/>
      <c r="W13" s="5">
        <v>13</v>
      </c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si="7"/>
        <v>0.45833333333333331</v>
      </c>
      <c r="AE13" s="36">
        <f t="shared" si="8"/>
        <v>0.59722222222222221</v>
      </c>
      <c r="AF13" s="87">
        <f t="shared" si="9"/>
        <v>6</v>
      </c>
    </row>
    <row r="14" spans="1:32" ht="27" customHeight="1">
      <c r="A14" s="103">
        <v>7</v>
      </c>
      <c r="B14" s="11" t="s">
        <v>57</v>
      </c>
      <c r="C14" s="11" t="s">
        <v>114</v>
      </c>
      <c r="D14" s="52" t="s">
        <v>119</v>
      </c>
      <c r="E14" s="53" t="s">
        <v>118</v>
      </c>
      <c r="F14" s="30" t="s">
        <v>122</v>
      </c>
      <c r="G14" s="33">
        <v>1</v>
      </c>
      <c r="H14" s="35">
        <v>20</v>
      </c>
      <c r="I14" s="7">
        <v>10000</v>
      </c>
      <c r="J14" s="14">
        <v>2962</v>
      </c>
      <c r="K14" s="15">
        <f t="shared" si="10"/>
        <v>2962</v>
      </c>
      <c r="L14" s="15">
        <f>2492+470</f>
        <v>2962</v>
      </c>
      <c r="M14" s="15">
        <f t="shared" si="1"/>
        <v>2962</v>
      </c>
      <c r="N14" s="15">
        <v>0</v>
      </c>
      <c r="O14" s="58">
        <f t="shared" si="2"/>
        <v>0</v>
      </c>
      <c r="P14" s="39">
        <f t="shared" si="3"/>
        <v>17</v>
      </c>
      <c r="Q14" s="40">
        <f t="shared" si="4"/>
        <v>7</v>
      </c>
      <c r="R14" s="7"/>
      <c r="S14" s="6">
        <v>7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0.70833333333333337</v>
      </c>
      <c r="AD14" s="10">
        <f t="shared" si="7"/>
        <v>0.70833333333333337</v>
      </c>
      <c r="AE14" s="36">
        <f t="shared" si="8"/>
        <v>0.59722222222222221</v>
      </c>
      <c r="AF14" s="87">
        <f t="shared" si="9"/>
        <v>7</v>
      </c>
    </row>
    <row r="15" spans="1:32" ht="27" customHeight="1">
      <c r="A15" s="103">
        <v>8</v>
      </c>
      <c r="B15" s="11" t="s">
        <v>57</v>
      </c>
      <c r="C15" s="11" t="s">
        <v>131</v>
      </c>
      <c r="D15" s="52" t="s">
        <v>119</v>
      </c>
      <c r="E15" s="53" t="s">
        <v>149</v>
      </c>
      <c r="F15" s="30" t="s">
        <v>150</v>
      </c>
      <c r="G15" s="33">
        <v>1</v>
      </c>
      <c r="H15" s="35">
        <v>24</v>
      </c>
      <c r="I15" s="7">
        <v>1000</v>
      </c>
      <c r="J15" s="14">
        <v>1051</v>
      </c>
      <c r="K15" s="15">
        <f t="shared" si="10"/>
        <v>1051</v>
      </c>
      <c r="L15" s="15">
        <v>1051</v>
      </c>
      <c r="M15" s="15">
        <f t="shared" si="1"/>
        <v>1051</v>
      </c>
      <c r="N15" s="15">
        <v>0</v>
      </c>
      <c r="O15" s="58">
        <f t="shared" si="2"/>
        <v>0</v>
      </c>
      <c r="P15" s="39">
        <f t="shared" si="3"/>
        <v>8</v>
      </c>
      <c r="Q15" s="40">
        <f t="shared" si="4"/>
        <v>16</v>
      </c>
      <c r="R15" s="7"/>
      <c r="S15" s="6"/>
      <c r="T15" s="16"/>
      <c r="U15" s="16"/>
      <c r="V15" s="17"/>
      <c r="W15" s="5">
        <v>16</v>
      </c>
      <c r="X15" s="16"/>
      <c r="Y15" s="16"/>
      <c r="Z15" s="16"/>
      <c r="AA15" s="18"/>
      <c r="AB15" s="8">
        <f t="shared" si="5"/>
        <v>1</v>
      </c>
      <c r="AC15" s="9">
        <f t="shared" si="6"/>
        <v>0.33333333333333331</v>
      </c>
      <c r="AD15" s="10">
        <f t="shared" si="7"/>
        <v>0.33333333333333331</v>
      </c>
      <c r="AE15" s="36">
        <f t="shared" si="8"/>
        <v>0.59722222222222221</v>
      </c>
      <c r="AF15" s="87">
        <f t="shared" si="9"/>
        <v>8</v>
      </c>
    </row>
    <row r="16" spans="1:32" ht="27" customHeight="1">
      <c r="A16" s="103">
        <v>8</v>
      </c>
      <c r="B16" s="11" t="s">
        <v>57</v>
      </c>
      <c r="C16" s="11" t="s">
        <v>114</v>
      </c>
      <c r="D16" s="52" t="s">
        <v>117</v>
      </c>
      <c r="E16" s="53" t="s">
        <v>160</v>
      </c>
      <c r="F16" s="30" t="s">
        <v>150</v>
      </c>
      <c r="G16" s="33">
        <v>1</v>
      </c>
      <c r="H16" s="35">
        <v>24</v>
      </c>
      <c r="I16" s="7">
        <v>2000</v>
      </c>
      <c r="J16" s="14">
        <v>2161</v>
      </c>
      <c r="K16" s="15">
        <f t="shared" si="10"/>
        <v>2161</v>
      </c>
      <c r="L16" s="15">
        <f>1905+256</f>
        <v>2161</v>
      </c>
      <c r="M16" s="15">
        <f t="shared" ref="M16" si="26">L16-N16</f>
        <v>2161</v>
      </c>
      <c r="N16" s="15">
        <v>0</v>
      </c>
      <c r="O16" s="58">
        <f t="shared" ref="O16" si="27">IF(L16=0,"0",N16/L16)</f>
        <v>0</v>
      </c>
      <c r="P16" s="39">
        <f t="shared" ref="P16" si="28">IF(L16=0,"0",(24-Q16))</f>
        <v>14</v>
      </c>
      <c r="Q16" s="40">
        <f t="shared" ref="Q16" si="29">SUM(R16:AA16)</f>
        <v>10</v>
      </c>
      <c r="R16" s="7"/>
      <c r="S16" s="6">
        <v>2</v>
      </c>
      <c r="T16" s="16">
        <v>8</v>
      </c>
      <c r="U16" s="16"/>
      <c r="V16" s="17"/>
      <c r="W16" s="5"/>
      <c r="X16" s="16"/>
      <c r="Y16" s="16"/>
      <c r="Z16" s="16"/>
      <c r="AA16" s="18"/>
      <c r="AB16" s="8">
        <f t="shared" ref="AB16" si="30">IF(J16=0,"0",(L16/J16))</f>
        <v>1</v>
      </c>
      <c r="AC16" s="9">
        <f t="shared" ref="AC16" si="31">IF(P16=0,"0",(P16/24))</f>
        <v>0.58333333333333337</v>
      </c>
      <c r="AD16" s="10">
        <f t="shared" ref="AD16" si="32">AC16*AB16*(1-O16)</f>
        <v>0.58333333333333337</v>
      </c>
      <c r="AE16" s="36">
        <f t="shared" si="8"/>
        <v>0.59722222222222221</v>
      </c>
      <c r="AF16" s="87">
        <f t="shared" ref="AF16" si="33">A16</f>
        <v>8</v>
      </c>
    </row>
    <row r="17" spans="1:32" ht="27" customHeight="1">
      <c r="A17" s="118">
        <v>9</v>
      </c>
      <c r="B17" s="11" t="s">
        <v>57</v>
      </c>
      <c r="C17" s="34" t="s">
        <v>114</v>
      </c>
      <c r="D17" s="52" t="s">
        <v>117</v>
      </c>
      <c r="E17" s="53" t="s">
        <v>140</v>
      </c>
      <c r="F17" s="30" t="s">
        <v>137</v>
      </c>
      <c r="G17" s="33">
        <v>1</v>
      </c>
      <c r="H17" s="35">
        <v>40</v>
      </c>
      <c r="I17" s="7">
        <v>300</v>
      </c>
      <c r="J17" s="5">
        <v>131</v>
      </c>
      <c r="K17" s="15">
        <f>L17+152+364+131</f>
        <v>647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0.59722222222222221</v>
      </c>
      <c r="AF17" s="87">
        <f t="shared" si="9"/>
        <v>9</v>
      </c>
    </row>
    <row r="18" spans="1:32" ht="27" customHeight="1">
      <c r="A18" s="102">
        <v>10</v>
      </c>
      <c r="B18" s="11" t="s">
        <v>57</v>
      </c>
      <c r="C18" s="34" t="s">
        <v>161</v>
      </c>
      <c r="D18" s="52" t="s">
        <v>162</v>
      </c>
      <c r="E18" s="53" t="s">
        <v>163</v>
      </c>
      <c r="F18" s="12" t="s">
        <v>164</v>
      </c>
      <c r="G18" s="12">
        <v>8</v>
      </c>
      <c r="H18" s="13">
        <v>24</v>
      </c>
      <c r="I18" s="31">
        <v>100000</v>
      </c>
      <c r="J18" s="14">
        <v>39270</v>
      </c>
      <c r="K18" s="15">
        <f>L18</f>
        <v>39270</v>
      </c>
      <c r="L18" s="15">
        <f>3237*7+2373*7</f>
        <v>39270</v>
      </c>
      <c r="M18" s="15">
        <f t="shared" si="1"/>
        <v>39270</v>
      </c>
      <c r="N18" s="15">
        <v>0</v>
      </c>
      <c r="O18" s="58">
        <f t="shared" si="2"/>
        <v>0</v>
      </c>
      <c r="P18" s="39">
        <f t="shared" si="3"/>
        <v>22</v>
      </c>
      <c r="Q18" s="40">
        <f t="shared" si="4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0.91666666666666663</v>
      </c>
      <c r="AD18" s="10">
        <f t="shared" si="7"/>
        <v>0.91666666666666663</v>
      </c>
      <c r="AE18" s="36">
        <f t="shared" si="8"/>
        <v>0.59722222222222221</v>
      </c>
      <c r="AF18" s="87">
        <f t="shared" si="9"/>
        <v>10</v>
      </c>
    </row>
    <row r="19" spans="1:32" ht="30" customHeight="1">
      <c r="A19" s="102">
        <v>11</v>
      </c>
      <c r="B19" s="11" t="s">
        <v>57</v>
      </c>
      <c r="C19" s="11" t="s">
        <v>125</v>
      </c>
      <c r="D19" s="52" t="s">
        <v>165</v>
      </c>
      <c r="E19" s="53" t="s">
        <v>152</v>
      </c>
      <c r="F19" s="12" t="s">
        <v>128</v>
      </c>
      <c r="G19" s="12">
        <v>1</v>
      </c>
      <c r="H19" s="13">
        <v>24</v>
      </c>
      <c r="I19" s="7">
        <v>1000</v>
      </c>
      <c r="J19" s="14">
        <v>3517</v>
      </c>
      <c r="K19" s="15">
        <f>L19</f>
        <v>3517</v>
      </c>
      <c r="L19" s="15">
        <f>1981+1536</f>
        <v>3517</v>
      </c>
      <c r="M19" s="15">
        <f t="shared" si="1"/>
        <v>3517</v>
      </c>
      <c r="N19" s="15">
        <v>0</v>
      </c>
      <c r="O19" s="58">
        <f t="shared" si="2"/>
        <v>0</v>
      </c>
      <c r="P19" s="39">
        <f t="shared" si="3"/>
        <v>18</v>
      </c>
      <c r="Q19" s="40">
        <f t="shared" si="4"/>
        <v>6</v>
      </c>
      <c r="R19" s="7"/>
      <c r="S19" s="6">
        <v>4</v>
      </c>
      <c r="T19" s="16"/>
      <c r="U19" s="16"/>
      <c r="V19" s="17"/>
      <c r="W19" s="5">
        <v>2</v>
      </c>
      <c r="X19" s="16"/>
      <c r="Y19" s="16"/>
      <c r="Z19" s="16"/>
      <c r="AA19" s="18"/>
      <c r="AB19" s="8">
        <f t="shared" si="5"/>
        <v>1</v>
      </c>
      <c r="AC19" s="9">
        <f t="shared" si="6"/>
        <v>0.75</v>
      </c>
      <c r="AD19" s="10">
        <f t="shared" si="7"/>
        <v>0.75</v>
      </c>
      <c r="AE19" s="36">
        <f t="shared" si="8"/>
        <v>0.59722222222222221</v>
      </c>
      <c r="AF19" s="87">
        <f t="shared" si="9"/>
        <v>11</v>
      </c>
    </row>
    <row r="20" spans="1:32" ht="27" customHeight="1">
      <c r="A20" s="102">
        <v>12</v>
      </c>
      <c r="B20" s="11" t="s">
        <v>57</v>
      </c>
      <c r="C20" s="11" t="s">
        <v>131</v>
      </c>
      <c r="D20" s="52" t="s">
        <v>146</v>
      </c>
      <c r="E20" s="53" t="s">
        <v>130</v>
      </c>
      <c r="F20" s="30" t="s">
        <v>145</v>
      </c>
      <c r="G20" s="33">
        <v>1</v>
      </c>
      <c r="H20" s="35">
        <v>20</v>
      </c>
      <c r="I20" s="7">
        <v>2000</v>
      </c>
      <c r="J20" s="14">
        <v>2183</v>
      </c>
      <c r="K20" s="15">
        <f>L20+2183</f>
        <v>2183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0.59722222222222221</v>
      </c>
      <c r="AF20" s="87">
        <f t="shared" si="9"/>
        <v>12</v>
      </c>
    </row>
    <row r="21" spans="1:32" ht="27" customHeight="1">
      <c r="A21" s="103">
        <v>13</v>
      </c>
      <c r="B21" s="11" t="s">
        <v>57</v>
      </c>
      <c r="C21" s="34" t="s">
        <v>131</v>
      </c>
      <c r="D21" s="52" t="s">
        <v>133</v>
      </c>
      <c r="E21" s="53" t="s">
        <v>149</v>
      </c>
      <c r="F21" s="30" t="s">
        <v>150</v>
      </c>
      <c r="G21" s="33">
        <v>1</v>
      </c>
      <c r="H21" s="35">
        <v>24</v>
      </c>
      <c r="I21" s="7">
        <v>1000</v>
      </c>
      <c r="J21" s="5">
        <v>1205</v>
      </c>
      <c r="K21" s="15">
        <f>L21</f>
        <v>1205</v>
      </c>
      <c r="L21" s="15">
        <v>1205</v>
      </c>
      <c r="M21" s="15">
        <f t="shared" si="1"/>
        <v>1205</v>
      </c>
      <c r="N21" s="15">
        <v>0</v>
      </c>
      <c r="O21" s="58">
        <f t="shared" si="2"/>
        <v>0</v>
      </c>
      <c r="P21" s="39">
        <f t="shared" si="3"/>
        <v>10</v>
      </c>
      <c r="Q21" s="40">
        <f t="shared" si="4"/>
        <v>14</v>
      </c>
      <c r="R21" s="7"/>
      <c r="S21" s="6"/>
      <c r="T21" s="16"/>
      <c r="U21" s="16"/>
      <c r="V21" s="17"/>
      <c r="W21" s="5">
        <v>14</v>
      </c>
      <c r="X21" s="16"/>
      <c r="Y21" s="16"/>
      <c r="Z21" s="16"/>
      <c r="AA21" s="18"/>
      <c r="AB21" s="8">
        <f t="shared" si="5"/>
        <v>1</v>
      </c>
      <c r="AC21" s="9">
        <f t="shared" si="6"/>
        <v>0.41666666666666669</v>
      </c>
      <c r="AD21" s="10">
        <f>AC21*AB21*(1-O21)</f>
        <v>0.41666666666666669</v>
      </c>
      <c r="AE21" s="36">
        <f t="shared" si="8"/>
        <v>0.59722222222222221</v>
      </c>
      <c r="AF21" s="87">
        <f t="shared" si="9"/>
        <v>13</v>
      </c>
    </row>
    <row r="22" spans="1:32" ht="27" customHeight="1">
      <c r="A22" s="103">
        <v>13</v>
      </c>
      <c r="B22" s="11" t="s">
        <v>57</v>
      </c>
      <c r="C22" s="34" t="s">
        <v>131</v>
      </c>
      <c r="D22" s="52" t="s">
        <v>133</v>
      </c>
      <c r="E22" s="53" t="s">
        <v>159</v>
      </c>
      <c r="F22" s="30" t="s">
        <v>150</v>
      </c>
      <c r="G22" s="33">
        <v>1</v>
      </c>
      <c r="H22" s="35">
        <v>24</v>
      </c>
      <c r="I22" s="7">
        <v>900</v>
      </c>
      <c r="J22" s="5">
        <v>962</v>
      </c>
      <c r="K22" s="15">
        <f>L22</f>
        <v>962</v>
      </c>
      <c r="L22" s="15">
        <v>962</v>
      </c>
      <c r="M22" s="15">
        <f t="shared" ref="M22" si="34">L22-N22</f>
        <v>962</v>
      </c>
      <c r="N22" s="15">
        <v>0</v>
      </c>
      <c r="O22" s="58">
        <f t="shared" ref="O22" si="35">IF(L22=0,"0",N22/L22)</f>
        <v>0</v>
      </c>
      <c r="P22" s="39">
        <f t="shared" ref="P22" si="36">IF(L22=0,"0",(24-Q22))</f>
        <v>9</v>
      </c>
      <c r="Q22" s="40">
        <f t="shared" ref="Q22" si="37">SUM(R22:AA22)</f>
        <v>15</v>
      </c>
      <c r="R22" s="7"/>
      <c r="S22" s="6"/>
      <c r="T22" s="16">
        <v>11</v>
      </c>
      <c r="U22" s="16"/>
      <c r="V22" s="17"/>
      <c r="W22" s="5">
        <v>4</v>
      </c>
      <c r="X22" s="16"/>
      <c r="Y22" s="16"/>
      <c r="Z22" s="16"/>
      <c r="AA22" s="18"/>
      <c r="AB22" s="8">
        <f t="shared" ref="AB22" si="38">IF(J22=0,"0",(L22/J22))</f>
        <v>1</v>
      </c>
      <c r="AC22" s="9">
        <f t="shared" ref="AC22" si="39">IF(P22=0,"0",(P22/24))</f>
        <v>0.375</v>
      </c>
      <c r="AD22" s="10">
        <f>AC22*AB22*(1-O22)</f>
        <v>0.375</v>
      </c>
      <c r="AE22" s="36">
        <f t="shared" si="8"/>
        <v>0.59722222222222221</v>
      </c>
      <c r="AF22" s="87">
        <f t="shared" ref="AF22" si="40">A22</f>
        <v>13</v>
      </c>
    </row>
    <row r="23" spans="1:32" ht="27" customHeight="1">
      <c r="A23" s="103">
        <v>14</v>
      </c>
      <c r="B23" s="11" t="s">
        <v>57</v>
      </c>
      <c r="C23" s="11" t="s">
        <v>125</v>
      </c>
      <c r="D23" s="52" t="s">
        <v>117</v>
      </c>
      <c r="E23" s="53" t="s">
        <v>144</v>
      </c>
      <c r="F23" s="30" t="s">
        <v>122</v>
      </c>
      <c r="G23" s="33">
        <v>1</v>
      </c>
      <c r="H23" s="35">
        <v>24</v>
      </c>
      <c r="I23" s="7">
        <v>90000</v>
      </c>
      <c r="J23" s="5">
        <v>4823</v>
      </c>
      <c r="K23" s="15">
        <f>L23+4376+4932+3746+2629</f>
        <v>20506</v>
      </c>
      <c r="L23" s="15">
        <f>2400+2423</f>
        <v>4823</v>
      </c>
      <c r="M23" s="15">
        <f t="shared" ref="M23" si="41">L23-N23</f>
        <v>4823</v>
      </c>
      <c r="N23" s="15">
        <v>0</v>
      </c>
      <c r="O23" s="58">
        <f t="shared" ref="O23" si="42">IF(L23=0,"0",N23/L23)</f>
        <v>0</v>
      </c>
      <c r="P23" s="39">
        <f t="shared" ref="P23" si="43">IF(L23=0,"0",(24-Q23))</f>
        <v>24</v>
      </c>
      <c r="Q23" s="40">
        <f t="shared" ref="Q23" si="44">SUM(R23:AA23)</f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ref="AB23" si="45">IF(J23=0,"0",(L23/J23))</f>
        <v>1</v>
      </c>
      <c r="AC23" s="9">
        <f t="shared" ref="AC23" si="46">IF(P23=0,"0",(P23/24))</f>
        <v>1</v>
      </c>
      <c r="AD23" s="10">
        <f t="shared" ref="AD23" si="47">AC23*AB23*(1-O23)</f>
        <v>1</v>
      </c>
      <c r="AE23" s="36">
        <f t="shared" si="8"/>
        <v>0.59722222222222221</v>
      </c>
      <c r="AF23" s="87">
        <f t="shared" ref="AF23" si="48">A23</f>
        <v>14</v>
      </c>
    </row>
    <row r="24" spans="1:32" ht="27" customHeight="1" thickBot="1">
      <c r="A24" s="103">
        <v>15</v>
      </c>
      <c r="B24" s="11" t="s">
        <v>57</v>
      </c>
      <c r="C24" s="11" t="s">
        <v>115</v>
      </c>
      <c r="D24" s="52"/>
      <c r="E24" s="53" t="s">
        <v>138</v>
      </c>
      <c r="F24" s="12" t="s">
        <v>116</v>
      </c>
      <c r="G24" s="12">
        <v>4</v>
      </c>
      <c r="H24" s="35">
        <v>20</v>
      </c>
      <c r="I24" s="7">
        <v>300000</v>
      </c>
      <c r="J24" s="14">
        <v>37208</v>
      </c>
      <c r="K24" s="15">
        <f>L24+29424</f>
        <v>66632</v>
      </c>
      <c r="L24" s="15">
        <f>9302*4</f>
        <v>37208</v>
      </c>
      <c r="M24" s="15">
        <f t="shared" si="1"/>
        <v>37208</v>
      </c>
      <c r="N24" s="15">
        <v>0</v>
      </c>
      <c r="O24" s="58">
        <f t="shared" si="2"/>
        <v>0</v>
      </c>
      <c r="P24" s="39">
        <f t="shared" si="3"/>
        <v>13</v>
      </c>
      <c r="Q24" s="40">
        <f t="shared" si="4"/>
        <v>11</v>
      </c>
      <c r="R24" s="7"/>
      <c r="S24" s="6"/>
      <c r="T24" s="16"/>
      <c r="U24" s="16"/>
      <c r="V24" s="17">
        <v>11</v>
      </c>
      <c r="W24" s="5"/>
      <c r="X24" s="16"/>
      <c r="Y24" s="16"/>
      <c r="Z24" s="16"/>
      <c r="AA24" s="18"/>
      <c r="AB24" s="8">
        <f t="shared" si="5"/>
        <v>1</v>
      </c>
      <c r="AC24" s="9">
        <f t="shared" si="6"/>
        <v>0.54166666666666663</v>
      </c>
      <c r="AD24" s="10">
        <f t="shared" si="7"/>
        <v>0.54166666666666663</v>
      </c>
      <c r="AE24" s="36">
        <f t="shared" si="8"/>
        <v>0.59722222222222221</v>
      </c>
      <c r="AF24" s="87">
        <f t="shared" si="9"/>
        <v>15</v>
      </c>
    </row>
    <row r="25" spans="1:32" ht="31.5" customHeight="1" thickBot="1">
      <c r="A25" s="437" t="s">
        <v>34</v>
      </c>
      <c r="B25" s="438"/>
      <c r="C25" s="438"/>
      <c r="D25" s="438"/>
      <c r="E25" s="438"/>
      <c r="F25" s="438"/>
      <c r="G25" s="438"/>
      <c r="H25" s="439"/>
      <c r="I25" s="22">
        <f t="shared" ref="I25:N25" si="49">SUM(I6:I24)</f>
        <v>608900</v>
      </c>
      <c r="J25" s="19">
        <f t="shared" si="49"/>
        <v>120174</v>
      </c>
      <c r="K25" s="20">
        <f t="shared" si="49"/>
        <v>204685</v>
      </c>
      <c r="L25" s="21">
        <f t="shared" si="49"/>
        <v>112388</v>
      </c>
      <c r="M25" s="20">
        <f t="shared" si="49"/>
        <v>112388</v>
      </c>
      <c r="N25" s="21">
        <f t="shared" si="49"/>
        <v>0</v>
      </c>
      <c r="O25" s="41">
        <f t="shared" si="2"/>
        <v>0</v>
      </c>
      <c r="P25" s="42">
        <f t="shared" ref="P25:AA25" si="50">SUM(P6:P24)</f>
        <v>215</v>
      </c>
      <c r="Q25" s="43">
        <f t="shared" si="50"/>
        <v>241</v>
      </c>
      <c r="R25" s="23">
        <f t="shared" si="50"/>
        <v>24</v>
      </c>
      <c r="S25" s="24">
        <f t="shared" si="50"/>
        <v>13</v>
      </c>
      <c r="T25" s="24">
        <f t="shared" si="50"/>
        <v>39</v>
      </c>
      <c r="U25" s="24">
        <f t="shared" si="50"/>
        <v>0</v>
      </c>
      <c r="V25" s="25">
        <f t="shared" si="50"/>
        <v>11</v>
      </c>
      <c r="W25" s="26">
        <f t="shared" si="50"/>
        <v>154</v>
      </c>
      <c r="X25" s="27">
        <f t="shared" si="50"/>
        <v>0</v>
      </c>
      <c r="Y25" s="27">
        <f t="shared" si="50"/>
        <v>0</v>
      </c>
      <c r="Z25" s="27">
        <f t="shared" si="50"/>
        <v>0</v>
      </c>
      <c r="AA25" s="27">
        <f t="shared" si="50"/>
        <v>0</v>
      </c>
      <c r="AB25" s="28">
        <f>SUM(AB6:AB24)/15</f>
        <v>1</v>
      </c>
      <c r="AC25" s="4">
        <f>SUM(AC6:AC24)/15</f>
        <v>0.59722222222222221</v>
      </c>
      <c r="AD25" s="4">
        <f>SUM(AD6:AD24)/15</f>
        <v>0.59722222222222221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8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40" t="s">
        <v>45</v>
      </c>
      <c r="B52" s="440"/>
      <c r="C52" s="440"/>
      <c r="D52" s="440"/>
      <c r="E52" s="440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41" t="s">
        <v>167</v>
      </c>
      <c r="B53" s="442"/>
      <c r="C53" s="442"/>
      <c r="D53" s="442"/>
      <c r="E53" s="442"/>
      <c r="F53" s="442"/>
      <c r="G53" s="442"/>
      <c r="H53" s="442"/>
      <c r="I53" s="442"/>
      <c r="J53" s="442"/>
      <c r="K53" s="442"/>
      <c r="L53" s="442"/>
      <c r="M53" s="443"/>
      <c r="N53" s="444" t="s">
        <v>185</v>
      </c>
      <c r="O53" s="445"/>
      <c r="P53" s="445"/>
      <c r="Q53" s="445"/>
      <c r="R53" s="445"/>
      <c r="S53" s="445"/>
      <c r="T53" s="445"/>
      <c r="U53" s="445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7" t="s">
        <v>2</v>
      </c>
      <c r="B54" s="448"/>
      <c r="C54" s="126" t="s">
        <v>46</v>
      </c>
      <c r="D54" s="126" t="s">
        <v>47</v>
      </c>
      <c r="E54" s="126" t="s">
        <v>108</v>
      </c>
      <c r="F54" s="448" t="s">
        <v>107</v>
      </c>
      <c r="G54" s="448"/>
      <c r="H54" s="448"/>
      <c r="I54" s="448"/>
      <c r="J54" s="448"/>
      <c r="K54" s="448"/>
      <c r="L54" s="448"/>
      <c r="M54" s="449"/>
      <c r="N54" s="67" t="s">
        <v>112</v>
      </c>
      <c r="O54" s="126" t="s">
        <v>46</v>
      </c>
      <c r="P54" s="450" t="s">
        <v>47</v>
      </c>
      <c r="Q54" s="451"/>
      <c r="R54" s="450" t="s">
        <v>38</v>
      </c>
      <c r="S54" s="452"/>
      <c r="T54" s="452"/>
      <c r="U54" s="451"/>
      <c r="V54" s="450" t="s">
        <v>48</v>
      </c>
      <c r="W54" s="452"/>
      <c r="X54" s="452"/>
      <c r="Y54" s="452"/>
      <c r="Z54" s="452"/>
      <c r="AA54" s="452"/>
      <c r="AB54" s="452"/>
      <c r="AC54" s="452"/>
      <c r="AD54" s="453"/>
    </row>
    <row r="55" spans="1:32" ht="27" customHeight="1">
      <c r="A55" s="419" t="s">
        <v>131</v>
      </c>
      <c r="B55" s="420"/>
      <c r="C55" s="128" t="s">
        <v>168</v>
      </c>
      <c r="D55" s="128" t="s">
        <v>119</v>
      </c>
      <c r="E55" s="128" t="s">
        <v>159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127" t="s">
        <v>114</v>
      </c>
      <c r="O55" s="132" t="s">
        <v>168</v>
      </c>
      <c r="P55" s="433" t="s">
        <v>126</v>
      </c>
      <c r="Q55" s="434"/>
      <c r="R55" s="420" t="s">
        <v>186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125</v>
      </c>
      <c r="B56" s="420"/>
      <c r="C56" s="128" t="s">
        <v>168</v>
      </c>
      <c r="D56" s="128" t="s">
        <v>151</v>
      </c>
      <c r="E56" s="128" t="s">
        <v>169</v>
      </c>
      <c r="F56" s="421" t="s">
        <v>170</v>
      </c>
      <c r="G56" s="422"/>
      <c r="H56" s="422"/>
      <c r="I56" s="422"/>
      <c r="J56" s="422"/>
      <c r="K56" s="422"/>
      <c r="L56" s="422"/>
      <c r="M56" s="423"/>
      <c r="N56" s="127" t="s">
        <v>125</v>
      </c>
      <c r="O56" s="132" t="s">
        <v>129</v>
      </c>
      <c r="P56" s="433" t="s">
        <v>117</v>
      </c>
      <c r="Q56" s="434"/>
      <c r="R56" s="420" t="s">
        <v>147</v>
      </c>
      <c r="S56" s="420"/>
      <c r="T56" s="420"/>
      <c r="U56" s="420"/>
      <c r="V56" s="410" t="s">
        <v>127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125</v>
      </c>
      <c r="B57" s="420"/>
      <c r="C57" s="128" t="s">
        <v>171</v>
      </c>
      <c r="D57" s="128" t="s">
        <v>154</v>
      </c>
      <c r="E57" s="128" t="s">
        <v>172</v>
      </c>
      <c r="F57" s="421" t="s">
        <v>173</v>
      </c>
      <c r="G57" s="422"/>
      <c r="H57" s="422"/>
      <c r="I57" s="422"/>
      <c r="J57" s="422"/>
      <c r="K57" s="422"/>
      <c r="L57" s="422"/>
      <c r="M57" s="423"/>
      <c r="N57" s="127" t="s">
        <v>114</v>
      </c>
      <c r="O57" s="132" t="s">
        <v>129</v>
      </c>
      <c r="P57" s="433" t="s">
        <v>117</v>
      </c>
      <c r="Q57" s="434"/>
      <c r="R57" s="420" t="s">
        <v>187</v>
      </c>
      <c r="S57" s="420"/>
      <c r="T57" s="420"/>
      <c r="U57" s="420"/>
      <c r="V57" s="410" t="s">
        <v>121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114</v>
      </c>
      <c r="B58" s="420"/>
      <c r="C58" s="128" t="s">
        <v>171</v>
      </c>
      <c r="D58" s="128" t="s">
        <v>154</v>
      </c>
      <c r="E58" s="128" t="s">
        <v>174</v>
      </c>
      <c r="F58" s="421" t="s">
        <v>121</v>
      </c>
      <c r="G58" s="422"/>
      <c r="H58" s="422"/>
      <c r="I58" s="422"/>
      <c r="J58" s="422"/>
      <c r="K58" s="422"/>
      <c r="L58" s="422"/>
      <c r="M58" s="423"/>
      <c r="N58" s="127" t="s">
        <v>125</v>
      </c>
      <c r="O58" s="132" t="s">
        <v>129</v>
      </c>
      <c r="P58" s="433" t="s">
        <v>154</v>
      </c>
      <c r="Q58" s="434"/>
      <c r="R58" s="420" t="s">
        <v>172</v>
      </c>
      <c r="S58" s="420"/>
      <c r="T58" s="420"/>
      <c r="U58" s="420"/>
      <c r="V58" s="410" t="s">
        <v>127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114</v>
      </c>
      <c r="B59" s="420"/>
      <c r="C59" s="128" t="s">
        <v>134</v>
      </c>
      <c r="D59" s="128" t="s">
        <v>117</v>
      </c>
      <c r="E59" s="128" t="s">
        <v>118</v>
      </c>
      <c r="F59" s="421" t="s">
        <v>175</v>
      </c>
      <c r="G59" s="422"/>
      <c r="H59" s="422"/>
      <c r="I59" s="422"/>
      <c r="J59" s="422"/>
      <c r="K59" s="422"/>
      <c r="L59" s="422"/>
      <c r="M59" s="423"/>
      <c r="N59" s="127" t="s">
        <v>114</v>
      </c>
      <c r="O59" s="132" t="s">
        <v>132</v>
      </c>
      <c r="P59" s="433" t="s">
        <v>126</v>
      </c>
      <c r="Q59" s="434"/>
      <c r="R59" s="420" t="s">
        <v>188</v>
      </c>
      <c r="S59" s="420"/>
      <c r="T59" s="420"/>
      <c r="U59" s="420"/>
      <c r="V59" s="410" t="s">
        <v>121</v>
      </c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131</v>
      </c>
      <c r="B60" s="420"/>
      <c r="C60" s="128" t="s">
        <v>176</v>
      </c>
      <c r="D60" s="128" t="s">
        <v>119</v>
      </c>
      <c r="E60" s="128" t="s">
        <v>177</v>
      </c>
      <c r="F60" s="421" t="s">
        <v>121</v>
      </c>
      <c r="G60" s="422"/>
      <c r="H60" s="422"/>
      <c r="I60" s="422"/>
      <c r="J60" s="422"/>
      <c r="K60" s="422"/>
      <c r="L60" s="422"/>
      <c r="M60" s="423"/>
      <c r="N60" s="127" t="s">
        <v>114</v>
      </c>
      <c r="O60" s="132" t="s">
        <v>182</v>
      </c>
      <c r="P60" s="433" t="s">
        <v>154</v>
      </c>
      <c r="Q60" s="434"/>
      <c r="R60" s="420" t="s">
        <v>189</v>
      </c>
      <c r="S60" s="420"/>
      <c r="T60" s="420"/>
      <c r="U60" s="420"/>
      <c r="V60" s="410" t="s">
        <v>121</v>
      </c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 t="s">
        <v>131</v>
      </c>
      <c r="B61" s="420"/>
      <c r="C61" s="128" t="s">
        <v>178</v>
      </c>
      <c r="D61" s="128" t="s">
        <v>179</v>
      </c>
      <c r="E61" s="128" t="s">
        <v>177</v>
      </c>
      <c r="F61" s="421" t="s">
        <v>181</v>
      </c>
      <c r="G61" s="422"/>
      <c r="H61" s="422"/>
      <c r="I61" s="422"/>
      <c r="J61" s="422"/>
      <c r="K61" s="422"/>
      <c r="L61" s="422"/>
      <c r="M61" s="423"/>
      <c r="N61" s="127"/>
      <c r="O61" s="132"/>
      <c r="P61" s="433"/>
      <c r="Q61" s="434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 t="s">
        <v>131</v>
      </c>
      <c r="B62" s="420"/>
      <c r="C62" s="136" t="s">
        <v>178</v>
      </c>
      <c r="D62" s="136" t="s">
        <v>179</v>
      </c>
      <c r="E62" s="128" t="s">
        <v>180</v>
      </c>
      <c r="F62" s="421" t="s">
        <v>121</v>
      </c>
      <c r="G62" s="422"/>
      <c r="H62" s="422"/>
      <c r="I62" s="422"/>
      <c r="J62" s="422"/>
      <c r="K62" s="422"/>
      <c r="L62" s="422"/>
      <c r="M62" s="423"/>
      <c r="N62" s="127"/>
      <c r="O62" s="132"/>
      <c r="P62" s="433"/>
      <c r="Q62" s="434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</row>
    <row r="63" spans="1:32" ht="27" customHeight="1">
      <c r="A63" s="419" t="s">
        <v>125</v>
      </c>
      <c r="B63" s="420"/>
      <c r="C63" s="128" t="s">
        <v>182</v>
      </c>
      <c r="D63" s="128" t="s">
        <v>183</v>
      </c>
      <c r="E63" s="128" t="s">
        <v>184</v>
      </c>
      <c r="F63" s="421" t="s">
        <v>121</v>
      </c>
      <c r="G63" s="422"/>
      <c r="H63" s="422"/>
      <c r="I63" s="422"/>
      <c r="J63" s="422"/>
      <c r="K63" s="422"/>
      <c r="L63" s="422"/>
      <c r="M63" s="423"/>
      <c r="N63" s="127"/>
      <c r="O63" s="132"/>
      <c r="P63" s="420"/>
      <c r="Q63" s="420"/>
      <c r="R63" s="420"/>
      <c r="S63" s="420"/>
      <c r="T63" s="420"/>
      <c r="U63" s="420"/>
      <c r="V63" s="410"/>
      <c r="W63" s="410"/>
      <c r="X63" s="410"/>
      <c r="Y63" s="410"/>
      <c r="Z63" s="410"/>
      <c r="AA63" s="410"/>
      <c r="AB63" s="410"/>
      <c r="AC63" s="410"/>
      <c r="AD63" s="424"/>
      <c r="AF63" s="87">
        <f>8*3000</f>
        <v>24000</v>
      </c>
    </row>
    <row r="64" spans="1:32" ht="27" customHeight="1" thickBot="1">
      <c r="A64" s="425"/>
      <c r="B64" s="426"/>
      <c r="C64" s="129"/>
      <c r="D64" s="129"/>
      <c r="E64" s="129"/>
      <c r="F64" s="427"/>
      <c r="G64" s="428"/>
      <c r="H64" s="428"/>
      <c r="I64" s="428"/>
      <c r="J64" s="428"/>
      <c r="K64" s="428"/>
      <c r="L64" s="428"/>
      <c r="M64" s="429"/>
      <c r="N64" s="124"/>
      <c r="O64" s="114"/>
      <c r="P64" s="430"/>
      <c r="Q64" s="430"/>
      <c r="R64" s="430"/>
      <c r="S64" s="430"/>
      <c r="T64" s="430"/>
      <c r="U64" s="430"/>
      <c r="V64" s="431"/>
      <c r="W64" s="431"/>
      <c r="X64" s="431"/>
      <c r="Y64" s="431"/>
      <c r="Z64" s="431"/>
      <c r="AA64" s="431"/>
      <c r="AB64" s="431"/>
      <c r="AC64" s="431"/>
      <c r="AD64" s="432"/>
      <c r="AF64" s="87">
        <f>16*3000</f>
        <v>48000</v>
      </c>
    </row>
    <row r="65" spans="1:32" ht="27.75" thickBot="1">
      <c r="A65" s="417" t="s">
        <v>190</v>
      </c>
      <c r="B65" s="417"/>
      <c r="C65" s="417"/>
      <c r="D65" s="417"/>
      <c r="E65" s="417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7">
        <v>24000</v>
      </c>
    </row>
    <row r="66" spans="1:32" ht="29.25" customHeight="1" thickBot="1">
      <c r="A66" s="418" t="s">
        <v>113</v>
      </c>
      <c r="B66" s="415"/>
      <c r="C66" s="130" t="s">
        <v>2</v>
      </c>
      <c r="D66" s="130" t="s">
        <v>37</v>
      </c>
      <c r="E66" s="130" t="s">
        <v>3</v>
      </c>
      <c r="F66" s="415" t="s">
        <v>110</v>
      </c>
      <c r="G66" s="415"/>
      <c r="H66" s="415"/>
      <c r="I66" s="415"/>
      <c r="J66" s="415"/>
      <c r="K66" s="415" t="s">
        <v>39</v>
      </c>
      <c r="L66" s="415"/>
      <c r="M66" s="130" t="s">
        <v>40</v>
      </c>
      <c r="N66" s="415" t="s">
        <v>41</v>
      </c>
      <c r="O66" s="415"/>
      <c r="P66" s="412" t="s">
        <v>42</v>
      </c>
      <c r="Q66" s="414"/>
      <c r="R66" s="412" t="s">
        <v>43</v>
      </c>
      <c r="S66" s="413"/>
      <c r="T66" s="413"/>
      <c r="U66" s="413"/>
      <c r="V66" s="413"/>
      <c r="W66" s="413"/>
      <c r="X66" s="413"/>
      <c r="Y66" s="413"/>
      <c r="Z66" s="413"/>
      <c r="AA66" s="414"/>
      <c r="AB66" s="415" t="s">
        <v>44</v>
      </c>
      <c r="AC66" s="415"/>
      <c r="AD66" s="416"/>
      <c r="AF66" s="87">
        <f>SUM(AF63:AF65)</f>
        <v>96000</v>
      </c>
    </row>
    <row r="67" spans="1:32" ht="25.5" customHeight="1">
      <c r="A67" s="406">
        <v>1</v>
      </c>
      <c r="B67" s="407"/>
      <c r="C67" s="117" t="s">
        <v>115</v>
      </c>
      <c r="D67" s="134"/>
      <c r="E67" s="131"/>
      <c r="F67" s="408" t="s">
        <v>138</v>
      </c>
      <c r="G67" s="400"/>
      <c r="H67" s="400"/>
      <c r="I67" s="400"/>
      <c r="J67" s="400"/>
      <c r="K67" s="400" t="s">
        <v>116</v>
      </c>
      <c r="L67" s="400"/>
      <c r="M67" s="51" t="s">
        <v>136</v>
      </c>
      <c r="N67" s="411" t="s">
        <v>139</v>
      </c>
      <c r="O67" s="411"/>
      <c r="P67" s="409">
        <v>100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2</v>
      </c>
      <c r="B68" s="407"/>
      <c r="C68" s="117"/>
      <c r="D68" s="134"/>
      <c r="E68" s="131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3</v>
      </c>
      <c r="B69" s="407"/>
      <c r="C69" s="117"/>
      <c r="D69" s="134"/>
      <c r="E69" s="131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4</v>
      </c>
      <c r="B70" s="407"/>
      <c r="C70" s="117"/>
      <c r="D70" s="134"/>
      <c r="E70" s="131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5</v>
      </c>
      <c r="B71" s="407"/>
      <c r="C71" s="117"/>
      <c r="D71" s="134"/>
      <c r="E71" s="131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6</v>
      </c>
      <c r="B72" s="407"/>
      <c r="C72" s="117"/>
      <c r="D72" s="134"/>
      <c r="E72" s="131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7</v>
      </c>
      <c r="B73" s="407"/>
      <c r="C73" s="117"/>
      <c r="D73" s="134"/>
      <c r="E73" s="131"/>
      <c r="F73" s="408"/>
      <c r="G73" s="400"/>
      <c r="H73" s="400"/>
      <c r="I73" s="400"/>
      <c r="J73" s="400"/>
      <c r="K73" s="400"/>
      <c r="L73" s="400"/>
      <c r="M73" s="51"/>
      <c r="N73" s="400"/>
      <c r="O73" s="400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5.5" customHeight="1">
      <c r="A74" s="406">
        <v>8</v>
      </c>
      <c r="B74" s="407"/>
      <c r="C74" s="117"/>
      <c r="D74" s="134"/>
      <c r="E74" s="131"/>
      <c r="F74" s="408"/>
      <c r="G74" s="400"/>
      <c r="H74" s="400"/>
      <c r="I74" s="400"/>
      <c r="J74" s="400"/>
      <c r="K74" s="400"/>
      <c r="L74" s="400"/>
      <c r="M74" s="51"/>
      <c r="N74" s="400"/>
      <c r="O74" s="400"/>
      <c r="P74" s="409"/>
      <c r="Q74" s="409"/>
      <c r="R74" s="410"/>
      <c r="S74" s="410"/>
      <c r="T74" s="410"/>
      <c r="U74" s="410"/>
      <c r="V74" s="410"/>
      <c r="W74" s="410"/>
      <c r="X74" s="410"/>
      <c r="Y74" s="410"/>
      <c r="Z74" s="410"/>
      <c r="AA74" s="410"/>
      <c r="AB74" s="400"/>
      <c r="AC74" s="400"/>
      <c r="AD74" s="401"/>
      <c r="AF74" s="50"/>
    </row>
    <row r="75" spans="1:32" ht="26.25" customHeight="1" thickBot="1">
      <c r="A75" s="380" t="s">
        <v>191</v>
      </c>
      <c r="B75" s="380"/>
      <c r="C75" s="380"/>
      <c r="D75" s="380"/>
      <c r="E75" s="380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381" t="s">
        <v>113</v>
      </c>
      <c r="B76" s="382"/>
      <c r="C76" s="133" t="s">
        <v>2</v>
      </c>
      <c r="D76" s="133" t="s">
        <v>37</v>
      </c>
      <c r="E76" s="133" t="s">
        <v>3</v>
      </c>
      <c r="F76" s="382" t="s">
        <v>38</v>
      </c>
      <c r="G76" s="382"/>
      <c r="H76" s="382"/>
      <c r="I76" s="382"/>
      <c r="J76" s="382"/>
      <c r="K76" s="402" t="s">
        <v>58</v>
      </c>
      <c r="L76" s="403"/>
      <c r="M76" s="403"/>
      <c r="N76" s="403"/>
      <c r="O76" s="403"/>
      <c r="P76" s="403"/>
      <c r="Q76" s="403"/>
      <c r="R76" s="403"/>
      <c r="S76" s="404"/>
      <c r="T76" s="382" t="s">
        <v>49</v>
      </c>
      <c r="U76" s="382"/>
      <c r="V76" s="402" t="s">
        <v>50</v>
      </c>
      <c r="W76" s="404"/>
      <c r="X76" s="403" t="s">
        <v>51</v>
      </c>
      <c r="Y76" s="403"/>
      <c r="Z76" s="403"/>
      <c r="AA76" s="403"/>
      <c r="AB76" s="403"/>
      <c r="AC76" s="403"/>
      <c r="AD76" s="405"/>
      <c r="AF76" s="50"/>
    </row>
    <row r="77" spans="1:32" ht="33.75" customHeight="1">
      <c r="A77" s="374">
        <v>1</v>
      </c>
      <c r="B77" s="375"/>
      <c r="C77" s="135" t="s">
        <v>114</v>
      </c>
      <c r="D77" s="135"/>
      <c r="E77" s="65" t="s">
        <v>119</v>
      </c>
      <c r="F77" s="389" t="s">
        <v>118</v>
      </c>
      <c r="G77" s="390"/>
      <c r="H77" s="390"/>
      <c r="I77" s="390"/>
      <c r="J77" s="391"/>
      <c r="K77" s="392" t="s">
        <v>120</v>
      </c>
      <c r="L77" s="393"/>
      <c r="M77" s="393"/>
      <c r="N77" s="393"/>
      <c r="O77" s="393"/>
      <c r="P77" s="393"/>
      <c r="Q77" s="393"/>
      <c r="R77" s="393"/>
      <c r="S77" s="394"/>
      <c r="T77" s="395">
        <v>43384</v>
      </c>
      <c r="U77" s="396"/>
      <c r="V77" s="397"/>
      <c r="W77" s="397"/>
      <c r="X77" s="398"/>
      <c r="Y77" s="398"/>
      <c r="Z77" s="398"/>
      <c r="AA77" s="398"/>
      <c r="AB77" s="398"/>
      <c r="AC77" s="398"/>
      <c r="AD77" s="399"/>
      <c r="AF77" s="50"/>
    </row>
    <row r="78" spans="1:32" ht="30" customHeight="1">
      <c r="A78" s="367">
        <f>A77+1</f>
        <v>2</v>
      </c>
      <c r="B78" s="368"/>
      <c r="C78" s="134"/>
      <c r="D78" s="134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ref="A79:A85" si="51">A78+1</f>
        <v>3</v>
      </c>
      <c r="B79" s="368"/>
      <c r="C79" s="134"/>
      <c r="D79" s="134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51"/>
        <v>4</v>
      </c>
      <c r="B80" s="368"/>
      <c r="C80" s="134"/>
      <c r="D80" s="134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51"/>
        <v>5</v>
      </c>
      <c r="B81" s="368"/>
      <c r="C81" s="134"/>
      <c r="D81" s="134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51"/>
        <v>6</v>
      </c>
      <c r="B82" s="368"/>
      <c r="C82" s="134"/>
      <c r="D82" s="134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51"/>
        <v>7</v>
      </c>
      <c r="B83" s="368"/>
      <c r="C83" s="134"/>
      <c r="D83" s="134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51"/>
        <v>8</v>
      </c>
      <c r="B84" s="368"/>
      <c r="C84" s="134"/>
      <c r="D84" s="134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0" customHeight="1">
      <c r="A85" s="367">
        <f t="shared" si="51"/>
        <v>9</v>
      </c>
      <c r="B85" s="368"/>
      <c r="C85" s="134"/>
      <c r="D85" s="134"/>
      <c r="E85" s="32"/>
      <c r="F85" s="368"/>
      <c r="G85" s="368"/>
      <c r="H85" s="368"/>
      <c r="I85" s="368"/>
      <c r="J85" s="368"/>
      <c r="K85" s="383"/>
      <c r="L85" s="384"/>
      <c r="M85" s="384"/>
      <c r="N85" s="384"/>
      <c r="O85" s="384"/>
      <c r="P85" s="384"/>
      <c r="Q85" s="384"/>
      <c r="R85" s="384"/>
      <c r="S85" s="385"/>
      <c r="T85" s="386"/>
      <c r="U85" s="386"/>
      <c r="V85" s="386"/>
      <c r="W85" s="386"/>
      <c r="X85" s="387"/>
      <c r="Y85" s="387"/>
      <c r="Z85" s="387"/>
      <c r="AA85" s="387"/>
      <c r="AB85" s="387"/>
      <c r="AC85" s="387"/>
      <c r="AD85" s="388"/>
      <c r="AF85" s="50"/>
    </row>
    <row r="86" spans="1:32" ht="36" thickBot="1">
      <c r="A86" s="380" t="s">
        <v>192</v>
      </c>
      <c r="B86" s="380"/>
      <c r="C86" s="380"/>
      <c r="D86" s="380"/>
      <c r="E86" s="380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381" t="s">
        <v>113</v>
      </c>
      <c r="B87" s="382"/>
      <c r="C87" s="372" t="s">
        <v>52</v>
      </c>
      <c r="D87" s="372"/>
      <c r="E87" s="372" t="s">
        <v>53</v>
      </c>
      <c r="F87" s="372"/>
      <c r="G87" s="372"/>
      <c r="H87" s="372"/>
      <c r="I87" s="372"/>
      <c r="J87" s="372"/>
      <c r="K87" s="372" t="s">
        <v>54</v>
      </c>
      <c r="L87" s="372"/>
      <c r="M87" s="372"/>
      <c r="N87" s="372"/>
      <c r="O87" s="372"/>
      <c r="P87" s="372"/>
      <c r="Q87" s="372"/>
      <c r="R87" s="372"/>
      <c r="S87" s="372"/>
      <c r="T87" s="372" t="s">
        <v>55</v>
      </c>
      <c r="U87" s="372"/>
      <c r="V87" s="372" t="s">
        <v>56</v>
      </c>
      <c r="W87" s="372"/>
      <c r="X87" s="372"/>
      <c r="Y87" s="372" t="s">
        <v>51</v>
      </c>
      <c r="Z87" s="372"/>
      <c r="AA87" s="372"/>
      <c r="AB87" s="372"/>
      <c r="AC87" s="372"/>
      <c r="AD87" s="373"/>
      <c r="AF87" s="50"/>
    </row>
    <row r="88" spans="1:32" ht="30.75" customHeight="1">
      <c r="A88" s="374">
        <v>1</v>
      </c>
      <c r="B88" s="375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7"/>
      <c r="W88" s="377"/>
      <c r="X88" s="377"/>
      <c r="Y88" s="378"/>
      <c r="Z88" s="378"/>
      <c r="AA88" s="378"/>
      <c r="AB88" s="378"/>
      <c r="AC88" s="378"/>
      <c r="AD88" s="379"/>
      <c r="AF88" s="50"/>
    </row>
    <row r="89" spans="1:32" ht="30.75" customHeight="1">
      <c r="A89" s="367">
        <v>2</v>
      </c>
      <c r="B89" s="368"/>
      <c r="C89" s="369"/>
      <c r="D89" s="369"/>
      <c r="E89" s="369"/>
      <c r="F89" s="369"/>
      <c r="G89" s="369"/>
      <c r="H89" s="369"/>
      <c r="I89" s="369"/>
      <c r="J89" s="369"/>
      <c r="K89" s="369"/>
      <c r="L89" s="369"/>
      <c r="M89" s="369"/>
      <c r="N89" s="369"/>
      <c r="O89" s="369"/>
      <c r="P89" s="369"/>
      <c r="Q89" s="369"/>
      <c r="R89" s="369"/>
      <c r="S89" s="369"/>
      <c r="T89" s="370"/>
      <c r="U89" s="370"/>
      <c r="V89" s="371"/>
      <c r="W89" s="371"/>
      <c r="X89" s="371"/>
      <c r="Y89" s="360"/>
      <c r="Z89" s="360"/>
      <c r="AA89" s="360"/>
      <c r="AB89" s="360"/>
      <c r="AC89" s="360"/>
      <c r="AD89" s="361"/>
      <c r="AF89" s="50"/>
    </row>
    <row r="90" spans="1:32" ht="30.75" customHeight="1" thickBot="1">
      <c r="A90" s="362">
        <v>3</v>
      </c>
      <c r="B90" s="363"/>
      <c r="C90" s="364"/>
      <c r="D90" s="364"/>
      <c r="E90" s="364"/>
      <c r="F90" s="36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64"/>
      <c r="R90" s="364"/>
      <c r="S90" s="364"/>
      <c r="T90" s="364"/>
      <c r="U90" s="364"/>
      <c r="V90" s="364"/>
      <c r="W90" s="364"/>
      <c r="X90" s="364"/>
      <c r="Y90" s="365"/>
      <c r="Z90" s="365"/>
      <c r="AA90" s="365"/>
      <c r="AB90" s="365"/>
      <c r="AC90" s="365"/>
      <c r="AD90" s="366"/>
      <c r="AF90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50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7E20-ED91-4138-BF2A-AF724316C83A}">
  <dimension ref="A1:AF88"/>
  <sheetViews>
    <sheetView zoomScale="72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193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0.51388888888888895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141</v>
      </c>
      <c r="D7" s="52"/>
      <c r="E7" s="53" t="s">
        <v>142</v>
      </c>
      <c r="F7" s="30" t="s">
        <v>116</v>
      </c>
      <c r="G7" s="12">
        <v>1</v>
      </c>
      <c r="H7" s="13">
        <v>28</v>
      </c>
      <c r="I7" s="31">
        <v>2000</v>
      </c>
      <c r="J7" s="5">
        <v>5472</v>
      </c>
      <c r="K7" s="15">
        <f>L7+2937+3866+4040+2868</f>
        <v>13711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0.51388888888888895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5734</v>
      </c>
      <c r="K8" s="15">
        <f>L8+3759+5540+5479+2152+4687+4572+4460+5472</f>
        <v>41855</v>
      </c>
      <c r="L8" s="15">
        <f>2672+3062</f>
        <v>5734</v>
      </c>
      <c r="M8" s="15">
        <f t="shared" si="1"/>
        <v>5734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0.51388888888888895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5189</v>
      </c>
      <c r="K9" s="15">
        <f>L9</f>
        <v>5189</v>
      </c>
      <c r="L9" s="15">
        <f>2524+2665</f>
        <v>5189</v>
      </c>
      <c r="M9" s="15">
        <f t="shared" si="1"/>
        <v>5189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0.51388888888888895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133</v>
      </c>
      <c r="E10" s="53" t="s">
        <v>194</v>
      </c>
      <c r="F10" s="30" t="s">
        <v>135</v>
      </c>
      <c r="G10" s="33">
        <v>1</v>
      </c>
      <c r="H10" s="35">
        <v>24</v>
      </c>
      <c r="I10" s="7">
        <v>2000</v>
      </c>
      <c r="J10" s="5">
        <v>2406</v>
      </c>
      <c r="K10" s="15">
        <f>L10</f>
        <v>2406</v>
      </c>
      <c r="L10" s="15">
        <f>2024+382</f>
        <v>2406</v>
      </c>
      <c r="M10" s="15">
        <f t="shared" si="1"/>
        <v>2406</v>
      </c>
      <c r="N10" s="15">
        <v>0</v>
      </c>
      <c r="O10" s="58">
        <f t="shared" si="2"/>
        <v>0</v>
      </c>
      <c r="P10" s="39">
        <f t="shared" si="3"/>
        <v>11</v>
      </c>
      <c r="Q10" s="40">
        <f t="shared" si="4"/>
        <v>13</v>
      </c>
      <c r="R10" s="7"/>
      <c r="S10" s="6"/>
      <c r="T10" s="16"/>
      <c r="U10" s="16"/>
      <c r="V10" s="17"/>
      <c r="W10" s="5">
        <v>13</v>
      </c>
      <c r="X10" s="16"/>
      <c r="Y10" s="16"/>
      <c r="Z10" s="16"/>
      <c r="AA10" s="18"/>
      <c r="AB10" s="8">
        <f t="shared" si="5"/>
        <v>1</v>
      </c>
      <c r="AC10" s="9">
        <f t="shared" si="6"/>
        <v>0.45833333333333331</v>
      </c>
      <c r="AD10" s="10">
        <f>AC10*AB10*(1-O10)</f>
        <v>0.45833333333333331</v>
      </c>
      <c r="AE10" s="36">
        <f t="shared" si="8"/>
        <v>0.51388888888888895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196</v>
      </c>
      <c r="F11" s="30" t="s">
        <v>150</v>
      </c>
      <c r="G11" s="33">
        <v>1</v>
      </c>
      <c r="H11" s="35">
        <v>20</v>
      </c>
      <c r="I11" s="7">
        <v>3200</v>
      </c>
      <c r="J11" s="14">
        <v>2317</v>
      </c>
      <c r="K11" s="15">
        <f>L11</f>
        <v>2317</v>
      </c>
      <c r="L11" s="15">
        <f>2317</f>
        <v>2317</v>
      </c>
      <c r="M11" s="15">
        <f t="shared" si="1"/>
        <v>2317</v>
      </c>
      <c r="N11" s="15">
        <v>0</v>
      </c>
      <c r="O11" s="58">
        <f t="shared" si="2"/>
        <v>0</v>
      </c>
      <c r="P11" s="39">
        <f t="shared" si="3"/>
        <v>11</v>
      </c>
      <c r="Q11" s="40">
        <f t="shared" si="4"/>
        <v>13</v>
      </c>
      <c r="R11" s="7"/>
      <c r="S11" s="6">
        <v>13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0.45833333333333331</v>
      </c>
      <c r="AD11" s="10">
        <f t="shared" si="7"/>
        <v>0.45833333333333331</v>
      </c>
      <c r="AE11" s="36">
        <f t="shared" si="8"/>
        <v>0.51388888888888895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119</v>
      </c>
      <c r="E12" s="53" t="s">
        <v>118</v>
      </c>
      <c r="F12" s="30" t="s">
        <v>122</v>
      </c>
      <c r="G12" s="33">
        <v>1</v>
      </c>
      <c r="H12" s="35">
        <v>20</v>
      </c>
      <c r="I12" s="7">
        <v>10000</v>
      </c>
      <c r="J12" s="14">
        <v>5364</v>
      </c>
      <c r="K12" s="15">
        <f>L12+2962</f>
        <v>8326</v>
      </c>
      <c r="L12" s="15">
        <f>2511+2853</f>
        <v>5364</v>
      </c>
      <c r="M12" s="15">
        <f t="shared" si="1"/>
        <v>5364</v>
      </c>
      <c r="N12" s="15">
        <v>0</v>
      </c>
      <c r="O12" s="58">
        <f t="shared" si="2"/>
        <v>0</v>
      </c>
      <c r="P12" s="39">
        <f t="shared" si="3"/>
        <v>17</v>
      </c>
      <c r="Q12" s="40">
        <f t="shared" si="4"/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0.70833333333333337</v>
      </c>
      <c r="AD12" s="10">
        <f t="shared" si="7"/>
        <v>0.70833333333333337</v>
      </c>
      <c r="AE12" s="36">
        <f t="shared" si="8"/>
        <v>0.51388888888888895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117</v>
      </c>
      <c r="E13" s="53" t="s">
        <v>147</v>
      </c>
      <c r="F13" s="30" t="s">
        <v>197</v>
      </c>
      <c r="G13" s="33">
        <v>1</v>
      </c>
      <c r="H13" s="35">
        <v>24</v>
      </c>
      <c r="I13" s="7">
        <v>1000</v>
      </c>
      <c r="J13" s="14">
        <v>1001</v>
      </c>
      <c r="K13" s="15">
        <f>L13</f>
        <v>1001</v>
      </c>
      <c r="L13" s="15">
        <v>1001</v>
      </c>
      <c r="M13" s="15">
        <f t="shared" si="1"/>
        <v>1001</v>
      </c>
      <c r="N13" s="15">
        <v>0</v>
      </c>
      <c r="O13" s="58">
        <f t="shared" si="2"/>
        <v>0</v>
      </c>
      <c r="P13" s="39">
        <f t="shared" si="3"/>
        <v>8</v>
      </c>
      <c r="Q13" s="40">
        <f t="shared" si="4"/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si="5"/>
        <v>1</v>
      </c>
      <c r="AC13" s="9">
        <f t="shared" si="6"/>
        <v>0.33333333333333331</v>
      </c>
      <c r="AD13" s="10">
        <f t="shared" si="7"/>
        <v>0.33333333333333331</v>
      </c>
      <c r="AE13" s="36">
        <f t="shared" si="8"/>
        <v>0.51388888888888895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125</v>
      </c>
      <c r="D14" s="52" t="s">
        <v>154</v>
      </c>
      <c r="E14" s="53" t="s">
        <v>155</v>
      </c>
      <c r="F14" s="30" t="s">
        <v>128</v>
      </c>
      <c r="G14" s="33">
        <v>1</v>
      </c>
      <c r="H14" s="35">
        <v>24</v>
      </c>
      <c r="I14" s="7">
        <v>1500</v>
      </c>
      <c r="J14" s="14">
        <v>1744</v>
      </c>
      <c r="K14" s="15">
        <f>L14</f>
        <v>1744</v>
      </c>
      <c r="L14" s="15">
        <f>872*2</f>
        <v>1744</v>
      </c>
      <c r="M14" s="15">
        <f t="shared" ref="M14" si="10">L14-N14</f>
        <v>1744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6</v>
      </c>
      <c r="Q14" s="40">
        <f t="shared" ref="Q14" si="13">SUM(R14:AA14)</f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0.25</v>
      </c>
      <c r="AD14" s="10">
        <f t="shared" ref="AD14" si="16">AC14*AB14*(1-O14)</f>
        <v>0.25</v>
      </c>
      <c r="AE14" s="36">
        <f t="shared" si="8"/>
        <v>0.51388888888888895</v>
      </c>
      <c r="AF14" s="87">
        <f t="shared" ref="AF14" si="17">A14</f>
        <v>8</v>
      </c>
    </row>
    <row r="15" spans="1:32" ht="27" customHeight="1">
      <c r="A15" s="103">
        <v>8</v>
      </c>
      <c r="B15" s="11" t="s">
        <v>57</v>
      </c>
      <c r="C15" s="11" t="s">
        <v>114</v>
      </c>
      <c r="D15" s="52" t="s">
        <v>198</v>
      </c>
      <c r="E15" s="53" t="s">
        <v>187</v>
      </c>
      <c r="F15" s="30" t="s">
        <v>150</v>
      </c>
      <c r="G15" s="33">
        <v>1</v>
      </c>
      <c r="H15" s="35">
        <v>24</v>
      </c>
      <c r="I15" s="7">
        <v>2000</v>
      </c>
      <c r="J15" s="14">
        <v>2068</v>
      </c>
      <c r="K15" s="15">
        <f>L15</f>
        <v>2068</v>
      </c>
      <c r="L15" s="15">
        <v>2068</v>
      </c>
      <c r="M15" s="15">
        <f t="shared" si="1"/>
        <v>2068</v>
      </c>
      <c r="N15" s="15">
        <v>0</v>
      </c>
      <c r="O15" s="58">
        <f t="shared" si="2"/>
        <v>0</v>
      </c>
      <c r="P15" s="39">
        <f t="shared" si="3"/>
        <v>8</v>
      </c>
      <c r="Q15" s="40">
        <f t="shared" si="4"/>
        <v>16</v>
      </c>
      <c r="R15" s="7"/>
      <c r="S15" s="6"/>
      <c r="T15" s="16"/>
      <c r="U15" s="16"/>
      <c r="V15" s="17"/>
      <c r="W15" s="5">
        <v>16</v>
      </c>
      <c r="X15" s="16"/>
      <c r="Y15" s="16"/>
      <c r="Z15" s="16"/>
      <c r="AA15" s="18"/>
      <c r="AB15" s="8">
        <f t="shared" si="5"/>
        <v>1</v>
      </c>
      <c r="AC15" s="9">
        <f t="shared" si="6"/>
        <v>0.33333333333333331</v>
      </c>
      <c r="AD15" s="10">
        <f t="shared" si="7"/>
        <v>0.33333333333333331</v>
      </c>
      <c r="AE15" s="36">
        <f t="shared" si="8"/>
        <v>0.51388888888888895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117</v>
      </c>
      <c r="E16" s="53" t="s">
        <v>140</v>
      </c>
      <c r="F16" s="30" t="s">
        <v>137</v>
      </c>
      <c r="G16" s="33">
        <v>1</v>
      </c>
      <c r="H16" s="35">
        <v>40</v>
      </c>
      <c r="I16" s="7">
        <v>300</v>
      </c>
      <c r="J16" s="5">
        <v>131</v>
      </c>
      <c r="K16" s="15">
        <f>L16+152+364+131</f>
        <v>647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0.51388888888888895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161</v>
      </c>
      <c r="D17" s="52" t="s">
        <v>162</v>
      </c>
      <c r="E17" s="53" t="s">
        <v>163</v>
      </c>
      <c r="F17" s="12" t="s">
        <v>164</v>
      </c>
      <c r="G17" s="12">
        <v>8</v>
      </c>
      <c r="H17" s="13">
        <v>24</v>
      </c>
      <c r="I17" s="31">
        <v>100000</v>
      </c>
      <c r="J17" s="14">
        <v>48846</v>
      </c>
      <c r="K17" s="15">
        <f>L17+39270</f>
        <v>88116</v>
      </c>
      <c r="L17" s="15">
        <f>3243*7+3735*7</f>
        <v>48846</v>
      </c>
      <c r="M17" s="15">
        <f t="shared" si="1"/>
        <v>48846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0.51388888888888895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11" t="s">
        <v>125</v>
      </c>
      <c r="D18" s="52" t="s">
        <v>165</v>
      </c>
      <c r="E18" s="53" t="s">
        <v>152</v>
      </c>
      <c r="F18" s="12" t="s">
        <v>128</v>
      </c>
      <c r="G18" s="12">
        <v>1</v>
      </c>
      <c r="H18" s="13">
        <v>24</v>
      </c>
      <c r="I18" s="7">
        <v>1000</v>
      </c>
      <c r="J18" s="14">
        <v>3517</v>
      </c>
      <c r="K18" s="15">
        <f>L18+3517</f>
        <v>3517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0.51388888888888895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131</v>
      </c>
      <c r="D19" s="52" t="s">
        <v>146</v>
      </c>
      <c r="E19" s="53" t="s">
        <v>130</v>
      </c>
      <c r="F19" s="30" t="s">
        <v>145</v>
      </c>
      <c r="G19" s="33">
        <v>1</v>
      </c>
      <c r="H19" s="35">
        <v>20</v>
      </c>
      <c r="I19" s="7">
        <v>2000</v>
      </c>
      <c r="J19" s="14">
        <v>2183</v>
      </c>
      <c r="K19" s="15">
        <f>L19+2183</f>
        <v>2183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0.51388888888888895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114</v>
      </c>
      <c r="D20" s="52" t="s">
        <v>126</v>
      </c>
      <c r="E20" s="53" t="s">
        <v>199</v>
      </c>
      <c r="F20" s="30" t="s">
        <v>128</v>
      </c>
      <c r="G20" s="33">
        <v>1</v>
      </c>
      <c r="H20" s="35">
        <v>24</v>
      </c>
      <c r="I20" s="7">
        <v>10000</v>
      </c>
      <c r="J20" s="5">
        <v>3523</v>
      </c>
      <c r="K20" s="15">
        <f>L20</f>
        <v>3523</v>
      </c>
      <c r="L20" s="15">
        <f>1507+2016</f>
        <v>3523</v>
      </c>
      <c r="M20" s="15">
        <f t="shared" si="1"/>
        <v>3523</v>
      </c>
      <c r="N20" s="15">
        <v>0</v>
      </c>
      <c r="O20" s="58">
        <f t="shared" si="2"/>
        <v>0</v>
      </c>
      <c r="P20" s="39">
        <f t="shared" si="3"/>
        <v>19</v>
      </c>
      <c r="Q20" s="40">
        <f t="shared" si="4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0.79166666666666663</v>
      </c>
      <c r="AD20" s="10">
        <f>AC20*AB20*(1-O20)</f>
        <v>0.79166666666666663</v>
      </c>
      <c r="AE20" s="36">
        <f t="shared" si="8"/>
        <v>0.51388888888888895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125</v>
      </c>
      <c r="D21" s="52" t="s">
        <v>117</v>
      </c>
      <c r="E21" s="53" t="s">
        <v>144</v>
      </c>
      <c r="F21" s="30" t="s">
        <v>122</v>
      </c>
      <c r="G21" s="33">
        <v>1</v>
      </c>
      <c r="H21" s="35">
        <v>24</v>
      </c>
      <c r="I21" s="7">
        <v>90000</v>
      </c>
      <c r="J21" s="5">
        <v>3796</v>
      </c>
      <c r="K21" s="15">
        <f>L21+4376+4932+3746+2629+4823</f>
        <v>24302</v>
      </c>
      <c r="L21" s="15">
        <f>1050+2746</f>
        <v>3796</v>
      </c>
      <c r="M21" s="15">
        <f t="shared" si="1"/>
        <v>3796</v>
      </c>
      <c r="N21" s="15">
        <v>0</v>
      </c>
      <c r="O21" s="58">
        <f t="shared" si="2"/>
        <v>0</v>
      </c>
      <c r="P21" s="39">
        <f t="shared" si="3"/>
        <v>20</v>
      </c>
      <c r="Q21" s="40">
        <f t="shared" si="4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0.83333333333333337</v>
      </c>
      <c r="AD21" s="10">
        <f t="shared" ref="AD21" si="18">AC21*AB21*(1-O21)</f>
        <v>0.83333333333333337</v>
      </c>
      <c r="AE21" s="36">
        <f t="shared" si="8"/>
        <v>0.51388888888888895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138</v>
      </c>
      <c r="F22" s="12" t="s">
        <v>116</v>
      </c>
      <c r="G22" s="12">
        <v>4</v>
      </c>
      <c r="H22" s="35">
        <v>20</v>
      </c>
      <c r="I22" s="7">
        <v>300000</v>
      </c>
      <c r="J22" s="14">
        <v>44092</v>
      </c>
      <c r="K22" s="15">
        <f>L22+29424+37208</f>
        <v>110724</v>
      </c>
      <c r="L22" s="15">
        <f>11023*4</f>
        <v>44092</v>
      </c>
      <c r="M22" s="15">
        <f t="shared" si="1"/>
        <v>44092</v>
      </c>
      <c r="N22" s="15">
        <v>0</v>
      </c>
      <c r="O22" s="58">
        <f t="shared" si="2"/>
        <v>0</v>
      </c>
      <c r="P22" s="39">
        <f t="shared" si="3"/>
        <v>13</v>
      </c>
      <c r="Q22" s="40">
        <f t="shared" si="4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0.54166666666666663</v>
      </c>
      <c r="AD22" s="10">
        <f t="shared" si="7"/>
        <v>0.54166666666666663</v>
      </c>
      <c r="AE22" s="36">
        <f t="shared" si="8"/>
        <v>0.51388888888888895</v>
      </c>
      <c r="AF22" s="87">
        <f t="shared" si="9"/>
        <v>15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19">SUM(I6:I22)</f>
        <v>650000</v>
      </c>
      <c r="J23" s="19">
        <f t="shared" si="19"/>
        <v>137383</v>
      </c>
      <c r="K23" s="20">
        <f t="shared" si="19"/>
        <v>311629</v>
      </c>
      <c r="L23" s="21">
        <f t="shared" si="19"/>
        <v>126080</v>
      </c>
      <c r="M23" s="20">
        <f t="shared" si="19"/>
        <v>126080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185</v>
      </c>
      <c r="Q23" s="43">
        <f t="shared" si="20"/>
        <v>223</v>
      </c>
      <c r="R23" s="23">
        <f t="shared" si="20"/>
        <v>24</v>
      </c>
      <c r="S23" s="24">
        <f t="shared" si="20"/>
        <v>29</v>
      </c>
      <c r="T23" s="24">
        <f t="shared" si="20"/>
        <v>0</v>
      </c>
      <c r="U23" s="24">
        <f t="shared" si="20"/>
        <v>0</v>
      </c>
      <c r="V23" s="25">
        <f t="shared" si="20"/>
        <v>11</v>
      </c>
      <c r="W23" s="26">
        <f t="shared" si="20"/>
        <v>159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0</v>
      </c>
      <c r="AB23" s="28">
        <f>SUM(AB6:AB22)/15</f>
        <v>0.8</v>
      </c>
      <c r="AC23" s="4">
        <f>SUM(AC6:AC22)/15</f>
        <v>0.51388888888888895</v>
      </c>
      <c r="AD23" s="4">
        <f>SUM(AD6:AD22)/15</f>
        <v>0.51388888888888895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200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204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146" t="s">
        <v>46</v>
      </c>
      <c r="D52" s="146" t="s">
        <v>47</v>
      </c>
      <c r="E52" s="146" t="s">
        <v>108</v>
      </c>
      <c r="F52" s="448" t="s">
        <v>107</v>
      </c>
      <c r="G52" s="448"/>
      <c r="H52" s="448"/>
      <c r="I52" s="448"/>
      <c r="J52" s="448"/>
      <c r="K52" s="448"/>
      <c r="L52" s="448"/>
      <c r="M52" s="449"/>
      <c r="N52" s="67" t="s">
        <v>112</v>
      </c>
      <c r="O52" s="146" t="s">
        <v>46</v>
      </c>
      <c r="P52" s="450" t="s">
        <v>47</v>
      </c>
      <c r="Q52" s="451"/>
      <c r="R52" s="450" t="s">
        <v>38</v>
      </c>
      <c r="S52" s="452"/>
      <c r="T52" s="452"/>
      <c r="U52" s="451"/>
      <c r="V52" s="450" t="s">
        <v>48</v>
      </c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19" t="s">
        <v>114</v>
      </c>
      <c r="B53" s="420"/>
      <c r="C53" s="144" t="s">
        <v>168</v>
      </c>
      <c r="D53" s="144" t="s">
        <v>126</v>
      </c>
      <c r="E53" s="144" t="s">
        <v>186</v>
      </c>
      <c r="F53" s="421" t="s">
        <v>121</v>
      </c>
      <c r="G53" s="422"/>
      <c r="H53" s="422"/>
      <c r="I53" s="422"/>
      <c r="J53" s="422"/>
      <c r="K53" s="422"/>
      <c r="L53" s="422"/>
      <c r="M53" s="423"/>
      <c r="N53" s="143" t="s">
        <v>206</v>
      </c>
      <c r="O53" s="141" t="s">
        <v>207</v>
      </c>
      <c r="P53" s="433" t="s">
        <v>208</v>
      </c>
      <c r="Q53" s="434"/>
      <c r="R53" s="420" t="s">
        <v>205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144" t="s">
        <v>171</v>
      </c>
      <c r="D54" s="144" t="s">
        <v>133</v>
      </c>
      <c r="E54" s="144" t="s">
        <v>194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143" t="s">
        <v>125</v>
      </c>
      <c r="O54" s="141" t="s">
        <v>134</v>
      </c>
      <c r="P54" s="433" t="s">
        <v>195</v>
      </c>
      <c r="Q54" s="434"/>
      <c r="R54" s="420" t="s">
        <v>209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144" t="s">
        <v>201</v>
      </c>
      <c r="D55" s="144" t="s">
        <v>195</v>
      </c>
      <c r="E55" s="144" t="s">
        <v>196</v>
      </c>
      <c r="F55" s="421" t="s">
        <v>202</v>
      </c>
      <c r="G55" s="422"/>
      <c r="H55" s="422"/>
      <c r="I55" s="422"/>
      <c r="J55" s="422"/>
      <c r="K55" s="422"/>
      <c r="L55" s="422"/>
      <c r="M55" s="423"/>
      <c r="N55" s="143" t="s">
        <v>114</v>
      </c>
      <c r="O55" s="141" t="s">
        <v>182</v>
      </c>
      <c r="P55" s="433" t="s">
        <v>154</v>
      </c>
      <c r="Q55" s="434"/>
      <c r="R55" s="420" t="s">
        <v>189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125</v>
      </c>
      <c r="B56" s="420"/>
      <c r="C56" s="144" t="s">
        <v>129</v>
      </c>
      <c r="D56" s="144" t="s">
        <v>117</v>
      </c>
      <c r="E56" s="144" t="s">
        <v>147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143" t="s">
        <v>114</v>
      </c>
      <c r="O56" s="141" t="s">
        <v>132</v>
      </c>
      <c r="P56" s="433" t="s">
        <v>126</v>
      </c>
      <c r="Q56" s="434"/>
      <c r="R56" s="420" t="s">
        <v>188</v>
      </c>
      <c r="S56" s="420"/>
      <c r="T56" s="420"/>
      <c r="U56" s="420"/>
      <c r="V56" s="410" t="s">
        <v>127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125</v>
      </c>
      <c r="B57" s="420"/>
      <c r="C57" s="144" t="s">
        <v>129</v>
      </c>
      <c r="D57" s="144" t="s">
        <v>154</v>
      </c>
      <c r="E57" s="144" t="s">
        <v>155</v>
      </c>
      <c r="F57" s="421" t="s">
        <v>121</v>
      </c>
      <c r="G57" s="422"/>
      <c r="H57" s="422"/>
      <c r="I57" s="422"/>
      <c r="J57" s="422"/>
      <c r="K57" s="422"/>
      <c r="L57" s="422"/>
      <c r="M57" s="423"/>
      <c r="N57" s="143"/>
      <c r="O57" s="141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114</v>
      </c>
      <c r="B58" s="420"/>
      <c r="C58" s="144" t="s">
        <v>129</v>
      </c>
      <c r="D58" s="144" t="s">
        <v>198</v>
      </c>
      <c r="E58" s="144" t="s">
        <v>187</v>
      </c>
      <c r="F58" s="421" t="s">
        <v>121</v>
      </c>
      <c r="G58" s="422"/>
      <c r="H58" s="422"/>
      <c r="I58" s="422"/>
      <c r="J58" s="422"/>
      <c r="K58" s="422"/>
      <c r="L58" s="422"/>
      <c r="M58" s="423"/>
      <c r="N58" s="143"/>
      <c r="O58" s="141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114</v>
      </c>
      <c r="B59" s="420"/>
      <c r="C59" s="144" t="s">
        <v>132</v>
      </c>
      <c r="D59" s="144" t="s">
        <v>126</v>
      </c>
      <c r="E59" s="144" t="s">
        <v>188</v>
      </c>
      <c r="F59" s="421" t="s">
        <v>203</v>
      </c>
      <c r="G59" s="422"/>
      <c r="H59" s="422"/>
      <c r="I59" s="422"/>
      <c r="J59" s="422"/>
      <c r="K59" s="422"/>
      <c r="L59" s="422"/>
      <c r="M59" s="423"/>
      <c r="N59" s="143"/>
      <c r="O59" s="141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144"/>
      <c r="D60" s="144"/>
      <c r="E60" s="144"/>
      <c r="F60" s="421"/>
      <c r="G60" s="422"/>
      <c r="H60" s="422"/>
      <c r="I60" s="422"/>
      <c r="J60" s="422"/>
      <c r="K60" s="422"/>
      <c r="L60" s="422"/>
      <c r="M60" s="423"/>
      <c r="N60" s="143"/>
      <c r="O60" s="141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144"/>
      <c r="D61" s="144"/>
      <c r="E61" s="144"/>
      <c r="F61" s="421"/>
      <c r="G61" s="422"/>
      <c r="H61" s="422"/>
      <c r="I61" s="422"/>
      <c r="J61" s="422"/>
      <c r="K61" s="422"/>
      <c r="L61" s="422"/>
      <c r="M61" s="423"/>
      <c r="N61" s="143"/>
      <c r="O61" s="141"/>
      <c r="P61" s="420"/>
      <c r="Q61" s="420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  <c r="AF61" s="87">
        <f>8*3000</f>
        <v>24000</v>
      </c>
    </row>
    <row r="62" spans="1:32" ht="27" customHeight="1" thickBot="1">
      <c r="A62" s="425"/>
      <c r="B62" s="426"/>
      <c r="C62" s="145"/>
      <c r="D62" s="145"/>
      <c r="E62" s="145"/>
      <c r="F62" s="427"/>
      <c r="G62" s="428"/>
      <c r="H62" s="428"/>
      <c r="I62" s="428"/>
      <c r="J62" s="428"/>
      <c r="K62" s="428"/>
      <c r="L62" s="428"/>
      <c r="M62" s="429"/>
      <c r="N62" s="124"/>
      <c r="O62" s="114"/>
      <c r="P62" s="430"/>
      <c r="Q62" s="430"/>
      <c r="R62" s="430"/>
      <c r="S62" s="430"/>
      <c r="T62" s="430"/>
      <c r="U62" s="430"/>
      <c r="V62" s="431"/>
      <c r="W62" s="431"/>
      <c r="X62" s="431"/>
      <c r="Y62" s="431"/>
      <c r="Z62" s="431"/>
      <c r="AA62" s="431"/>
      <c r="AB62" s="431"/>
      <c r="AC62" s="431"/>
      <c r="AD62" s="432"/>
      <c r="AF62" s="87">
        <f>16*3000</f>
        <v>48000</v>
      </c>
    </row>
    <row r="63" spans="1:32" ht="27.75" thickBot="1">
      <c r="A63" s="417" t="s">
        <v>212</v>
      </c>
      <c r="B63" s="417"/>
      <c r="C63" s="417"/>
      <c r="D63" s="417"/>
      <c r="E63" s="41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8" t="s">
        <v>113</v>
      </c>
      <c r="B64" s="415"/>
      <c r="C64" s="142" t="s">
        <v>2</v>
      </c>
      <c r="D64" s="142" t="s">
        <v>37</v>
      </c>
      <c r="E64" s="142" t="s">
        <v>3</v>
      </c>
      <c r="F64" s="415" t="s">
        <v>110</v>
      </c>
      <c r="G64" s="415"/>
      <c r="H64" s="415"/>
      <c r="I64" s="415"/>
      <c r="J64" s="415"/>
      <c r="K64" s="415" t="s">
        <v>39</v>
      </c>
      <c r="L64" s="415"/>
      <c r="M64" s="142" t="s">
        <v>40</v>
      </c>
      <c r="N64" s="415" t="s">
        <v>41</v>
      </c>
      <c r="O64" s="415"/>
      <c r="P64" s="412" t="s">
        <v>42</v>
      </c>
      <c r="Q64" s="414"/>
      <c r="R64" s="412" t="s">
        <v>43</v>
      </c>
      <c r="S64" s="413"/>
      <c r="T64" s="413"/>
      <c r="U64" s="413"/>
      <c r="V64" s="413"/>
      <c r="W64" s="413"/>
      <c r="X64" s="413"/>
      <c r="Y64" s="413"/>
      <c r="Z64" s="413"/>
      <c r="AA64" s="414"/>
      <c r="AB64" s="415" t="s">
        <v>44</v>
      </c>
      <c r="AC64" s="415"/>
      <c r="AD64" s="416"/>
      <c r="AF64" s="87">
        <f>SUM(AF61:AF63)</f>
        <v>96000</v>
      </c>
    </row>
    <row r="65" spans="1:32" ht="25.5" customHeight="1">
      <c r="A65" s="406">
        <v>1</v>
      </c>
      <c r="B65" s="407"/>
      <c r="C65" s="117" t="s">
        <v>114</v>
      </c>
      <c r="D65" s="137"/>
      <c r="E65" s="140" t="s">
        <v>154</v>
      </c>
      <c r="F65" s="408" t="s">
        <v>210</v>
      </c>
      <c r="G65" s="400"/>
      <c r="H65" s="400"/>
      <c r="I65" s="400"/>
      <c r="J65" s="400"/>
      <c r="K65" s="400" t="s">
        <v>135</v>
      </c>
      <c r="L65" s="400"/>
      <c r="M65" s="51" t="s">
        <v>136</v>
      </c>
      <c r="N65" s="411" t="s">
        <v>171</v>
      </c>
      <c r="O65" s="411"/>
      <c r="P65" s="409"/>
      <c r="Q65" s="409"/>
      <c r="R65" s="410" t="s">
        <v>211</v>
      </c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2</v>
      </c>
      <c r="B66" s="407"/>
      <c r="C66" s="117"/>
      <c r="D66" s="137"/>
      <c r="E66" s="140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3</v>
      </c>
      <c r="B67" s="407"/>
      <c r="C67" s="117"/>
      <c r="D67" s="137"/>
      <c r="E67" s="140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4</v>
      </c>
      <c r="B68" s="407"/>
      <c r="C68" s="117"/>
      <c r="D68" s="137"/>
      <c r="E68" s="140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5</v>
      </c>
      <c r="B69" s="407"/>
      <c r="C69" s="117"/>
      <c r="D69" s="137"/>
      <c r="E69" s="140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6</v>
      </c>
      <c r="B70" s="407"/>
      <c r="C70" s="117"/>
      <c r="D70" s="137"/>
      <c r="E70" s="140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7</v>
      </c>
      <c r="B71" s="407"/>
      <c r="C71" s="117"/>
      <c r="D71" s="137"/>
      <c r="E71" s="140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8</v>
      </c>
      <c r="B72" s="407"/>
      <c r="C72" s="117"/>
      <c r="D72" s="137"/>
      <c r="E72" s="140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6.25" customHeight="1" thickBot="1">
      <c r="A73" s="380" t="s">
        <v>213</v>
      </c>
      <c r="B73" s="380"/>
      <c r="C73" s="380"/>
      <c r="D73" s="380"/>
      <c r="E73" s="38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81" t="s">
        <v>113</v>
      </c>
      <c r="B74" s="382"/>
      <c r="C74" s="139" t="s">
        <v>2</v>
      </c>
      <c r="D74" s="139" t="s">
        <v>37</v>
      </c>
      <c r="E74" s="139" t="s">
        <v>3</v>
      </c>
      <c r="F74" s="382" t="s">
        <v>38</v>
      </c>
      <c r="G74" s="382"/>
      <c r="H74" s="382"/>
      <c r="I74" s="382"/>
      <c r="J74" s="382"/>
      <c r="K74" s="402" t="s">
        <v>58</v>
      </c>
      <c r="L74" s="403"/>
      <c r="M74" s="403"/>
      <c r="N74" s="403"/>
      <c r="O74" s="403"/>
      <c r="P74" s="403"/>
      <c r="Q74" s="403"/>
      <c r="R74" s="403"/>
      <c r="S74" s="404"/>
      <c r="T74" s="382" t="s">
        <v>49</v>
      </c>
      <c r="U74" s="382"/>
      <c r="V74" s="402" t="s">
        <v>50</v>
      </c>
      <c r="W74" s="404"/>
      <c r="X74" s="403" t="s">
        <v>51</v>
      </c>
      <c r="Y74" s="403"/>
      <c r="Z74" s="403"/>
      <c r="AA74" s="403"/>
      <c r="AB74" s="403"/>
      <c r="AC74" s="403"/>
      <c r="AD74" s="405"/>
      <c r="AF74" s="50"/>
    </row>
    <row r="75" spans="1:32" ht="33.75" customHeight="1">
      <c r="A75" s="374">
        <v>1</v>
      </c>
      <c r="B75" s="375"/>
      <c r="C75" s="138" t="s">
        <v>114</v>
      </c>
      <c r="D75" s="138"/>
      <c r="E75" s="65" t="s">
        <v>119</v>
      </c>
      <c r="F75" s="389" t="s">
        <v>118</v>
      </c>
      <c r="G75" s="390"/>
      <c r="H75" s="390"/>
      <c r="I75" s="390"/>
      <c r="J75" s="391"/>
      <c r="K75" s="392" t="s">
        <v>120</v>
      </c>
      <c r="L75" s="393"/>
      <c r="M75" s="393"/>
      <c r="N75" s="393"/>
      <c r="O75" s="393"/>
      <c r="P75" s="393"/>
      <c r="Q75" s="393"/>
      <c r="R75" s="393"/>
      <c r="S75" s="394"/>
      <c r="T75" s="395">
        <v>43384</v>
      </c>
      <c r="U75" s="396"/>
      <c r="V75" s="397"/>
      <c r="W75" s="397"/>
      <c r="X75" s="398"/>
      <c r="Y75" s="398"/>
      <c r="Z75" s="398"/>
      <c r="AA75" s="398"/>
      <c r="AB75" s="398"/>
      <c r="AC75" s="398"/>
      <c r="AD75" s="399"/>
      <c r="AF75" s="50"/>
    </row>
    <row r="76" spans="1:32" ht="30" customHeight="1">
      <c r="A76" s="367">
        <f>A75+1</f>
        <v>2</v>
      </c>
      <c r="B76" s="368"/>
      <c r="C76" s="137"/>
      <c r="D76" s="137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ref="A77:A83" si="21">A76+1</f>
        <v>3</v>
      </c>
      <c r="B77" s="368"/>
      <c r="C77" s="137"/>
      <c r="D77" s="13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1"/>
        <v>4</v>
      </c>
      <c r="B78" s="368"/>
      <c r="C78" s="137"/>
      <c r="D78" s="13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1"/>
        <v>5</v>
      </c>
      <c r="B79" s="368"/>
      <c r="C79" s="137"/>
      <c r="D79" s="13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1"/>
        <v>6</v>
      </c>
      <c r="B80" s="368"/>
      <c r="C80" s="137"/>
      <c r="D80" s="13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1"/>
        <v>7</v>
      </c>
      <c r="B81" s="368"/>
      <c r="C81" s="137"/>
      <c r="D81" s="13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1"/>
        <v>8</v>
      </c>
      <c r="B82" s="368"/>
      <c r="C82" s="137"/>
      <c r="D82" s="137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1"/>
        <v>9</v>
      </c>
      <c r="B83" s="368"/>
      <c r="C83" s="137"/>
      <c r="D83" s="137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6" thickBot="1">
      <c r="A84" s="380" t="s">
        <v>214</v>
      </c>
      <c r="B84" s="380"/>
      <c r="C84" s="380"/>
      <c r="D84" s="380"/>
      <c r="E84" s="380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81" t="s">
        <v>113</v>
      </c>
      <c r="B85" s="382"/>
      <c r="C85" s="372" t="s">
        <v>52</v>
      </c>
      <c r="D85" s="372"/>
      <c r="E85" s="372" t="s">
        <v>53</v>
      </c>
      <c r="F85" s="372"/>
      <c r="G85" s="372"/>
      <c r="H85" s="372"/>
      <c r="I85" s="372"/>
      <c r="J85" s="372"/>
      <c r="K85" s="372" t="s">
        <v>54</v>
      </c>
      <c r="L85" s="372"/>
      <c r="M85" s="372"/>
      <c r="N85" s="372"/>
      <c r="O85" s="372"/>
      <c r="P85" s="372"/>
      <c r="Q85" s="372"/>
      <c r="R85" s="372"/>
      <c r="S85" s="372"/>
      <c r="T85" s="372" t="s">
        <v>55</v>
      </c>
      <c r="U85" s="372"/>
      <c r="V85" s="372" t="s">
        <v>56</v>
      </c>
      <c r="W85" s="372"/>
      <c r="X85" s="372"/>
      <c r="Y85" s="372" t="s">
        <v>51</v>
      </c>
      <c r="Z85" s="372"/>
      <c r="AA85" s="372"/>
      <c r="AB85" s="372"/>
      <c r="AC85" s="372"/>
      <c r="AD85" s="373"/>
      <c r="AF85" s="50"/>
    </row>
    <row r="86" spans="1:32" ht="30.75" customHeight="1">
      <c r="A86" s="374">
        <v>1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7"/>
      <c r="W86" s="377"/>
      <c r="X86" s="377"/>
      <c r="Y86" s="378"/>
      <c r="Z86" s="378"/>
      <c r="AA86" s="378"/>
      <c r="AB86" s="378"/>
      <c r="AC86" s="378"/>
      <c r="AD86" s="379"/>
      <c r="AF86" s="50"/>
    </row>
    <row r="87" spans="1:32" ht="30.75" customHeight="1">
      <c r="A87" s="367">
        <v>2</v>
      </c>
      <c r="B87" s="368"/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70"/>
      <c r="U87" s="370"/>
      <c r="V87" s="371"/>
      <c r="W87" s="371"/>
      <c r="X87" s="371"/>
      <c r="Y87" s="360"/>
      <c r="Z87" s="360"/>
      <c r="AA87" s="360"/>
      <c r="AB87" s="360"/>
      <c r="AC87" s="360"/>
      <c r="AD87" s="361"/>
      <c r="AF87" s="50"/>
    </row>
    <row r="88" spans="1:32" ht="30.75" customHeight="1" thickBot="1">
      <c r="A88" s="362">
        <v>3</v>
      </c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5"/>
      <c r="Z88" s="365"/>
      <c r="AA88" s="365"/>
      <c r="AB88" s="365"/>
      <c r="AC88" s="365"/>
      <c r="AD88" s="366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F9B8-B836-4566-B7D4-9651153AFE6A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215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0.60833333333333328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4193</v>
      </c>
      <c r="K7" s="15">
        <f>L7</f>
        <v>4193</v>
      </c>
      <c r="L7" s="15">
        <f>1405+2788</f>
        <v>4193</v>
      </c>
      <c r="M7" s="15">
        <f t="shared" si="1"/>
        <v>4193</v>
      </c>
      <c r="N7" s="15">
        <v>0</v>
      </c>
      <c r="O7" s="58">
        <f t="shared" si="2"/>
        <v>0</v>
      </c>
      <c r="P7" s="39">
        <f t="shared" si="3"/>
        <v>20</v>
      </c>
      <c r="Q7" s="40">
        <f t="shared" si="4"/>
        <v>4</v>
      </c>
      <c r="R7" s="7"/>
      <c r="S7" s="6">
        <v>4</v>
      </c>
      <c r="T7" s="16"/>
      <c r="U7" s="16"/>
      <c r="V7" s="17"/>
      <c r="W7" s="5"/>
      <c r="X7" s="16"/>
      <c r="Y7" s="16"/>
      <c r="Z7" s="16"/>
      <c r="AA7" s="18"/>
      <c r="AB7" s="8">
        <f t="shared" si="5"/>
        <v>1</v>
      </c>
      <c r="AC7" s="9">
        <f t="shared" si="6"/>
        <v>0.83333333333333337</v>
      </c>
      <c r="AD7" s="10">
        <f t="shared" si="7"/>
        <v>0.83333333333333337</v>
      </c>
      <c r="AE7" s="36">
        <f t="shared" si="8"/>
        <v>0.60833333333333328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5748</v>
      </c>
      <c r="K8" s="15">
        <f>L8+3759+5540+5479+2152+4687+4572+4460+5472+5734</f>
        <v>47603</v>
      </c>
      <c r="L8" s="15">
        <f>3105+2643</f>
        <v>5748</v>
      </c>
      <c r="M8" s="15">
        <f t="shared" si="1"/>
        <v>5748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0.60833333333333328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5656</v>
      </c>
      <c r="K9" s="15">
        <f>L9+5189</f>
        <v>10845</v>
      </c>
      <c r="L9" s="15">
        <f>3062+2594</f>
        <v>5656</v>
      </c>
      <c r="M9" s="15">
        <f t="shared" si="1"/>
        <v>5656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0.60833333333333328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133</v>
      </c>
      <c r="E10" s="53" t="s">
        <v>194</v>
      </c>
      <c r="F10" s="30" t="s">
        <v>135</v>
      </c>
      <c r="G10" s="33">
        <v>1</v>
      </c>
      <c r="H10" s="35">
        <v>24</v>
      </c>
      <c r="I10" s="7">
        <v>2000</v>
      </c>
      <c r="J10" s="5">
        <v>2406</v>
      </c>
      <c r="K10" s="15">
        <f>L10+2406</f>
        <v>2406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0.60833333333333328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196</v>
      </c>
      <c r="F11" s="30" t="s">
        <v>150</v>
      </c>
      <c r="G11" s="33">
        <v>1</v>
      </c>
      <c r="H11" s="35">
        <v>20</v>
      </c>
      <c r="I11" s="7">
        <v>3200</v>
      </c>
      <c r="J11" s="14">
        <v>308</v>
      </c>
      <c r="K11" s="15">
        <f>L11+2317</f>
        <v>2625</v>
      </c>
      <c r="L11" s="15">
        <v>308</v>
      </c>
      <c r="M11" s="15">
        <f t="shared" si="1"/>
        <v>308</v>
      </c>
      <c r="N11" s="15">
        <v>0</v>
      </c>
      <c r="O11" s="58">
        <f t="shared" si="2"/>
        <v>0</v>
      </c>
      <c r="P11" s="39">
        <f t="shared" si="3"/>
        <v>3</v>
      </c>
      <c r="Q11" s="40">
        <f t="shared" si="4"/>
        <v>21</v>
      </c>
      <c r="R11" s="7"/>
      <c r="S11" s="6">
        <v>21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0.125</v>
      </c>
      <c r="AD11" s="10">
        <f t="shared" si="7"/>
        <v>0.125</v>
      </c>
      <c r="AE11" s="36">
        <f t="shared" si="8"/>
        <v>0.60833333333333328</v>
      </c>
      <c r="AF11" s="87">
        <f t="shared" si="9"/>
        <v>6</v>
      </c>
    </row>
    <row r="12" spans="1:32" ht="27" customHeight="1">
      <c r="A12" s="103">
        <v>6</v>
      </c>
      <c r="B12" s="11" t="s">
        <v>57</v>
      </c>
      <c r="C12" s="11" t="s">
        <v>125</v>
      </c>
      <c r="D12" s="52" t="s">
        <v>195</v>
      </c>
      <c r="E12" s="53" t="s">
        <v>209</v>
      </c>
      <c r="F12" s="30" t="s">
        <v>150</v>
      </c>
      <c r="G12" s="33">
        <v>1</v>
      </c>
      <c r="H12" s="35">
        <v>20</v>
      </c>
      <c r="I12" s="7">
        <v>10000</v>
      </c>
      <c r="J12" s="14">
        <v>2922</v>
      </c>
      <c r="K12" s="15">
        <f>L12</f>
        <v>2922</v>
      </c>
      <c r="L12" s="15">
        <f>2922</f>
        <v>2922</v>
      </c>
      <c r="M12" s="15">
        <f t="shared" ref="M12" si="10">L12-N12</f>
        <v>2922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17</v>
      </c>
      <c r="Q12" s="40">
        <f t="shared" ref="Q12" si="13">SUM(R12:AA12)</f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0.70833333333333337</v>
      </c>
      <c r="AD12" s="10">
        <f t="shared" ref="AD12" si="16">AC12*AB12*(1-O12)</f>
        <v>0.70833333333333337</v>
      </c>
      <c r="AE12" s="36">
        <f t="shared" si="8"/>
        <v>0.60833333333333328</v>
      </c>
      <c r="AF12" s="87">
        <f t="shared" ref="AF12" si="17">A12</f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119</v>
      </c>
      <c r="E13" s="53" t="s">
        <v>118</v>
      </c>
      <c r="F13" s="30" t="s">
        <v>122</v>
      </c>
      <c r="G13" s="33">
        <v>1</v>
      </c>
      <c r="H13" s="35">
        <v>20</v>
      </c>
      <c r="I13" s="7">
        <v>10000</v>
      </c>
      <c r="J13" s="14">
        <v>5304</v>
      </c>
      <c r="K13" s="15">
        <f>L13+2962+5364</f>
        <v>13630</v>
      </c>
      <c r="L13" s="15">
        <f>2475+2829</f>
        <v>5304</v>
      </c>
      <c r="M13" s="15">
        <f t="shared" si="1"/>
        <v>5304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0.60833333333333328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206</v>
      </c>
      <c r="D14" s="52" t="s">
        <v>216</v>
      </c>
      <c r="E14" s="53" t="s">
        <v>217</v>
      </c>
      <c r="F14" s="30" t="s">
        <v>218</v>
      </c>
      <c r="G14" s="33">
        <v>1</v>
      </c>
      <c r="H14" s="35">
        <v>24</v>
      </c>
      <c r="I14" s="7">
        <v>2000</v>
      </c>
      <c r="J14" s="14">
        <v>2099</v>
      </c>
      <c r="K14" s="15">
        <f>L14</f>
        <v>2099</v>
      </c>
      <c r="L14" s="15">
        <f>2099</f>
        <v>2099</v>
      </c>
      <c r="M14" s="15">
        <f t="shared" si="1"/>
        <v>2099</v>
      </c>
      <c r="N14" s="15">
        <v>0</v>
      </c>
      <c r="O14" s="58">
        <f t="shared" si="2"/>
        <v>0</v>
      </c>
      <c r="P14" s="39">
        <f t="shared" si="3"/>
        <v>14</v>
      </c>
      <c r="Q14" s="40">
        <f t="shared" si="4"/>
        <v>10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10</v>
      </c>
      <c r="AB14" s="8">
        <f t="shared" si="5"/>
        <v>1</v>
      </c>
      <c r="AC14" s="9">
        <f t="shared" si="6"/>
        <v>0.58333333333333337</v>
      </c>
      <c r="AD14" s="10">
        <f t="shared" si="7"/>
        <v>0.58333333333333337</v>
      </c>
      <c r="AE14" s="36">
        <f t="shared" si="8"/>
        <v>0.60833333333333328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140</v>
      </c>
      <c r="F15" s="30" t="s">
        <v>137</v>
      </c>
      <c r="G15" s="33">
        <v>1</v>
      </c>
      <c r="H15" s="35">
        <v>40</v>
      </c>
      <c r="I15" s="7">
        <v>300</v>
      </c>
      <c r="J15" s="5">
        <v>131</v>
      </c>
      <c r="K15" s="15">
        <f>L15+152+364+131</f>
        <v>647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0.60833333333333328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161</v>
      </c>
      <c r="D16" s="52" t="s">
        <v>162</v>
      </c>
      <c r="E16" s="53" t="s">
        <v>163</v>
      </c>
      <c r="F16" s="12" t="s">
        <v>164</v>
      </c>
      <c r="G16" s="12">
        <v>8</v>
      </c>
      <c r="H16" s="13">
        <v>24</v>
      </c>
      <c r="I16" s="31">
        <v>100000</v>
      </c>
      <c r="J16" s="14">
        <v>41682</v>
      </c>
      <c r="K16" s="15">
        <f>L16+39270+48846</f>
        <v>129798</v>
      </c>
      <c r="L16" s="15">
        <f>3182*6+3765*6</f>
        <v>41682</v>
      </c>
      <c r="M16" s="15">
        <f t="shared" si="1"/>
        <v>41682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0.60833333333333328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114</v>
      </c>
      <c r="D17" s="52" t="s">
        <v>219</v>
      </c>
      <c r="E17" s="53" t="s">
        <v>189</v>
      </c>
      <c r="F17" s="12" t="s">
        <v>135</v>
      </c>
      <c r="G17" s="12">
        <v>1</v>
      </c>
      <c r="H17" s="13">
        <v>24</v>
      </c>
      <c r="I17" s="7">
        <v>4000</v>
      </c>
      <c r="J17" s="14">
        <v>4968</v>
      </c>
      <c r="K17" s="15">
        <f>L17</f>
        <v>4968</v>
      </c>
      <c r="L17" s="15">
        <f>1092*2+1392*2</f>
        <v>4968</v>
      </c>
      <c r="M17" s="15">
        <f t="shared" si="1"/>
        <v>4968</v>
      </c>
      <c r="N17" s="15">
        <v>0</v>
      </c>
      <c r="O17" s="58">
        <f t="shared" si="2"/>
        <v>0</v>
      </c>
      <c r="P17" s="39">
        <f t="shared" si="3"/>
        <v>18</v>
      </c>
      <c r="Q17" s="40">
        <f t="shared" si="4"/>
        <v>6</v>
      </c>
      <c r="R17" s="7"/>
      <c r="S17" s="6">
        <v>6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0.75</v>
      </c>
      <c r="AD17" s="10">
        <f t="shared" si="7"/>
        <v>0.75</v>
      </c>
      <c r="AE17" s="36">
        <f t="shared" si="8"/>
        <v>0.60833333333333328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220</v>
      </c>
      <c r="D18" s="52"/>
      <c r="E18" s="53" t="s">
        <v>221</v>
      </c>
      <c r="F18" s="30" t="s">
        <v>222</v>
      </c>
      <c r="G18" s="33">
        <v>1</v>
      </c>
      <c r="H18" s="35">
        <v>20</v>
      </c>
      <c r="I18" s="7">
        <v>500</v>
      </c>
      <c r="J18" s="14">
        <v>1052</v>
      </c>
      <c r="K18" s="15">
        <f>L18</f>
        <v>1052</v>
      </c>
      <c r="L18" s="15">
        <f>1052</f>
        <v>1052</v>
      </c>
      <c r="M18" s="15">
        <f t="shared" si="1"/>
        <v>1052</v>
      </c>
      <c r="N18" s="15">
        <v>0</v>
      </c>
      <c r="O18" s="58">
        <f t="shared" si="2"/>
        <v>0</v>
      </c>
      <c r="P18" s="39">
        <f t="shared" si="3"/>
        <v>6</v>
      </c>
      <c r="Q18" s="40">
        <f t="shared" si="4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5"/>
        <v>1</v>
      </c>
      <c r="AC18" s="9">
        <f t="shared" si="6"/>
        <v>0.25</v>
      </c>
      <c r="AD18" s="10">
        <f t="shared" si="7"/>
        <v>0.25</v>
      </c>
      <c r="AE18" s="36">
        <f t="shared" si="8"/>
        <v>0.60833333333333328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126</v>
      </c>
      <c r="E19" s="53" t="s">
        <v>199</v>
      </c>
      <c r="F19" s="30" t="s">
        <v>128</v>
      </c>
      <c r="G19" s="33">
        <v>1</v>
      </c>
      <c r="H19" s="35">
        <v>24</v>
      </c>
      <c r="I19" s="7">
        <v>10000</v>
      </c>
      <c r="J19" s="5">
        <v>1963</v>
      </c>
      <c r="K19" s="15">
        <f>L19+3523</f>
        <v>5486</v>
      </c>
      <c r="L19" s="15">
        <f>1164+799</f>
        <v>1963</v>
      </c>
      <c r="M19" s="15">
        <f t="shared" si="1"/>
        <v>1963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>
        <v>14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>AC19*AB19*(1-O19)</f>
        <v>0.41666666666666669</v>
      </c>
      <c r="AE19" s="36">
        <f t="shared" si="8"/>
        <v>0.60833333333333328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144</v>
      </c>
      <c r="F20" s="30" t="s">
        <v>122</v>
      </c>
      <c r="G20" s="33">
        <v>1</v>
      </c>
      <c r="H20" s="35">
        <v>24</v>
      </c>
      <c r="I20" s="7">
        <v>90000</v>
      </c>
      <c r="J20" s="5">
        <v>4027</v>
      </c>
      <c r="K20" s="15">
        <f>L20+4376+4932+3746+2629+4823+3796</f>
        <v>28329</v>
      </c>
      <c r="L20" s="15">
        <f>2377+1650</f>
        <v>4027</v>
      </c>
      <c r="M20" s="15">
        <f t="shared" si="1"/>
        <v>4027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ref="AD20" si="18">AC20*AB20*(1-O20)</f>
        <v>0.91666666666666663</v>
      </c>
      <c r="AE20" s="36">
        <f t="shared" si="8"/>
        <v>0.60833333333333328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138</v>
      </c>
      <c r="F21" s="12" t="s">
        <v>116</v>
      </c>
      <c r="G21" s="12">
        <v>4</v>
      </c>
      <c r="H21" s="35">
        <v>20</v>
      </c>
      <c r="I21" s="7">
        <v>300000</v>
      </c>
      <c r="J21" s="14">
        <v>42392</v>
      </c>
      <c r="K21" s="15">
        <f>L21+29424+37208+44092</f>
        <v>153116</v>
      </c>
      <c r="L21" s="15">
        <f>10598*4</f>
        <v>42392</v>
      </c>
      <c r="M21" s="15">
        <f t="shared" si="1"/>
        <v>42392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 t="shared" si="8"/>
        <v>0.60833333333333328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9">SUM(I6:I21)</f>
        <v>678000</v>
      </c>
      <c r="J22" s="19">
        <f t="shared" si="19"/>
        <v>124851</v>
      </c>
      <c r="K22" s="20">
        <f t="shared" si="19"/>
        <v>409719</v>
      </c>
      <c r="L22" s="21">
        <f t="shared" si="19"/>
        <v>122314</v>
      </c>
      <c r="M22" s="20">
        <f t="shared" si="19"/>
        <v>122314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219</v>
      </c>
      <c r="Q22" s="43">
        <f t="shared" si="20"/>
        <v>165</v>
      </c>
      <c r="R22" s="23">
        <f t="shared" si="20"/>
        <v>24</v>
      </c>
      <c r="S22" s="24">
        <f t="shared" si="20"/>
        <v>54</v>
      </c>
      <c r="T22" s="24">
        <f t="shared" si="20"/>
        <v>0</v>
      </c>
      <c r="U22" s="24">
        <f t="shared" si="20"/>
        <v>0</v>
      </c>
      <c r="V22" s="25">
        <f t="shared" si="20"/>
        <v>11</v>
      </c>
      <c r="W22" s="26">
        <f t="shared" si="20"/>
        <v>66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10</v>
      </c>
      <c r="AB22" s="28">
        <f>SUM(AB6:AB21)/15</f>
        <v>0.8666666666666667</v>
      </c>
      <c r="AC22" s="4">
        <f>SUM(AC6:AC21)/15</f>
        <v>0.60833333333333328</v>
      </c>
      <c r="AD22" s="4">
        <f>SUM(AD6:AD21)/15</f>
        <v>0.60833333333333328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223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231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49" t="s">
        <v>46</v>
      </c>
      <c r="D51" s="149" t="s">
        <v>47</v>
      </c>
      <c r="E51" s="149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149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206</v>
      </c>
      <c r="B52" s="420"/>
      <c r="C52" s="151" t="s">
        <v>207</v>
      </c>
      <c r="D52" s="151"/>
      <c r="E52" s="151" t="s">
        <v>208</v>
      </c>
      <c r="F52" s="421" t="s">
        <v>224</v>
      </c>
      <c r="G52" s="422"/>
      <c r="H52" s="422"/>
      <c r="I52" s="422"/>
      <c r="J52" s="422"/>
      <c r="K52" s="422"/>
      <c r="L52" s="422"/>
      <c r="M52" s="423"/>
      <c r="N52" s="150" t="s">
        <v>114</v>
      </c>
      <c r="O52" s="155" t="s">
        <v>168</v>
      </c>
      <c r="P52" s="433" t="s">
        <v>126</v>
      </c>
      <c r="Q52" s="434"/>
      <c r="R52" s="420" t="s">
        <v>186</v>
      </c>
      <c r="S52" s="420"/>
      <c r="T52" s="420"/>
      <c r="U52" s="420"/>
      <c r="V52" s="410" t="s">
        <v>232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151" t="s">
        <v>201</v>
      </c>
      <c r="D53" s="151" t="s">
        <v>195</v>
      </c>
      <c r="E53" s="151" t="s">
        <v>209</v>
      </c>
      <c r="F53" s="421" t="s">
        <v>225</v>
      </c>
      <c r="G53" s="422"/>
      <c r="H53" s="422"/>
      <c r="I53" s="422"/>
      <c r="J53" s="422"/>
      <c r="K53" s="422"/>
      <c r="L53" s="422"/>
      <c r="M53" s="423"/>
      <c r="N53" s="150" t="s">
        <v>114</v>
      </c>
      <c r="O53" s="155" t="s">
        <v>134</v>
      </c>
      <c r="P53" s="433" t="s">
        <v>117</v>
      </c>
      <c r="Q53" s="434"/>
      <c r="R53" s="420" t="s">
        <v>118</v>
      </c>
      <c r="S53" s="420"/>
      <c r="T53" s="420"/>
      <c r="U53" s="420"/>
      <c r="V53" s="410" t="s">
        <v>232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206</v>
      </c>
      <c r="B54" s="420"/>
      <c r="C54" s="151" t="s">
        <v>129</v>
      </c>
      <c r="D54" s="151" t="s">
        <v>216</v>
      </c>
      <c r="E54" s="151" t="s">
        <v>226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150" t="s">
        <v>114</v>
      </c>
      <c r="O54" s="155" t="s">
        <v>132</v>
      </c>
      <c r="P54" s="433" t="s">
        <v>126</v>
      </c>
      <c r="Q54" s="434"/>
      <c r="R54" s="420" t="s">
        <v>188</v>
      </c>
      <c r="S54" s="420"/>
      <c r="T54" s="420"/>
      <c r="U54" s="420"/>
      <c r="V54" s="410" t="s">
        <v>232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151" t="s">
        <v>182</v>
      </c>
      <c r="D55" s="151" t="s">
        <v>227</v>
      </c>
      <c r="E55" s="151" t="s">
        <v>189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150"/>
      <c r="O55" s="155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220</v>
      </c>
      <c r="B56" s="420"/>
      <c r="C56" s="151" t="s">
        <v>228</v>
      </c>
      <c r="D56" s="151"/>
      <c r="E56" s="151" t="s">
        <v>221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150"/>
      <c r="O56" s="155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151" t="s">
        <v>132</v>
      </c>
      <c r="D57" s="151" t="s">
        <v>126</v>
      </c>
      <c r="E57" s="151" t="s">
        <v>188</v>
      </c>
      <c r="F57" s="421" t="s">
        <v>229</v>
      </c>
      <c r="G57" s="422"/>
      <c r="H57" s="422"/>
      <c r="I57" s="422"/>
      <c r="J57" s="422"/>
      <c r="K57" s="422"/>
      <c r="L57" s="422"/>
      <c r="M57" s="423"/>
      <c r="N57" s="150"/>
      <c r="O57" s="15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125</v>
      </c>
      <c r="B58" s="420"/>
      <c r="C58" s="151" t="s">
        <v>230</v>
      </c>
      <c r="D58" s="151" t="s">
        <v>117</v>
      </c>
      <c r="E58" s="151" t="s">
        <v>144</v>
      </c>
      <c r="F58" s="421" t="s">
        <v>127</v>
      </c>
      <c r="G58" s="422"/>
      <c r="H58" s="422"/>
      <c r="I58" s="422"/>
      <c r="J58" s="422"/>
      <c r="K58" s="422"/>
      <c r="L58" s="422"/>
      <c r="M58" s="423"/>
      <c r="N58" s="150"/>
      <c r="O58" s="15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51"/>
      <c r="D59" s="151"/>
      <c r="E59" s="151"/>
      <c r="F59" s="421"/>
      <c r="G59" s="422"/>
      <c r="H59" s="422"/>
      <c r="I59" s="422"/>
      <c r="J59" s="422"/>
      <c r="K59" s="422"/>
      <c r="L59" s="422"/>
      <c r="M59" s="423"/>
      <c r="N59" s="150"/>
      <c r="O59" s="155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151"/>
      <c r="D60" s="151"/>
      <c r="E60" s="151"/>
      <c r="F60" s="421"/>
      <c r="G60" s="422"/>
      <c r="H60" s="422"/>
      <c r="I60" s="422"/>
      <c r="J60" s="422"/>
      <c r="K60" s="422"/>
      <c r="L60" s="422"/>
      <c r="M60" s="423"/>
      <c r="N60" s="150"/>
      <c r="O60" s="155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152"/>
      <c r="D61" s="152"/>
      <c r="E61" s="152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233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153" t="s">
        <v>2</v>
      </c>
      <c r="D63" s="153" t="s">
        <v>37</v>
      </c>
      <c r="E63" s="153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153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114</v>
      </c>
      <c r="D64" s="157"/>
      <c r="E64" s="154" t="s">
        <v>154</v>
      </c>
      <c r="F64" s="408" t="s">
        <v>210</v>
      </c>
      <c r="G64" s="400"/>
      <c r="H64" s="400"/>
      <c r="I64" s="400"/>
      <c r="J64" s="400"/>
      <c r="K64" s="400" t="s">
        <v>135</v>
      </c>
      <c r="L64" s="400"/>
      <c r="M64" s="51" t="s">
        <v>136</v>
      </c>
      <c r="N64" s="411" t="s">
        <v>171</v>
      </c>
      <c r="O64" s="411"/>
      <c r="P64" s="409">
        <v>600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114</v>
      </c>
      <c r="D65" s="157"/>
      <c r="E65" s="154" t="s">
        <v>235</v>
      </c>
      <c r="F65" s="408" t="s">
        <v>234</v>
      </c>
      <c r="G65" s="400"/>
      <c r="H65" s="400"/>
      <c r="I65" s="400"/>
      <c r="J65" s="400"/>
      <c r="K65" s="400" t="s">
        <v>236</v>
      </c>
      <c r="L65" s="400"/>
      <c r="M65" s="51" t="s">
        <v>136</v>
      </c>
      <c r="N65" s="411" t="s">
        <v>171</v>
      </c>
      <c r="O65" s="411"/>
      <c r="P65" s="409">
        <v>300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 t="s">
        <v>114</v>
      </c>
      <c r="D66" s="157"/>
      <c r="E66" s="154" t="s">
        <v>151</v>
      </c>
      <c r="F66" s="408" t="s">
        <v>237</v>
      </c>
      <c r="G66" s="400"/>
      <c r="H66" s="400"/>
      <c r="I66" s="400"/>
      <c r="J66" s="400"/>
      <c r="K66" s="400" t="s">
        <v>124</v>
      </c>
      <c r="L66" s="400"/>
      <c r="M66" s="51" t="s">
        <v>136</v>
      </c>
      <c r="N66" s="411" t="s">
        <v>129</v>
      </c>
      <c r="O66" s="411"/>
      <c r="P66" s="409">
        <v>300</v>
      </c>
      <c r="Q66" s="409"/>
      <c r="R66" s="410" t="s">
        <v>238</v>
      </c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 t="s">
        <v>114</v>
      </c>
      <c r="D67" s="157"/>
      <c r="E67" s="154" t="s">
        <v>240</v>
      </c>
      <c r="F67" s="408" t="s">
        <v>239</v>
      </c>
      <c r="G67" s="400"/>
      <c r="H67" s="400"/>
      <c r="I67" s="400"/>
      <c r="J67" s="400"/>
      <c r="K67" s="400" t="s">
        <v>158</v>
      </c>
      <c r="L67" s="400"/>
      <c r="M67" s="51" t="s">
        <v>136</v>
      </c>
      <c r="N67" s="411" t="s">
        <v>228</v>
      </c>
      <c r="O67" s="411"/>
      <c r="P67" s="409"/>
      <c r="Q67" s="409"/>
      <c r="R67" s="410" t="s">
        <v>241</v>
      </c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157"/>
      <c r="E68" s="154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157"/>
      <c r="E69" s="154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157"/>
      <c r="E70" s="154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157"/>
      <c r="E71" s="154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242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156" t="s">
        <v>2</v>
      </c>
      <c r="D73" s="156" t="s">
        <v>37</v>
      </c>
      <c r="E73" s="156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158" t="s">
        <v>114</v>
      </c>
      <c r="D74" s="158"/>
      <c r="E74" s="65" t="s">
        <v>119</v>
      </c>
      <c r="F74" s="389" t="s">
        <v>118</v>
      </c>
      <c r="G74" s="390"/>
      <c r="H74" s="390"/>
      <c r="I74" s="390"/>
      <c r="J74" s="391"/>
      <c r="K74" s="392" t="s">
        <v>120</v>
      </c>
      <c r="L74" s="393"/>
      <c r="M74" s="393"/>
      <c r="N74" s="393"/>
      <c r="O74" s="393"/>
      <c r="P74" s="393"/>
      <c r="Q74" s="393"/>
      <c r="R74" s="393"/>
      <c r="S74" s="394"/>
      <c r="T74" s="395">
        <v>43384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157"/>
      <c r="D75" s="157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1">A75+1</f>
        <v>3</v>
      </c>
      <c r="B76" s="368"/>
      <c r="C76" s="157"/>
      <c r="D76" s="157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1"/>
        <v>4</v>
      </c>
      <c r="B77" s="368"/>
      <c r="C77" s="157"/>
      <c r="D77" s="15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1"/>
        <v>5</v>
      </c>
      <c r="B78" s="368"/>
      <c r="C78" s="157"/>
      <c r="D78" s="15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1"/>
        <v>6</v>
      </c>
      <c r="B79" s="368"/>
      <c r="C79" s="157"/>
      <c r="D79" s="15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1"/>
        <v>7</v>
      </c>
      <c r="B80" s="368"/>
      <c r="C80" s="157"/>
      <c r="D80" s="15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1"/>
        <v>8</v>
      </c>
      <c r="B81" s="368"/>
      <c r="C81" s="157"/>
      <c r="D81" s="15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1"/>
        <v>9</v>
      </c>
      <c r="B82" s="368"/>
      <c r="C82" s="157"/>
      <c r="D82" s="157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243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188C-46FB-4843-B075-61CF14DAB9B9}">
  <dimension ref="A1:AF86"/>
  <sheetViews>
    <sheetView zoomScale="72" zoomScaleNormal="72" zoomScaleSheetLayoutView="70" workbookViewId="0">
      <selection activeCell="E18" sqref="E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244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0.56944444444444442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5294</v>
      </c>
      <c r="K7" s="15">
        <f>L7+4193</f>
        <v>9487</v>
      </c>
      <c r="L7" s="15">
        <f>2664+2630</f>
        <v>5294</v>
      </c>
      <c r="M7" s="15">
        <f t="shared" si="1"/>
        <v>5294</v>
      </c>
      <c r="N7" s="15">
        <v>0</v>
      </c>
      <c r="O7" s="58">
        <f t="shared" si="2"/>
        <v>0</v>
      </c>
      <c r="P7" s="39">
        <f t="shared" si="3"/>
        <v>24</v>
      </c>
      <c r="Q7" s="40">
        <f t="shared" si="4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5"/>
        <v>1</v>
      </c>
      <c r="AC7" s="9">
        <f t="shared" si="6"/>
        <v>1</v>
      </c>
      <c r="AD7" s="10">
        <f t="shared" si="7"/>
        <v>1</v>
      </c>
      <c r="AE7" s="36">
        <f t="shared" si="8"/>
        <v>0.56944444444444442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5664</v>
      </c>
      <c r="K8" s="15">
        <f>L8+3759+5540+5479+2152+4687+4572+4460+5472+5734+5748</f>
        <v>53267</v>
      </c>
      <c r="L8" s="15">
        <f>2919+2745</f>
        <v>5664</v>
      </c>
      <c r="M8" s="15">
        <f t="shared" si="1"/>
        <v>5664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0.56944444444444442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3625</v>
      </c>
      <c r="K9" s="15">
        <f>L9+5189+5656</f>
        <v>14470</v>
      </c>
      <c r="L9" s="15">
        <f>2413+1212</f>
        <v>3625</v>
      </c>
      <c r="M9" s="15">
        <f t="shared" si="1"/>
        <v>3625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0.56944444444444442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245</v>
      </c>
      <c r="E10" s="53" t="s">
        <v>246</v>
      </c>
      <c r="F10" s="30" t="s">
        <v>247</v>
      </c>
      <c r="G10" s="33">
        <v>32</v>
      </c>
      <c r="H10" s="35">
        <v>24</v>
      </c>
      <c r="I10" s="7">
        <v>300000</v>
      </c>
      <c r="J10" s="5">
        <v>2406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>
        <v>24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0.56944444444444442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10000</v>
      </c>
      <c r="J11" s="14">
        <v>4055</v>
      </c>
      <c r="K11" s="15">
        <f>L11+2922</f>
        <v>6977</v>
      </c>
      <c r="L11" s="15">
        <f>3135+920</f>
        <v>4055</v>
      </c>
      <c r="M11" s="15">
        <f t="shared" si="1"/>
        <v>4055</v>
      </c>
      <c r="N11" s="15">
        <v>0</v>
      </c>
      <c r="O11" s="58">
        <f t="shared" si="2"/>
        <v>0</v>
      </c>
      <c r="P11" s="39">
        <f t="shared" si="3"/>
        <v>18</v>
      </c>
      <c r="Q11" s="40">
        <f t="shared" si="4"/>
        <v>6</v>
      </c>
      <c r="R11" s="7"/>
      <c r="S11" s="6">
        <v>6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0.75</v>
      </c>
      <c r="AD11" s="10">
        <f t="shared" si="7"/>
        <v>0.75</v>
      </c>
      <c r="AE11" s="36">
        <f t="shared" si="8"/>
        <v>0.56944444444444442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119</v>
      </c>
      <c r="E12" s="53" t="s">
        <v>118</v>
      </c>
      <c r="F12" s="30" t="s">
        <v>122</v>
      </c>
      <c r="G12" s="33">
        <v>1</v>
      </c>
      <c r="H12" s="35">
        <v>20</v>
      </c>
      <c r="I12" s="7">
        <v>10000</v>
      </c>
      <c r="J12" s="14">
        <v>5304</v>
      </c>
      <c r="K12" s="15">
        <f>L12+2962+5364+5304</f>
        <v>13630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0.56944444444444442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248</v>
      </c>
      <c r="D13" s="52"/>
      <c r="E13" s="53" t="s">
        <v>249</v>
      </c>
      <c r="F13" s="30" t="s">
        <v>250</v>
      </c>
      <c r="G13" s="33">
        <v>12</v>
      </c>
      <c r="H13" s="35">
        <v>24</v>
      </c>
      <c r="I13" s="7">
        <v>20000</v>
      </c>
      <c r="J13" s="14">
        <v>62604</v>
      </c>
      <c r="K13" s="15">
        <f>L13</f>
        <v>62604</v>
      </c>
      <c r="L13" s="15">
        <f>2452*12+2765*12</f>
        <v>62604</v>
      </c>
      <c r="M13" s="15">
        <f t="shared" si="1"/>
        <v>62604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/>
      <c r="T13" s="16">
        <v>2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7"/>
        <v>0.91666666666666663</v>
      </c>
      <c r="AE13" s="36">
        <f t="shared" si="8"/>
        <v>0.56944444444444442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140</v>
      </c>
      <c r="F14" s="30" t="s">
        <v>137</v>
      </c>
      <c r="G14" s="33">
        <v>1</v>
      </c>
      <c r="H14" s="35">
        <v>40</v>
      </c>
      <c r="I14" s="7">
        <v>300</v>
      </c>
      <c r="J14" s="5">
        <v>131</v>
      </c>
      <c r="K14" s="15">
        <f>L14+152+364+131</f>
        <v>647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0.56944444444444442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161</v>
      </c>
      <c r="D15" s="52" t="s">
        <v>162</v>
      </c>
      <c r="E15" s="53" t="s">
        <v>163</v>
      </c>
      <c r="F15" s="12" t="s">
        <v>164</v>
      </c>
      <c r="G15" s="12">
        <v>8</v>
      </c>
      <c r="H15" s="13">
        <v>24</v>
      </c>
      <c r="I15" s="31">
        <v>100000</v>
      </c>
      <c r="J15" s="14">
        <v>40914</v>
      </c>
      <c r="K15" s="15">
        <f>L15+39270+48846+41682</f>
        <v>170712</v>
      </c>
      <c r="L15" s="15">
        <f>3318*6+3501*6</f>
        <v>40914</v>
      </c>
      <c r="M15" s="15">
        <f t="shared" si="1"/>
        <v>40914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0.56944444444444442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114</v>
      </c>
      <c r="D16" s="52" t="s">
        <v>219</v>
      </c>
      <c r="E16" s="53" t="s">
        <v>189</v>
      </c>
      <c r="F16" s="12" t="s">
        <v>135</v>
      </c>
      <c r="G16" s="12">
        <v>1</v>
      </c>
      <c r="H16" s="13">
        <v>24</v>
      </c>
      <c r="I16" s="7">
        <v>4000</v>
      </c>
      <c r="J16" s="14">
        <v>4968</v>
      </c>
      <c r="K16" s="15">
        <f>L16+4968</f>
        <v>4968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0.56944444444444442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3416</v>
      </c>
      <c r="K17" s="15">
        <f>L17</f>
        <v>3416</v>
      </c>
      <c r="L17" s="15">
        <f>456+2960</f>
        <v>3416</v>
      </c>
      <c r="M17" s="15">
        <f t="shared" si="1"/>
        <v>3416</v>
      </c>
      <c r="N17" s="15">
        <v>0</v>
      </c>
      <c r="O17" s="58">
        <f t="shared" si="2"/>
        <v>0</v>
      </c>
      <c r="P17" s="39">
        <f t="shared" si="3"/>
        <v>18</v>
      </c>
      <c r="Q17" s="40">
        <f t="shared" si="4"/>
        <v>6</v>
      </c>
      <c r="R17" s="7"/>
      <c r="S17" s="6"/>
      <c r="T17" s="16">
        <v>6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0.75</v>
      </c>
      <c r="AD17" s="10">
        <f t="shared" si="7"/>
        <v>0.75</v>
      </c>
      <c r="AE17" s="36">
        <f t="shared" si="8"/>
        <v>0.56944444444444442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126</v>
      </c>
      <c r="E18" s="53" t="s">
        <v>199</v>
      </c>
      <c r="F18" s="30" t="s">
        <v>128</v>
      </c>
      <c r="G18" s="33">
        <v>1</v>
      </c>
      <c r="H18" s="35">
        <v>24</v>
      </c>
      <c r="I18" s="7">
        <v>10000</v>
      </c>
      <c r="J18" s="5">
        <v>3409</v>
      </c>
      <c r="K18" s="15">
        <f>L18+3523+1963</f>
        <v>8895</v>
      </c>
      <c r="L18" s="15">
        <f>2380+1029</f>
        <v>3409</v>
      </c>
      <c r="M18" s="15">
        <f t="shared" si="1"/>
        <v>3409</v>
      </c>
      <c r="N18" s="15">
        <v>0</v>
      </c>
      <c r="O18" s="58">
        <f t="shared" si="2"/>
        <v>0</v>
      </c>
      <c r="P18" s="39">
        <f t="shared" si="3"/>
        <v>19</v>
      </c>
      <c r="Q18" s="40">
        <f t="shared" si="4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0.79166666666666663</v>
      </c>
      <c r="AD18" s="10">
        <f>AC18*AB18*(1-O18)</f>
        <v>0.79166666666666663</v>
      </c>
      <c r="AE18" s="36">
        <f t="shared" si="8"/>
        <v>0.56944444444444442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90000</v>
      </c>
      <c r="J19" s="5">
        <v>5078</v>
      </c>
      <c r="K19" s="15">
        <f>L19+4376+4932+3746+2629+4823+3796+4027</f>
        <v>33407</v>
      </c>
      <c r="L19" s="15">
        <f>2604+2474</f>
        <v>5078</v>
      </c>
      <c r="M19" s="15">
        <f t="shared" si="1"/>
        <v>5078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0">AC19*AB19*(1-O19)</f>
        <v>1</v>
      </c>
      <c r="AE19" s="36">
        <f t="shared" si="8"/>
        <v>0.56944444444444442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138</v>
      </c>
      <c r="F20" s="12" t="s">
        <v>116</v>
      </c>
      <c r="G20" s="12">
        <v>4</v>
      </c>
      <c r="H20" s="35">
        <v>20</v>
      </c>
      <c r="I20" s="7">
        <v>300000</v>
      </c>
      <c r="J20" s="14">
        <v>41500</v>
      </c>
      <c r="K20" s="15">
        <f>L20+29424+37208+44092+42392</f>
        <v>194616</v>
      </c>
      <c r="L20" s="15">
        <f>10375*4</f>
        <v>41500</v>
      </c>
      <c r="M20" s="15">
        <f t="shared" si="1"/>
        <v>41500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0.56944444444444442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1">SUM(I6:I20)</f>
        <v>998300</v>
      </c>
      <c r="J21" s="19">
        <f t="shared" si="11"/>
        <v>188368</v>
      </c>
      <c r="K21" s="20">
        <f t="shared" si="11"/>
        <v>577096</v>
      </c>
      <c r="L21" s="21">
        <f t="shared" si="11"/>
        <v>175559</v>
      </c>
      <c r="M21" s="20">
        <f t="shared" si="11"/>
        <v>175559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205</v>
      </c>
      <c r="Q21" s="43">
        <f t="shared" si="12"/>
        <v>155</v>
      </c>
      <c r="R21" s="23">
        <f t="shared" si="12"/>
        <v>48</v>
      </c>
      <c r="S21" s="24">
        <f t="shared" si="12"/>
        <v>40</v>
      </c>
      <c r="T21" s="24">
        <f t="shared" si="12"/>
        <v>8</v>
      </c>
      <c r="U21" s="24">
        <f t="shared" si="12"/>
        <v>0</v>
      </c>
      <c r="V21" s="25">
        <f t="shared" si="12"/>
        <v>11</v>
      </c>
      <c r="W21" s="26">
        <f t="shared" si="12"/>
        <v>48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0.66666666666666663</v>
      </c>
      <c r="AC21" s="4">
        <f>SUM(AC6:AC20)/15</f>
        <v>0.56944444444444442</v>
      </c>
      <c r="AD21" s="4">
        <f>SUM(AD6:AD20)/15</f>
        <v>0.56944444444444442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254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258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68" t="s">
        <v>46</v>
      </c>
      <c r="D50" s="168" t="s">
        <v>47</v>
      </c>
      <c r="E50" s="168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68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248</v>
      </c>
      <c r="B51" s="420"/>
      <c r="C51" s="166" t="s">
        <v>129</v>
      </c>
      <c r="D51" s="166"/>
      <c r="E51" s="166" t="s">
        <v>249</v>
      </c>
      <c r="F51" s="421" t="s">
        <v>121</v>
      </c>
      <c r="G51" s="422"/>
      <c r="H51" s="422"/>
      <c r="I51" s="422"/>
      <c r="J51" s="422"/>
      <c r="K51" s="422"/>
      <c r="L51" s="422"/>
      <c r="M51" s="423"/>
      <c r="N51" s="165" t="s">
        <v>125</v>
      </c>
      <c r="O51" s="163" t="s">
        <v>171</v>
      </c>
      <c r="P51" s="433" t="s">
        <v>245</v>
      </c>
      <c r="Q51" s="434"/>
      <c r="R51" s="420" t="s">
        <v>246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166" t="s">
        <v>134</v>
      </c>
      <c r="D52" s="166" t="s">
        <v>117</v>
      </c>
      <c r="E52" s="166" t="s">
        <v>255</v>
      </c>
      <c r="F52" s="421" t="s">
        <v>256</v>
      </c>
      <c r="G52" s="422"/>
      <c r="H52" s="422"/>
      <c r="I52" s="422"/>
      <c r="J52" s="422"/>
      <c r="K52" s="422"/>
      <c r="L52" s="422"/>
      <c r="M52" s="423"/>
      <c r="N52" s="165" t="s">
        <v>125</v>
      </c>
      <c r="O52" s="163" t="s">
        <v>129</v>
      </c>
      <c r="P52" s="433" t="s">
        <v>123</v>
      </c>
      <c r="Q52" s="434"/>
      <c r="R52" s="420" t="s">
        <v>259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166" t="s">
        <v>168</v>
      </c>
      <c r="D53" s="166" t="s">
        <v>126</v>
      </c>
      <c r="E53" s="166" t="s">
        <v>186</v>
      </c>
      <c r="F53" s="421" t="s">
        <v>260</v>
      </c>
      <c r="G53" s="422"/>
      <c r="H53" s="422"/>
      <c r="I53" s="422"/>
      <c r="J53" s="422"/>
      <c r="K53" s="422"/>
      <c r="L53" s="422"/>
      <c r="M53" s="423"/>
      <c r="N53" s="165" t="s">
        <v>114</v>
      </c>
      <c r="O53" s="163" t="s">
        <v>168</v>
      </c>
      <c r="P53" s="433" t="s">
        <v>126</v>
      </c>
      <c r="Q53" s="434"/>
      <c r="R53" s="420" t="s">
        <v>186</v>
      </c>
      <c r="S53" s="420"/>
      <c r="T53" s="420"/>
      <c r="U53" s="420"/>
      <c r="V53" s="410" t="s">
        <v>127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166" t="s">
        <v>132</v>
      </c>
      <c r="D54" s="166" t="s">
        <v>126</v>
      </c>
      <c r="E54" s="166" t="s">
        <v>188</v>
      </c>
      <c r="F54" s="421" t="s">
        <v>232</v>
      </c>
      <c r="G54" s="422"/>
      <c r="H54" s="422"/>
      <c r="I54" s="422"/>
      <c r="J54" s="422"/>
      <c r="K54" s="422"/>
      <c r="L54" s="422"/>
      <c r="M54" s="423"/>
      <c r="N54" s="165"/>
      <c r="O54" s="163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166" t="s">
        <v>171</v>
      </c>
      <c r="D55" s="166" t="s">
        <v>245</v>
      </c>
      <c r="E55" s="166" t="s">
        <v>246</v>
      </c>
      <c r="F55" s="421" t="s">
        <v>257</v>
      </c>
      <c r="G55" s="422"/>
      <c r="H55" s="422"/>
      <c r="I55" s="422"/>
      <c r="J55" s="422"/>
      <c r="K55" s="422"/>
      <c r="L55" s="422"/>
      <c r="M55" s="423"/>
      <c r="N55" s="165"/>
      <c r="O55" s="163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166"/>
      <c r="D56" s="166"/>
      <c r="E56" s="166"/>
      <c r="F56" s="421"/>
      <c r="G56" s="422"/>
      <c r="H56" s="422"/>
      <c r="I56" s="422"/>
      <c r="J56" s="422"/>
      <c r="K56" s="422"/>
      <c r="L56" s="422"/>
      <c r="M56" s="423"/>
      <c r="N56" s="165"/>
      <c r="O56" s="16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66"/>
      <c r="D57" s="166"/>
      <c r="E57" s="166"/>
      <c r="F57" s="421"/>
      <c r="G57" s="422"/>
      <c r="H57" s="422"/>
      <c r="I57" s="422"/>
      <c r="J57" s="422"/>
      <c r="K57" s="422"/>
      <c r="L57" s="422"/>
      <c r="M57" s="423"/>
      <c r="N57" s="165"/>
      <c r="O57" s="16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66"/>
      <c r="D58" s="166"/>
      <c r="E58" s="166"/>
      <c r="F58" s="421"/>
      <c r="G58" s="422"/>
      <c r="H58" s="422"/>
      <c r="I58" s="422"/>
      <c r="J58" s="422"/>
      <c r="K58" s="422"/>
      <c r="L58" s="422"/>
      <c r="M58" s="423"/>
      <c r="N58" s="165"/>
      <c r="O58" s="16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66"/>
      <c r="D59" s="166"/>
      <c r="E59" s="166"/>
      <c r="F59" s="421"/>
      <c r="G59" s="422"/>
      <c r="H59" s="422"/>
      <c r="I59" s="422"/>
      <c r="J59" s="422"/>
      <c r="K59" s="422"/>
      <c r="L59" s="422"/>
      <c r="M59" s="423"/>
      <c r="N59" s="165"/>
      <c r="O59" s="16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67"/>
      <c r="D60" s="167"/>
      <c r="E60" s="167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261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64" t="s">
        <v>2</v>
      </c>
      <c r="D62" s="164" t="s">
        <v>37</v>
      </c>
      <c r="E62" s="164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64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159"/>
      <c r="E63" s="162" t="s">
        <v>240</v>
      </c>
      <c r="F63" s="408" t="s">
        <v>239</v>
      </c>
      <c r="G63" s="400"/>
      <c r="H63" s="400"/>
      <c r="I63" s="400"/>
      <c r="J63" s="400"/>
      <c r="K63" s="400" t="s">
        <v>158</v>
      </c>
      <c r="L63" s="400"/>
      <c r="M63" s="51" t="s">
        <v>136</v>
      </c>
      <c r="N63" s="411" t="s">
        <v>228</v>
      </c>
      <c r="O63" s="411"/>
      <c r="P63" s="409">
        <v>300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159"/>
      <c r="E64" s="162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59"/>
      <c r="E65" s="16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59"/>
      <c r="E66" s="16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59"/>
      <c r="E67" s="16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59"/>
      <c r="E68" s="162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59"/>
      <c r="E69" s="162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59"/>
      <c r="E70" s="16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262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61" t="s">
        <v>2</v>
      </c>
      <c r="D72" s="161" t="s">
        <v>37</v>
      </c>
      <c r="E72" s="161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60" t="s">
        <v>114</v>
      </c>
      <c r="D73" s="160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59"/>
      <c r="D74" s="159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3">A74+1</f>
        <v>3</v>
      </c>
      <c r="B75" s="368"/>
      <c r="C75" s="159"/>
      <c r="D75" s="159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3"/>
        <v>4</v>
      </c>
      <c r="B76" s="368"/>
      <c r="C76" s="159"/>
      <c r="D76" s="15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3"/>
        <v>5</v>
      </c>
      <c r="B77" s="368"/>
      <c r="C77" s="159"/>
      <c r="D77" s="15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3"/>
        <v>6</v>
      </c>
      <c r="B78" s="368"/>
      <c r="C78" s="159"/>
      <c r="D78" s="15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3"/>
        <v>7</v>
      </c>
      <c r="B79" s="368"/>
      <c r="C79" s="159"/>
      <c r="D79" s="15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3"/>
        <v>8</v>
      </c>
      <c r="B80" s="368"/>
      <c r="C80" s="159"/>
      <c r="D80" s="15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3"/>
        <v>9</v>
      </c>
      <c r="B81" s="368"/>
      <c r="C81" s="159"/>
      <c r="D81" s="15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263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51DF-2C73-4B47-9448-80EDEC5AAAC0}">
  <dimension ref="A1:AF86"/>
  <sheetViews>
    <sheetView zoomScale="72" zoomScaleNormal="72" zoomScaleSheetLayoutView="70" workbookViewId="0">
      <selection activeCell="U16" sqref="U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264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0.64444444444444438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</f>
        <v>11548</v>
      </c>
      <c r="L7" s="15">
        <v>2061</v>
      </c>
      <c r="M7" s="15">
        <f t="shared" si="1"/>
        <v>2061</v>
      </c>
      <c r="N7" s="15">
        <v>0</v>
      </c>
      <c r="O7" s="58">
        <f t="shared" si="2"/>
        <v>0</v>
      </c>
      <c r="P7" s="39">
        <f t="shared" si="3"/>
        <v>8</v>
      </c>
      <c r="Q7" s="40">
        <f t="shared" si="4"/>
        <v>16</v>
      </c>
      <c r="R7" s="7"/>
      <c r="S7" s="6"/>
      <c r="T7" s="16"/>
      <c r="U7" s="16"/>
      <c r="V7" s="17">
        <v>16</v>
      </c>
      <c r="W7" s="5"/>
      <c r="X7" s="16"/>
      <c r="Y7" s="16"/>
      <c r="Z7" s="16"/>
      <c r="AA7" s="18"/>
      <c r="AB7" s="8">
        <f t="shared" si="5"/>
        <v>1</v>
      </c>
      <c r="AC7" s="9">
        <f t="shared" si="6"/>
        <v>0.33333333333333331</v>
      </c>
      <c r="AD7" s="10">
        <f t="shared" si="7"/>
        <v>0.33333333333333331</v>
      </c>
      <c r="AE7" s="36">
        <f t="shared" si="8"/>
        <v>0.64444444444444438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5832</v>
      </c>
      <c r="K8" s="15">
        <f>L8+3759+5540+5479+2152+4687+4572+4460+5472+5734+5748+5664</f>
        <v>59099</v>
      </c>
      <c r="L8" s="15">
        <f>2979+2853</f>
        <v>5832</v>
      </c>
      <c r="M8" s="15">
        <f t="shared" si="1"/>
        <v>5832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0.64444444444444438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3716</v>
      </c>
      <c r="K9" s="15">
        <f>L9+5189+5656+3625</f>
        <v>18186</v>
      </c>
      <c r="L9" s="15">
        <f>857+2859</f>
        <v>3716</v>
      </c>
      <c r="M9" s="15">
        <f t="shared" si="1"/>
        <v>3716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0.64444444444444438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245</v>
      </c>
      <c r="E10" s="53" t="s">
        <v>246</v>
      </c>
      <c r="F10" s="30" t="s">
        <v>247</v>
      </c>
      <c r="G10" s="33">
        <v>32</v>
      </c>
      <c r="H10" s="35">
        <v>24</v>
      </c>
      <c r="I10" s="7">
        <v>300000</v>
      </c>
      <c r="J10" s="5">
        <v>99456</v>
      </c>
      <c r="K10" s="15">
        <f>L10</f>
        <v>99456</v>
      </c>
      <c r="L10" s="15">
        <f>3108*32</f>
        <v>99456</v>
      </c>
      <c r="M10" s="15">
        <f t="shared" si="1"/>
        <v>99456</v>
      </c>
      <c r="N10" s="15">
        <v>0</v>
      </c>
      <c r="O10" s="58">
        <f t="shared" si="2"/>
        <v>0</v>
      </c>
      <c r="P10" s="39">
        <f t="shared" si="3"/>
        <v>14</v>
      </c>
      <c r="Q10" s="40">
        <f t="shared" si="4"/>
        <v>10</v>
      </c>
      <c r="R10" s="7">
        <v>10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0.58333333333333337</v>
      </c>
      <c r="AD10" s="10">
        <f>AC10*AB10*(1-O10)</f>
        <v>0.58333333333333337</v>
      </c>
      <c r="AE10" s="36">
        <f t="shared" si="8"/>
        <v>0.64444444444444438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10000</v>
      </c>
      <c r="J11" s="14">
        <v>4435</v>
      </c>
      <c r="K11" s="15">
        <f>L11+2922+4055</f>
        <v>11412</v>
      </c>
      <c r="L11" s="15">
        <f>1282+3153</f>
        <v>4435</v>
      </c>
      <c r="M11" s="15">
        <f t="shared" si="1"/>
        <v>4435</v>
      </c>
      <c r="N11" s="15">
        <v>0</v>
      </c>
      <c r="O11" s="58">
        <f t="shared" si="2"/>
        <v>0</v>
      </c>
      <c r="P11" s="39">
        <f t="shared" si="3"/>
        <v>20</v>
      </c>
      <c r="Q11" s="40">
        <f t="shared" si="4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0.83333333333333337</v>
      </c>
      <c r="AD11" s="10">
        <f t="shared" si="7"/>
        <v>0.83333333333333337</v>
      </c>
      <c r="AE11" s="36">
        <f t="shared" si="8"/>
        <v>0.64444444444444438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10000</v>
      </c>
      <c r="J12" s="14">
        <v>2475</v>
      </c>
      <c r="K12" s="15">
        <f>L12</f>
        <v>2475</v>
      </c>
      <c r="L12" s="15">
        <f>2475</f>
        <v>2475</v>
      </c>
      <c r="M12" s="15">
        <f t="shared" si="1"/>
        <v>2475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 t="shared" si="7"/>
        <v>0.58333333333333337</v>
      </c>
      <c r="AE12" s="36">
        <f t="shared" si="8"/>
        <v>0.64444444444444438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123</v>
      </c>
      <c r="E13" s="53" t="s">
        <v>266</v>
      </c>
      <c r="F13" s="30" t="s">
        <v>197</v>
      </c>
      <c r="G13" s="33">
        <v>1</v>
      </c>
      <c r="H13" s="35">
        <v>24</v>
      </c>
      <c r="I13" s="7">
        <v>11000</v>
      </c>
      <c r="J13" s="14">
        <v>5347</v>
      </c>
      <c r="K13" s="15">
        <f>L13</f>
        <v>5347</v>
      </c>
      <c r="L13" s="15">
        <f>2875+2472</f>
        <v>5347</v>
      </c>
      <c r="M13" s="15">
        <f t="shared" si="1"/>
        <v>5347</v>
      </c>
      <c r="N13" s="15">
        <v>0</v>
      </c>
      <c r="O13" s="58">
        <f t="shared" si="2"/>
        <v>0</v>
      </c>
      <c r="P13" s="39">
        <f t="shared" si="3"/>
        <v>23</v>
      </c>
      <c r="Q13" s="40">
        <f t="shared" si="4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0.95833333333333337</v>
      </c>
      <c r="AD13" s="10">
        <f t="shared" si="7"/>
        <v>0.95833333333333337</v>
      </c>
      <c r="AE13" s="36">
        <f t="shared" si="8"/>
        <v>0.64444444444444438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140</v>
      </c>
      <c r="F14" s="30" t="s">
        <v>137</v>
      </c>
      <c r="G14" s="33">
        <v>1</v>
      </c>
      <c r="H14" s="35">
        <v>40</v>
      </c>
      <c r="I14" s="7">
        <v>300</v>
      </c>
      <c r="J14" s="5">
        <v>131</v>
      </c>
      <c r="K14" s="15">
        <f>L14+152+364+131</f>
        <v>647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0.64444444444444438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161</v>
      </c>
      <c r="D15" s="52" t="s">
        <v>162</v>
      </c>
      <c r="E15" s="53" t="s">
        <v>163</v>
      </c>
      <c r="F15" s="12" t="s">
        <v>164</v>
      </c>
      <c r="G15" s="12">
        <v>8</v>
      </c>
      <c r="H15" s="13">
        <v>24</v>
      </c>
      <c r="I15" s="31">
        <v>100000</v>
      </c>
      <c r="J15" s="14">
        <v>25314</v>
      </c>
      <c r="K15" s="15">
        <f>L15+39270+48846+41682+40914</f>
        <v>196026</v>
      </c>
      <c r="L15" s="15">
        <f>543*6+3676*6</f>
        <v>25314</v>
      </c>
      <c r="M15" s="15">
        <f t="shared" si="1"/>
        <v>25314</v>
      </c>
      <c r="N15" s="15">
        <v>0</v>
      </c>
      <c r="O15" s="58">
        <f t="shared" si="2"/>
        <v>0</v>
      </c>
      <c r="P15" s="39">
        <f t="shared" si="3"/>
        <v>16</v>
      </c>
      <c r="Q15" s="40">
        <f t="shared" si="4"/>
        <v>8</v>
      </c>
      <c r="R15" s="7"/>
      <c r="S15" s="6"/>
      <c r="T15" s="16"/>
      <c r="U15" s="16"/>
      <c r="V15" s="17"/>
      <c r="W15" s="5">
        <v>8</v>
      </c>
      <c r="X15" s="16"/>
      <c r="Y15" s="16"/>
      <c r="Z15" s="16"/>
      <c r="AA15" s="18"/>
      <c r="AB15" s="8">
        <f t="shared" si="5"/>
        <v>1</v>
      </c>
      <c r="AC15" s="9">
        <f t="shared" si="6"/>
        <v>0.66666666666666663</v>
      </c>
      <c r="AD15" s="10">
        <f t="shared" si="7"/>
        <v>0.66666666666666663</v>
      </c>
      <c r="AE15" s="36">
        <f t="shared" si="8"/>
        <v>0.64444444444444438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114</v>
      </c>
      <c r="D16" s="52" t="s">
        <v>123</v>
      </c>
      <c r="E16" s="53" t="s">
        <v>267</v>
      </c>
      <c r="F16" s="12">
        <v>7301</v>
      </c>
      <c r="G16" s="12">
        <v>1</v>
      </c>
      <c r="H16" s="13">
        <v>24</v>
      </c>
      <c r="I16" s="7">
        <v>1000</v>
      </c>
      <c r="J16" s="14">
        <v>2652</v>
      </c>
      <c r="K16" s="15">
        <f>L16</f>
        <v>2652</v>
      </c>
      <c r="L16" s="15">
        <f>621+2031</f>
        <v>2652</v>
      </c>
      <c r="M16" s="15">
        <f t="shared" si="1"/>
        <v>2652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/>
      <c r="T16" s="16"/>
      <c r="U16" s="16"/>
      <c r="V16" s="17"/>
      <c r="W16" s="5">
        <v>10</v>
      </c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0.64444444444444438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6352</v>
      </c>
      <c r="K17" s="15">
        <f>L17+3416</f>
        <v>9768</v>
      </c>
      <c r="L17" s="15">
        <f>3114+3238</f>
        <v>6352</v>
      </c>
      <c r="M17" s="15">
        <f t="shared" si="1"/>
        <v>6352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0.64444444444444438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126</v>
      </c>
      <c r="E18" s="53" t="s">
        <v>199</v>
      </c>
      <c r="F18" s="30" t="s">
        <v>128</v>
      </c>
      <c r="G18" s="33">
        <v>1</v>
      </c>
      <c r="H18" s="35">
        <v>24</v>
      </c>
      <c r="I18" s="7">
        <v>10000</v>
      </c>
      <c r="J18" s="5">
        <v>5053</v>
      </c>
      <c r="K18" s="15">
        <f>L18+3523+1963+3409</f>
        <v>13948</v>
      </c>
      <c r="L18" s="15">
        <f>2501+2552</f>
        <v>5053</v>
      </c>
      <c r="M18" s="15">
        <f t="shared" si="1"/>
        <v>5053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0.64444444444444438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90000</v>
      </c>
      <c r="J19" s="5">
        <v>3986</v>
      </c>
      <c r="K19" s="15">
        <f>L19+4376+4932+3746+2629+4823+3796+4027+5078</f>
        <v>37393</v>
      </c>
      <c r="L19" s="15">
        <f>2677+1309</f>
        <v>3986</v>
      </c>
      <c r="M19" s="15">
        <f t="shared" si="1"/>
        <v>3986</v>
      </c>
      <c r="N19" s="15">
        <v>0</v>
      </c>
      <c r="O19" s="58">
        <f t="shared" si="2"/>
        <v>0</v>
      </c>
      <c r="P19" s="39">
        <f t="shared" si="3"/>
        <v>20</v>
      </c>
      <c r="Q19" s="40">
        <f t="shared" si="4"/>
        <v>4</v>
      </c>
      <c r="R19" s="7">
        <v>4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0.83333333333333337</v>
      </c>
      <c r="AD19" s="10">
        <f t="shared" ref="AD19" si="10">AC19*AB19*(1-O19)</f>
        <v>0.83333333333333337</v>
      </c>
      <c r="AE19" s="36">
        <f t="shared" si="8"/>
        <v>0.64444444444444438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138</v>
      </c>
      <c r="F20" s="12" t="s">
        <v>116</v>
      </c>
      <c r="G20" s="12">
        <v>4</v>
      </c>
      <c r="H20" s="35">
        <v>20</v>
      </c>
      <c r="I20" s="7">
        <v>300000</v>
      </c>
      <c r="J20" s="14">
        <v>45324</v>
      </c>
      <c r="K20" s="15">
        <f>L20+29424+37208+44092+42392+41500</f>
        <v>239940</v>
      </c>
      <c r="L20" s="15">
        <f>11331*4</f>
        <v>45324</v>
      </c>
      <c r="M20" s="15">
        <f t="shared" si="1"/>
        <v>45324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0.64444444444444438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1">SUM(I6:I20)</f>
        <v>986300</v>
      </c>
      <c r="J21" s="19">
        <f t="shared" si="11"/>
        <v>212134</v>
      </c>
      <c r="K21" s="20">
        <f t="shared" si="11"/>
        <v>707897</v>
      </c>
      <c r="L21" s="21">
        <f t="shared" si="11"/>
        <v>212003</v>
      </c>
      <c r="M21" s="20">
        <f t="shared" si="11"/>
        <v>212003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232</v>
      </c>
      <c r="Q21" s="43">
        <f t="shared" si="12"/>
        <v>128</v>
      </c>
      <c r="R21" s="23">
        <f t="shared" si="12"/>
        <v>38</v>
      </c>
      <c r="S21" s="24">
        <f t="shared" si="12"/>
        <v>20</v>
      </c>
      <c r="T21" s="24">
        <f t="shared" si="12"/>
        <v>1</v>
      </c>
      <c r="U21" s="24">
        <f t="shared" si="12"/>
        <v>0</v>
      </c>
      <c r="V21" s="25">
        <f t="shared" si="12"/>
        <v>27</v>
      </c>
      <c r="W21" s="26">
        <f t="shared" si="12"/>
        <v>42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0.8666666666666667</v>
      </c>
      <c r="AC21" s="4">
        <f>SUM(AC6:AC20)/15</f>
        <v>0.64444444444444438</v>
      </c>
      <c r="AD21" s="4">
        <f>SUM(AD6:AD20)/15</f>
        <v>0.64444444444444438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268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272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68" t="s">
        <v>46</v>
      </c>
      <c r="D50" s="168" t="s">
        <v>47</v>
      </c>
      <c r="E50" s="168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68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206</v>
      </c>
      <c r="B51" s="420"/>
      <c r="C51" s="166" t="s">
        <v>207</v>
      </c>
      <c r="D51" s="166"/>
      <c r="E51" s="166" t="s">
        <v>208</v>
      </c>
      <c r="F51" s="421" t="s">
        <v>269</v>
      </c>
      <c r="G51" s="422"/>
      <c r="H51" s="422"/>
      <c r="I51" s="422"/>
      <c r="J51" s="422"/>
      <c r="K51" s="422"/>
      <c r="L51" s="422"/>
      <c r="M51" s="423"/>
      <c r="N51" s="165" t="s">
        <v>206</v>
      </c>
      <c r="O51" s="163" t="s">
        <v>273</v>
      </c>
      <c r="P51" s="433"/>
      <c r="Q51" s="434"/>
      <c r="R51" s="420" t="s">
        <v>208</v>
      </c>
      <c r="S51" s="420"/>
      <c r="T51" s="420"/>
      <c r="U51" s="420"/>
      <c r="V51" s="410" t="s">
        <v>274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166" t="s">
        <v>134</v>
      </c>
      <c r="D52" s="166" t="s">
        <v>117</v>
      </c>
      <c r="E52" s="166" t="s">
        <v>255</v>
      </c>
      <c r="F52" s="421" t="s">
        <v>269</v>
      </c>
      <c r="G52" s="422"/>
      <c r="H52" s="422"/>
      <c r="I52" s="422"/>
      <c r="J52" s="422"/>
      <c r="K52" s="422"/>
      <c r="L52" s="422"/>
      <c r="M52" s="423"/>
      <c r="N52" s="165" t="s">
        <v>125</v>
      </c>
      <c r="O52" s="163" t="s">
        <v>182</v>
      </c>
      <c r="P52" s="433" t="s">
        <v>133</v>
      </c>
      <c r="Q52" s="434"/>
      <c r="R52" s="420" t="s">
        <v>275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166" t="s">
        <v>168</v>
      </c>
      <c r="D53" s="166" t="s">
        <v>126</v>
      </c>
      <c r="E53" s="166" t="s">
        <v>186</v>
      </c>
      <c r="F53" s="421" t="s">
        <v>270</v>
      </c>
      <c r="G53" s="422"/>
      <c r="H53" s="422"/>
      <c r="I53" s="422"/>
      <c r="J53" s="422"/>
      <c r="K53" s="422"/>
      <c r="L53" s="422"/>
      <c r="M53" s="423"/>
      <c r="N53" s="165" t="s">
        <v>125</v>
      </c>
      <c r="O53" s="163" t="s">
        <v>201</v>
      </c>
      <c r="P53" s="433" t="s">
        <v>195</v>
      </c>
      <c r="Q53" s="434"/>
      <c r="R53" s="420" t="s">
        <v>276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166" t="s">
        <v>182</v>
      </c>
      <c r="D54" s="166" t="s">
        <v>123</v>
      </c>
      <c r="E54" s="166" t="s">
        <v>267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165"/>
      <c r="O54" s="163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166" t="s">
        <v>171</v>
      </c>
      <c r="D55" s="166" t="s">
        <v>245</v>
      </c>
      <c r="E55" s="166" t="s">
        <v>246</v>
      </c>
      <c r="F55" s="421" t="s">
        <v>127</v>
      </c>
      <c r="G55" s="422"/>
      <c r="H55" s="422"/>
      <c r="I55" s="422"/>
      <c r="J55" s="422"/>
      <c r="K55" s="422"/>
      <c r="L55" s="422"/>
      <c r="M55" s="423"/>
      <c r="N55" s="165"/>
      <c r="O55" s="163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125</v>
      </c>
      <c r="B56" s="420"/>
      <c r="C56" s="166" t="s">
        <v>129</v>
      </c>
      <c r="D56" s="166" t="s">
        <v>123</v>
      </c>
      <c r="E56" s="166" t="s">
        <v>266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165"/>
      <c r="O56" s="16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125</v>
      </c>
      <c r="B57" s="420"/>
      <c r="C57" s="166" t="s">
        <v>134</v>
      </c>
      <c r="D57" s="166" t="s">
        <v>117</v>
      </c>
      <c r="E57" s="166" t="s">
        <v>265</v>
      </c>
      <c r="F57" s="421" t="s">
        <v>271</v>
      </c>
      <c r="G57" s="422"/>
      <c r="H57" s="422"/>
      <c r="I57" s="422"/>
      <c r="J57" s="422"/>
      <c r="K57" s="422"/>
      <c r="L57" s="422"/>
      <c r="M57" s="423"/>
      <c r="N57" s="165"/>
      <c r="O57" s="16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125</v>
      </c>
      <c r="B58" s="420"/>
      <c r="C58" s="166" t="s">
        <v>201</v>
      </c>
      <c r="D58" s="166" t="s">
        <v>195</v>
      </c>
      <c r="E58" s="166" t="s">
        <v>209</v>
      </c>
      <c r="F58" s="421" t="s">
        <v>127</v>
      </c>
      <c r="G58" s="422"/>
      <c r="H58" s="422"/>
      <c r="I58" s="422"/>
      <c r="J58" s="422"/>
      <c r="K58" s="422"/>
      <c r="L58" s="422"/>
      <c r="M58" s="423"/>
      <c r="N58" s="165"/>
      <c r="O58" s="16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66"/>
      <c r="D59" s="166"/>
      <c r="E59" s="166"/>
      <c r="F59" s="421"/>
      <c r="G59" s="422"/>
      <c r="H59" s="422"/>
      <c r="I59" s="422"/>
      <c r="J59" s="422"/>
      <c r="K59" s="422"/>
      <c r="L59" s="422"/>
      <c r="M59" s="423"/>
      <c r="N59" s="165"/>
      <c r="O59" s="16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67"/>
      <c r="D60" s="167"/>
      <c r="E60" s="167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277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64" t="s">
        <v>2</v>
      </c>
      <c r="D62" s="164" t="s">
        <v>37</v>
      </c>
      <c r="E62" s="164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64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159"/>
      <c r="E63" s="162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159"/>
      <c r="E64" s="162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59"/>
      <c r="E65" s="16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59"/>
      <c r="E66" s="16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59"/>
      <c r="E67" s="16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59"/>
      <c r="E68" s="162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59"/>
      <c r="E69" s="162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59"/>
      <c r="E70" s="16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278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61" t="s">
        <v>2</v>
      </c>
      <c r="D72" s="161" t="s">
        <v>37</v>
      </c>
      <c r="E72" s="161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60" t="s">
        <v>114</v>
      </c>
      <c r="D73" s="160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59"/>
      <c r="D74" s="159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3">A74+1</f>
        <v>3</v>
      </c>
      <c r="B75" s="368"/>
      <c r="C75" s="159"/>
      <c r="D75" s="159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3"/>
        <v>4</v>
      </c>
      <c r="B76" s="368"/>
      <c r="C76" s="159"/>
      <c r="D76" s="15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3"/>
        <v>5</v>
      </c>
      <c r="B77" s="368"/>
      <c r="C77" s="159"/>
      <c r="D77" s="15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3"/>
        <v>6</v>
      </c>
      <c r="B78" s="368"/>
      <c r="C78" s="159"/>
      <c r="D78" s="15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3"/>
        <v>7</v>
      </c>
      <c r="B79" s="368"/>
      <c r="C79" s="159"/>
      <c r="D79" s="15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3"/>
        <v>8</v>
      </c>
      <c r="B80" s="368"/>
      <c r="C80" s="159"/>
      <c r="D80" s="15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3"/>
        <v>9</v>
      </c>
      <c r="B81" s="368"/>
      <c r="C81" s="159"/>
      <c r="D81" s="15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279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4A42-8DE2-4F83-8857-D6E3B461C9E1}">
  <dimension ref="A1:AF86"/>
  <sheetViews>
    <sheetView zoomScale="72" zoomScaleNormal="72" zoomScaleSheetLayoutView="70" workbookViewId="0">
      <selection activeCell="A19" sqref="A19:XFD1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280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0.58611111111111114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0.58611111111111114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5688</v>
      </c>
      <c r="K8" s="15">
        <f>L8+3759+5540+5479+2152+4687+4572+4460+5472+5734+5748+5664+5832</f>
        <v>64787</v>
      </c>
      <c r="L8" s="15">
        <f>3034+2654</f>
        <v>5688</v>
      </c>
      <c r="M8" s="15">
        <f t="shared" si="1"/>
        <v>5688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0.58611111111111114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5857</v>
      </c>
      <c r="K9" s="15">
        <f>L9+5189+5656+3625+3716</f>
        <v>24043</v>
      </c>
      <c r="L9" s="15">
        <f>3160+2697</f>
        <v>5857</v>
      </c>
      <c r="M9" s="15">
        <f t="shared" si="1"/>
        <v>5857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0.58611111111111114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245</v>
      </c>
      <c r="E10" s="53" t="s">
        <v>246</v>
      </c>
      <c r="F10" s="30" t="s">
        <v>247</v>
      </c>
      <c r="G10" s="33">
        <v>32</v>
      </c>
      <c r="H10" s="35">
        <v>24</v>
      </c>
      <c r="I10" s="7">
        <v>300000</v>
      </c>
      <c r="J10" s="5">
        <v>240256</v>
      </c>
      <c r="K10" s="15">
        <f>L10+99456</f>
        <v>339712</v>
      </c>
      <c r="L10" s="15">
        <f>4261*32+3247*32</f>
        <v>240256</v>
      </c>
      <c r="M10" s="15">
        <f t="shared" si="1"/>
        <v>240256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0.58611111111111114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276</v>
      </c>
      <c r="F11" s="30" t="s">
        <v>150</v>
      </c>
      <c r="G11" s="33">
        <v>1</v>
      </c>
      <c r="H11" s="35">
        <v>20</v>
      </c>
      <c r="I11" s="7">
        <v>2000</v>
      </c>
      <c r="J11" s="14">
        <v>2025</v>
      </c>
      <c r="K11" s="15">
        <f>L11</f>
        <v>2025</v>
      </c>
      <c r="L11" s="15">
        <f>225+1800</f>
        <v>2025</v>
      </c>
      <c r="M11" s="15">
        <f t="shared" si="1"/>
        <v>2025</v>
      </c>
      <c r="N11" s="15">
        <v>0</v>
      </c>
      <c r="O11" s="58">
        <f t="shared" si="2"/>
        <v>0</v>
      </c>
      <c r="P11" s="39">
        <f t="shared" si="3"/>
        <v>11</v>
      </c>
      <c r="Q11" s="40">
        <f t="shared" si="4"/>
        <v>13</v>
      </c>
      <c r="R11" s="7"/>
      <c r="S11" s="6">
        <v>13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0.45833333333333331</v>
      </c>
      <c r="AD11" s="10">
        <f t="shared" si="7"/>
        <v>0.45833333333333331</v>
      </c>
      <c r="AE11" s="36">
        <f t="shared" si="8"/>
        <v>0.58611111111111114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10000</v>
      </c>
      <c r="J12" s="14">
        <v>2001</v>
      </c>
      <c r="K12" s="15">
        <f>L12+2475</f>
        <v>4476</v>
      </c>
      <c r="L12" s="15">
        <v>2001</v>
      </c>
      <c r="M12" s="15">
        <f t="shared" si="1"/>
        <v>2001</v>
      </c>
      <c r="N12" s="15">
        <v>0</v>
      </c>
      <c r="O12" s="58">
        <f t="shared" si="2"/>
        <v>0</v>
      </c>
      <c r="P12" s="39">
        <f t="shared" si="3"/>
        <v>9</v>
      </c>
      <c r="Q12" s="40">
        <f t="shared" si="4"/>
        <v>15</v>
      </c>
      <c r="R12" s="7"/>
      <c r="S12" s="6">
        <v>15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0.375</v>
      </c>
      <c r="AD12" s="10">
        <f t="shared" si="7"/>
        <v>0.375</v>
      </c>
      <c r="AE12" s="36">
        <f t="shared" si="8"/>
        <v>0.58611111111111114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123</v>
      </c>
      <c r="E13" s="53" t="s">
        <v>266</v>
      </c>
      <c r="F13" s="30" t="s">
        <v>197</v>
      </c>
      <c r="G13" s="33">
        <v>1</v>
      </c>
      <c r="H13" s="35">
        <v>24</v>
      </c>
      <c r="I13" s="7">
        <v>11000</v>
      </c>
      <c r="J13" s="14">
        <v>5599</v>
      </c>
      <c r="K13" s="15">
        <f>L13+5347</f>
        <v>10946</v>
      </c>
      <c r="L13" s="15">
        <f>2852+2747</f>
        <v>5599</v>
      </c>
      <c r="M13" s="15">
        <f t="shared" si="1"/>
        <v>5599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0.58611111111111114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0.58611111111111114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161</v>
      </c>
      <c r="D15" s="52" t="s">
        <v>162</v>
      </c>
      <c r="E15" s="53" t="s">
        <v>163</v>
      </c>
      <c r="F15" s="12" t="s">
        <v>164</v>
      </c>
      <c r="G15" s="12">
        <v>8</v>
      </c>
      <c r="H15" s="13">
        <v>24</v>
      </c>
      <c r="I15" s="31">
        <v>100000</v>
      </c>
      <c r="J15" s="14">
        <v>25314</v>
      </c>
      <c r="K15" s="15">
        <f>L15+39270+48846+41682+40914+25314</f>
        <v>196026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0.58611111111111114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125</v>
      </c>
      <c r="D16" s="52" t="s">
        <v>133</v>
      </c>
      <c r="E16" s="53" t="s">
        <v>275</v>
      </c>
      <c r="F16" s="12" t="s">
        <v>135</v>
      </c>
      <c r="G16" s="12">
        <v>1</v>
      </c>
      <c r="H16" s="13">
        <v>24</v>
      </c>
      <c r="I16" s="7">
        <v>10000</v>
      </c>
      <c r="J16" s="14">
        <v>5645</v>
      </c>
      <c r="K16" s="15">
        <f>L16</f>
        <v>5645</v>
      </c>
      <c r="L16" s="15">
        <f>2219+3426</f>
        <v>5645</v>
      </c>
      <c r="M16" s="15">
        <f t="shared" si="1"/>
        <v>5645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0.58611111111111114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6164</v>
      </c>
      <c r="K17" s="15">
        <f>L17+3416+6352</f>
        <v>15932</v>
      </c>
      <c r="L17" s="15">
        <f>2933+3231</f>
        <v>6164</v>
      </c>
      <c r="M17" s="15">
        <f t="shared" si="1"/>
        <v>6164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0.58611111111111114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126</v>
      </c>
      <c r="E18" s="53" t="s">
        <v>199</v>
      </c>
      <c r="F18" s="30" t="s">
        <v>128</v>
      </c>
      <c r="G18" s="33">
        <v>1</v>
      </c>
      <c r="H18" s="35">
        <v>24</v>
      </c>
      <c r="I18" s="7">
        <v>10000</v>
      </c>
      <c r="J18" s="5">
        <v>5104</v>
      </c>
      <c r="K18" s="15">
        <f>L18+3523+1963+3409+5053</f>
        <v>19052</v>
      </c>
      <c r="L18" s="15">
        <f>2749+2355</f>
        <v>5104</v>
      </c>
      <c r="M18" s="15">
        <f t="shared" si="1"/>
        <v>5104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0.58611111111111114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90000</v>
      </c>
      <c r="J19" s="5">
        <v>4575</v>
      </c>
      <c r="K19" s="15">
        <f>L19+4376+4932+3746+2629+4823+3796+4027+5078+3986</f>
        <v>41968</v>
      </c>
      <c r="L19" s="15">
        <f>2013+2562</f>
        <v>4575</v>
      </c>
      <c r="M19" s="15">
        <f t="shared" si="1"/>
        <v>4575</v>
      </c>
      <c r="N19" s="15">
        <v>0</v>
      </c>
      <c r="O19" s="58">
        <f t="shared" si="2"/>
        <v>0</v>
      </c>
      <c r="P19" s="39">
        <f t="shared" si="3"/>
        <v>23</v>
      </c>
      <c r="Q19" s="40">
        <f t="shared" si="4"/>
        <v>1</v>
      </c>
      <c r="R19" s="7">
        <v>1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0.95833333333333337</v>
      </c>
      <c r="AD19" s="10">
        <f t="shared" ref="AD19" si="10">AC19*AB19*(1-O19)</f>
        <v>0.95833333333333337</v>
      </c>
      <c r="AE19" s="36">
        <f t="shared" si="8"/>
        <v>0.58611111111111114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138</v>
      </c>
      <c r="F20" s="12" t="s">
        <v>116</v>
      </c>
      <c r="G20" s="12">
        <v>4</v>
      </c>
      <c r="H20" s="35">
        <v>20</v>
      </c>
      <c r="I20" s="7">
        <v>300000</v>
      </c>
      <c r="J20" s="14">
        <v>45324</v>
      </c>
      <c r="K20" s="15">
        <f>L20+29424+37208+44092+42392+41500+45324</f>
        <v>239940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0.58611111111111114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1">SUM(I6:I20)</f>
        <v>1008000</v>
      </c>
      <c r="J21" s="19">
        <f t="shared" si="11"/>
        <v>355744</v>
      </c>
      <c r="K21" s="20">
        <f t="shared" si="11"/>
        <v>976100</v>
      </c>
      <c r="L21" s="21">
        <f t="shared" si="11"/>
        <v>282914</v>
      </c>
      <c r="M21" s="20">
        <f t="shared" si="11"/>
        <v>282914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211</v>
      </c>
      <c r="Q21" s="43">
        <f t="shared" si="12"/>
        <v>149</v>
      </c>
      <c r="R21" s="23">
        <f t="shared" si="12"/>
        <v>49</v>
      </c>
      <c r="S21" s="24">
        <f t="shared" si="12"/>
        <v>28</v>
      </c>
      <c r="T21" s="24">
        <f t="shared" si="12"/>
        <v>0</v>
      </c>
      <c r="U21" s="24">
        <f t="shared" si="12"/>
        <v>0</v>
      </c>
      <c r="V21" s="25">
        <f t="shared" si="12"/>
        <v>48</v>
      </c>
      <c r="W21" s="26">
        <f t="shared" si="12"/>
        <v>24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0.66666666666666663</v>
      </c>
      <c r="AC21" s="4">
        <f>SUM(AC6:AC20)/15</f>
        <v>0.58611111111111114</v>
      </c>
      <c r="AD21" s="4">
        <f>SUM(AD6:AD20)/15</f>
        <v>0.58611111111111114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281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286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68" t="s">
        <v>46</v>
      </c>
      <c r="D50" s="168" t="s">
        <v>47</v>
      </c>
      <c r="E50" s="168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68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206</v>
      </c>
      <c r="B51" s="420"/>
      <c r="C51" s="166" t="s">
        <v>273</v>
      </c>
      <c r="D51" s="166"/>
      <c r="E51" s="166" t="s">
        <v>208</v>
      </c>
      <c r="F51" s="421" t="s">
        <v>282</v>
      </c>
      <c r="G51" s="422"/>
      <c r="H51" s="422"/>
      <c r="I51" s="422"/>
      <c r="J51" s="422"/>
      <c r="K51" s="422"/>
      <c r="L51" s="422"/>
      <c r="M51" s="423"/>
      <c r="N51" s="165" t="s">
        <v>206</v>
      </c>
      <c r="O51" s="163" t="s">
        <v>273</v>
      </c>
      <c r="P51" s="433"/>
      <c r="Q51" s="434"/>
      <c r="R51" s="420" t="s">
        <v>208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166" t="s">
        <v>134</v>
      </c>
      <c r="D52" s="166" t="s">
        <v>117</v>
      </c>
      <c r="E52" s="166" t="s">
        <v>265</v>
      </c>
      <c r="F52" s="421" t="s">
        <v>283</v>
      </c>
      <c r="G52" s="422"/>
      <c r="H52" s="422"/>
      <c r="I52" s="422"/>
      <c r="J52" s="422"/>
      <c r="K52" s="422"/>
      <c r="L52" s="422"/>
      <c r="M52" s="423"/>
      <c r="N52" s="165" t="s">
        <v>125</v>
      </c>
      <c r="O52" s="163" t="s">
        <v>134</v>
      </c>
      <c r="P52" s="433" t="s">
        <v>117</v>
      </c>
      <c r="Q52" s="434"/>
      <c r="R52" s="420" t="s">
        <v>265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166" t="s">
        <v>201</v>
      </c>
      <c r="D53" s="166" t="s">
        <v>195</v>
      </c>
      <c r="E53" s="166" t="s">
        <v>276</v>
      </c>
      <c r="F53" s="421" t="s">
        <v>284</v>
      </c>
      <c r="G53" s="422"/>
      <c r="H53" s="422"/>
      <c r="I53" s="422"/>
      <c r="J53" s="422"/>
      <c r="K53" s="422"/>
      <c r="L53" s="422"/>
      <c r="M53" s="423"/>
      <c r="N53" s="165" t="s">
        <v>125</v>
      </c>
      <c r="O53" s="163" t="s">
        <v>201</v>
      </c>
      <c r="P53" s="433" t="s">
        <v>195</v>
      </c>
      <c r="Q53" s="434"/>
      <c r="R53" s="420" t="s">
        <v>196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166" t="s">
        <v>182</v>
      </c>
      <c r="D54" s="166" t="s">
        <v>133</v>
      </c>
      <c r="E54" s="166" t="s">
        <v>275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165" t="s">
        <v>125</v>
      </c>
      <c r="O54" s="163" t="s">
        <v>230</v>
      </c>
      <c r="P54" s="433" t="s">
        <v>117</v>
      </c>
      <c r="Q54" s="434"/>
      <c r="R54" s="420" t="s">
        <v>285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/>
      <c r="B55" s="420"/>
      <c r="C55" s="166"/>
      <c r="D55" s="166"/>
      <c r="E55" s="166"/>
      <c r="F55" s="421"/>
      <c r="G55" s="422"/>
      <c r="H55" s="422"/>
      <c r="I55" s="422"/>
      <c r="J55" s="422"/>
      <c r="K55" s="422"/>
      <c r="L55" s="422"/>
      <c r="M55" s="423"/>
      <c r="N55" s="165"/>
      <c r="O55" s="163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166"/>
      <c r="D56" s="166"/>
      <c r="E56" s="166"/>
      <c r="F56" s="421"/>
      <c r="G56" s="422"/>
      <c r="H56" s="422"/>
      <c r="I56" s="422"/>
      <c r="J56" s="422"/>
      <c r="K56" s="422"/>
      <c r="L56" s="422"/>
      <c r="M56" s="423"/>
      <c r="N56" s="165"/>
      <c r="O56" s="16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66"/>
      <c r="D57" s="166"/>
      <c r="E57" s="166"/>
      <c r="F57" s="421"/>
      <c r="G57" s="422"/>
      <c r="H57" s="422"/>
      <c r="I57" s="422"/>
      <c r="J57" s="422"/>
      <c r="K57" s="422"/>
      <c r="L57" s="422"/>
      <c r="M57" s="423"/>
      <c r="N57" s="165"/>
      <c r="O57" s="16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66"/>
      <c r="D58" s="166"/>
      <c r="E58" s="166"/>
      <c r="F58" s="421"/>
      <c r="G58" s="422"/>
      <c r="H58" s="422"/>
      <c r="I58" s="422"/>
      <c r="J58" s="422"/>
      <c r="K58" s="422"/>
      <c r="L58" s="422"/>
      <c r="M58" s="423"/>
      <c r="N58" s="165"/>
      <c r="O58" s="16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66"/>
      <c r="D59" s="166"/>
      <c r="E59" s="166"/>
      <c r="F59" s="421"/>
      <c r="G59" s="422"/>
      <c r="H59" s="422"/>
      <c r="I59" s="422"/>
      <c r="J59" s="422"/>
      <c r="K59" s="422"/>
      <c r="L59" s="422"/>
      <c r="M59" s="423"/>
      <c r="N59" s="165"/>
      <c r="O59" s="16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67"/>
      <c r="D60" s="167"/>
      <c r="E60" s="167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287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64" t="s">
        <v>2</v>
      </c>
      <c r="D62" s="164" t="s">
        <v>37</v>
      </c>
      <c r="E62" s="164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64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159"/>
      <c r="E63" s="162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159"/>
      <c r="E64" s="162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59"/>
      <c r="E65" s="16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59"/>
      <c r="E66" s="16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59"/>
      <c r="E67" s="16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59"/>
      <c r="E68" s="162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59"/>
      <c r="E69" s="162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59"/>
      <c r="E70" s="16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288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61" t="s">
        <v>2</v>
      </c>
      <c r="D72" s="161" t="s">
        <v>37</v>
      </c>
      <c r="E72" s="161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60" t="s">
        <v>114</v>
      </c>
      <c r="D73" s="160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59"/>
      <c r="D74" s="159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3">A74+1</f>
        <v>3</v>
      </c>
      <c r="B75" s="368"/>
      <c r="C75" s="159"/>
      <c r="D75" s="159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3"/>
        <v>4</v>
      </c>
      <c r="B76" s="368"/>
      <c r="C76" s="159"/>
      <c r="D76" s="15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3"/>
        <v>5</v>
      </c>
      <c r="B77" s="368"/>
      <c r="C77" s="159"/>
      <c r="D77" s="15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3"/>
        <v>6</v>
      </c>
      <c r="B78" s="368"/>
      <c r="C78" s="159"/>
      <c r="D78" s="15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3"/>
        <v>7</v>
      </c>
      <c r="B79" s="368"/>
      <c r="C79" s="159"/>
      <c r="D79" s="15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3"/>
        <v>8</v>
      </c>
      <c r="B80" s="368"/>
      <c r="C80" s="159"/>
      <c r="D80" s="15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3"/>
        <v>9</v>
      </c>
      <c r="B81" s="368"/>
      <c r="C81" s="159"/>
      <c r="D81" s="15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289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C0E6-5D90-4875-9531-458E49C6F661}">
  <dimension ref="A1:AF86"/>
  <sheetViews>
    <sheetView zoomScale="72" zoomScaleNormal="72" zoomScaleSheetLayoutView="70" workbookViewId="0">
      <selection activeCell="L14" sqref="L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290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70" t="s">
        <v>17</v>
      </c>
      <c r="L5" s="170" t="s">
        <v>18</v>
      </c>
      <c r="M5" s="170" t="s">
        <v>19</v>
      </c>
      <c r="N5" s="1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0.45833333333333326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0.45833333333333326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291</v>
      </c>
      <c r="F8" s="30" t="s">
        <v>124</v>
      </c>
      <c r="G8" s="33">
        <v>1</v>
      </c>
      <c r="H8" s="35">
        <v>24</v>
      </c>
      <c r="I8" s="7">
        <v>2000</v>
      </c>
      <c r="J8" s="14">
        <v>4143</v>
      </c>
      <c r="K8" s="15">
        <f>L8</f>
        <v>4143</v>
      </c>
      <c r="L8" s="15">
        <f>1167+2976</f>
        <v>4143</v>
      </c>
      <c r="M8" s="15">
        <f t="shared" si="1"/>
        <v>4143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0.45833333333333326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4870</v>
      </c>
      <c r="K9" s="15">
        <f>L9+5189+5656+3625+3716+5857</f>
        <v>28913</v>
      </c>
      <c r="L9" s="15">
        <f>2520+2350</f>
        <v>4870</v>
      </c>
      <c r="M9" s="15">
        <f t="shared" si="1"/>
        <v>4870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0.45833333333333326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245</v>
      </c>
      <c r="E10" s="53" t="s">
        <v>246</v>
      </c>
      <c r="F10" s="30" t="s">
        <v>247</v>
      </c>
      <c r="G10" s="33">
        <v>32</v>
      </c>
      <c r="H10" s="35">
        <v>24</v>
      </c>
      <c r="I10" s="7">
        <v>300000</v>
      </c>
      <c r="J10" s="5">
        <v>203648</v>
      </c>
      <c r="K10" s="15">
        <f>L10+99456+24256</f>
        <v>327360</v>
      </c>
      <c r="L10" s="15">
        <f>2963*32+3401*32</f>
        <v>203648</v>
      </c>
      <c r="M10" s="15">
        <f t="shared" si="1"/>
        <v>203648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0.45833333333333326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196</v>
      </c>
      <c r="F11" s="30" t="s">
        <v>150</v>
      </c>
      <c r="G11" s="33">
        <v>1</v>
      </c>
      <c r="H11" s="35">
        <v>20</v>
      </c>
      <c r="I11" s="7">
        <v>3000</v>
      </c>
      <c r="J11" s="14">
        <v>2212</v>
      </c>
      <c r="K11" s="15">
        <f>L11</f>
        <v>2212</v>
      </c>
      <c r="L11" s="15">
        <f>716+1496</f>
        <v>2212</v>
      </c>
      <c r="M11" s="15">
        <f t="shared" si="1"/>
        <v>2212</v>
      </c>
      <c r="N11" s="15">
        <v>0</v>
      </c>
      <c r="O11" s="58">
        <f t="shared" si="2"/>
        <v>0</v>
      </c>
      <c r="P11" s="39">
        <f t="shared" si="3"/>
        <v>10</v>
      </c>
      <c r="Q11" s="40">
        <f t="shared" si="4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0.41666666666666669</v>
      </c>
      <c r="AD11" s="10">
        <f t="shared" si="7"/>
        <v>0.41666666666666669</v>
      </c>
      <c r="AE11" s="36">
        <f t="shared" si="8"/>
        <v>0.45833333333333326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10000</v>
      </c>
      <c r="J12" s="14">
        <v>2181</v>
      </c>
      <c r="K12" s="15">
        <f>L12+2475+2001</f>
        <v>6657</v>
      </c>
      <c r="L12" s="15">
        <f>1348+833</f>
        <v>2181</v>
      </c>
      <c r="M12" s="15">
        <f t="shared" si="1"/>
        <v>2181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si="7"/>
        <v>0.45833333333333331</v>
      </c>
      <c r="AE12" s="36">
        <f t="shared" si="8"/>
        <v>0.45833333333333326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123</v>
      </c>
      <c r="E13" s="53" t="s">
        <v>266</v>
      </c>
      <c r="F13" s="30" t="s">
        <v>197</v>
      </c>
      <c r="G13" s="33">
        <v>1</v>
      </c>
      <c r="H13" s="35">
        <v>24</v>
      </c>
      <c r="I13" s="7">
        <v>11000</v>
      </c>
      <c r="J13" s="14">
        <v>5599</v>
      </c>
      <c r="K13" s="15">
        <f>L13+5347+5599</f>
        <v>10946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0.45833333333333326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0.45833333333333326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161</v>
      </c>
      <c r="D15" s="52" t="s">
        <v>162</v>
      </c>
      <c r="E15" s="53" t="s">
        <v>163</v>
      </c>
      <c r="F15" s="12" t="s">
        <v>164</v>
      </c>
      <c r="G15" s="12">
        <v>8</v>
      </c>
      <c r="H15" s="13">
        <v>24</v>
      </c>
      <c r="I15" s="31">
        <v>100000</v>
      </c>
      <c r="J15" s="14">
        <v>25314</v>
      </c>
      <c r="K15" s="15">
        <f>L15+39270+48846+41682+40914+25314</f>
        <v>196026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0.45833333333333326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125</v>
      </c>
      <c r="D16" s="52" t="s">
        <v>133</v>
      </c>
      <c r="E16" s="53" t="s">
        <v>275</v>
      </c>
      <c r="F16" s="12" t="s">
        <v>135</v>
      </c>
      <c r="G16" s="12">
        <v>1</v>
      </c>
      <c r="H16" s="13">
        <v>24</v>
      </c>
      <c r="I16" s="7">
        <f>10000+13000</f>
        <v>23000</v>
      </c>
      <c r="J16" s="14">
        <v>5066</v>
      </c>
      <c r="K16" s="15">
        <f>L16+5645</f>
        <v>10711</v>
      </c>
      <c r="L16" s="15">
        <f>2334+2732</f>
        <v>5066</v>
      </c>
      <c r="M16" s="15">
        <f t="shared" si="1"/>
        <v>5066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0.45833333333333326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6164</v>
      </c>
      <c r="K17" s="15">
        <f>L17+3416+6352+6164</f>
        <v>15932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0.45833333333333326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126</v>
      </c>
      <c r="E18" s="53" t="s">
        <v>199</v>
      </c>
      <c r="F18" s="30" t="s">
        <v>128</v>
      </c>
      <c r="G18" s="33">
        <v>1</v>
      </c>
      <c r="H18" s="35">
        <v>24</v>
      </c>
      <c r="I18" s="7">
        <v>10000</v>
      </c>
      <c r="J18" s="5">
        <v>4518</v>
      </c>
      <c r="K18" s="15">
        <f>L18+3523+1963+3409+5053+5104</f>
        <v>23570</v>
      </c>
      <c r="L18" s="15">
        <f>2208+2310</f>
        <v>4518</v>
      </c>
      <c r="M18" s="15">
        <f t="shared" si="1"/>
        <v>4518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0.45833333333333326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285</v>
      </c>
      <c r="F19" s="30" t="s">
        <v>122</v>
      </c>
      <c r="G19" s="33">
        <v>1</v>
      </c>
      <c r="H19" s="35">
        <v>24</v>
      </c>
      <c r="I19" s="7">
        <v>3000</v>
      </c>
      <c r="J19" s="5">
        <v>3284</v>
      </c>
      <c r="K19" s="15">
        <f>L19</f>
        <v>3284</v>
      </c>
      <c r="L19" s="15">
        <f>468+2816</f>
        <v>3284</v>
      </c>
      <c r="M19" s="15">
        <f t="shared" si="1"/>
        <v>3284</v>
      </c>
      <c r="N19" s="15">
        <v>0</v>
      </c>
      <c r="O19" s="58">
        <f t="shared" si="2"/>
        <v>0</v>
      </c>
      <c r="P19" s="39">
        <f t="shared" si="3"/>
        <v>18</v>
      </c>
      <c r="Q19" s="40">
        <f t="shared" si="4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0.75</v>
      </c>
      <c r="AD19" s="10">
        <f t="shared" ref="AD19" si="10">AC19*AB19*(1-O19)</f>
        <v>0.75</v>
      </c>
      <c r="AE19" s="36">
        <f t="shared" si="8"/>
        <v>0.45833333333333326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138</v>
      </c>
      <c r="F20" s="12" t="s">
        <v>116</v>
      </c>
      <c r="G20" s="12">
        <v>4</v>
      </c>
      <c r="H20" s="35">
        <v>20</v>
      </c>
      <c r="I20" s="7">
        <v>300000</v>
      </c>
      <c r="J20" s="14">
        <v>36116</v>
      </c>
      <c r="K20" s="15">
        <f>L20+29424+37208+44092+42392+41500+45324</f>
        <v>276056</v>
      </c>
      <c r="L20" s="15">
        <f>9029*4</f>
        <v>36116</v>
      </c>
      <c r="M20" s="15">
        <f t="shared" si="1"/>
        <v>36116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/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si="7"/>
        <v>0.45833333333333331</v>
      </c>
      <c r="AE20" s="36">
        <f t="shared" si="8"/>
        <v>0.45833333333333326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1">SUM(I6:I20)</f>
        <v>847000</v>
      </c>
      <c r="J21" s="19">
        <f t="shared" si="11"/>
        <v>305307</v>
      </c>
      <c r="K21" s="20">
        <f t="shared" si="11"/>
        <v>917358</v>
      </c>
      <c r="L21" s="21">
        <f t="shared" si="11"/>
        <v>266038</v>
      </c>
      <c r="M21" s="20">
        <f t="shared" si="11"/>
        <v>266038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165</v>
      </c>
      <c r="Q21" s="43">
        <f t="shared" si="12"/>
        <v>195</v>
      </c>
      <c r="R21" s="23">
        <f t="shared" si="12"/>
        <v>48</v>
      </c>
      <c r="S21" s="24">
        <f t="shared" si="12"/>
        <v>38</v>
      </c>
      <c r="T21" s="24">
        <f t="shared" si="12"/>
        <v>0</v>
      </c>
      <c r="U21" s="24">
        <f t="shared" si="12"/>
        <v>0</v>
      </c>
      <c r="V21" s="25">
        <f t="shared" si="12"/>
        <v>37</v>
      </c>
      <c r="W21" s="26">
        <f t="shared" si="12"/>
        <v>24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48</v>
      </c>
      <c r="AB21" s="28">
        <f>SUM(AB6:AB20)/15</f>
        <v>0.6</v>
      </c>
      <c r="AC21" s="4">
        <f>SUM(AC6:AC20)/15</f>
        <v>0.45833333333333326</v>
      </c>
      <c r="AD21" s="4">
        <f>SUM(AD6:AD20)/15</f>
        <v>0.45833333333333326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297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296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71" t="s">
        <v>46</v>
      </c>
      <c r="D50" s="171" t="s">
        <v>47</v>
      </c>
      <c r="E50" s="171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71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125</v>
      </c>
      <c r="B51" s="420"/>
      <c r="C51" s="173" t="s">
        <v>292</v>
      </c>
      <c r="D51" s="173" t="s">
        <v>123</v>
      </c>
      <c r="E51" s="173" t="s">
        <v>291</v>
      </c>
      <c r="F51" s="421" t="s">
        <v>121</v>
      </c>
      <c r="G51" s="422"/>
      <c r="H51" s="422"/>
      <c r="I51" s="422"/>
      <c r="J51" s="422"/>
      <c r="K51" s="422"/>
      <c r="L51" s="422"/>
      <c r="M51" s="423"/>
      <c r="N51" s="172" t="s">
        <v>114</v>
      </c>
      <c r="O51" s="177" t="s">
        <v>168</v>
      </c>
      <c r="P51" s="433" t="s">
        <v>126</v>
      </c>
      <c r="Q51" s="434"/>
      <c r="R51" s="420" t="s">
        <v>186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173" t="s">
        <v>134</v>
      </c>
      <c r="D52" s="173" t="s">
        <v>117</v>
      </c>
      <c r="E52" s="173" t="s">
        <v>265</v>
      </c>
      <c r="F52" s="421" t="s">
        <v>293</v>
      </c>
      <c r="G52" s="422"/>
      <c r="H52" s="422"/>
      <c r="I52" s="422"/>
      <c r="J52" s="422"/>
      <c r="K52" s="422"/>
      <c r="L52" s="422"/>
      <c r="M52" s="423"/>
      <c r="N52" s="172" t="s">
        <v>125</v>
      </c>
      <c r="O52" s="177" t="s">
        <v>134</v>
      </c>
      <c r="P52" s="433" t="s">
        <v>117</v>
      </c>
      <c r="Q52" s="434"/>
      <c r="R52" s="420" t="s">
        <v>265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173" t="s">
        <v>201</v>
      </c>
      <c r="D53" s="173" t="s">
        <v>195</v>
      </c>
      <c r="E53" s="173" t="s">
        <v>196</v>
      </c>
      <c r="F53" s="421" t="s">
        <v>294</v>
      </c>
      <c r="G53" s="422"/>
      <c r="H53" s="422"/>
      <c r="I53" s="422"/>
      <c r="J53" s="422"/>
      <c r="K53" s="422"/>
      <c r="L53" s="422"/>
      <c r="M53" s="423"/>
      <c r="N53" s="172" t="s">
        <v>125</v>
      </c>
      <c r="O53" s="177" t="s">
        <v>201</v>
      </c>
      <c r="P53" s="433" t="s">
        <v>195</v>
      </c>
      <c r="Q53" s="434"/>
      <c r="R53" s="420" t="s">
        <v>209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173" t="s">
        <v>168</v>
      </c>
      <c r="D54" s="173" t="s">
        <v>126</v>
      </c>
      <c r="E54" s="173" t="s">
        <v>186</v>
      </c>
      <c r="F54" s="421" t="s">
        <v>295</v>
      </c>
      <c r="G54" s="422"/>
      <c r="H54" s="422"/>
      <c r="I54" s="422"/>
      <c r="J54" s="422"/>
      <c r="K54" s="422"/>
      <c r="L54" s="422"/>
      <c r="M54" s="423"/>
      <c r="N54" s="172" t="s">
        <v>125</v>
      </c>
      <c r="O54" s="177" t="s">
        <v>230</v>
      </c>
      <c r="P54" s="433" t="s">
        <v>117</v>
      </c>
      <c r="Q54" s="434"/>
      <c r="R54" s="420" t="s">
        <v>144</v>
      </c>
      <c r="S54" s="420"/>
      <c r="T54" s="420"/>
      <c r="U54" s="420"/>
      <c r="V54" s="410" t="s">
        <v>232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173" t="s">
        <v>230</v>
      </c>
      <c r="D55" s="173" t="s">
        <v>117</v>
      </c>
      <c r="E55" s="173" t="s">
        <v>285</v>
      </c>
      <c r="F55" s="421" t="s">
        <v>298</v>
      </c>
      <c r="G55" s="422"/>
      <c r="H55" s="422"/>
      <c r="I55" s="422"/>
      <c r="J55" s="422"/>
      <c r="K55" s="422"/>
      <c r="L55" s="422"/>
      <c r="M55" s="423"/>
      <c r="N55" s="172" t="s">
        <v>220</v>
      </c>
      <c r="O55" s="177" t="s">
        <v>299</v>
      </c>
      <c r="P55" s="433"/>
      <c r="Q55" s="434"/>
      <c r="R55" s="420" t="s">
        <v>300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173"/>
      <c r="D56" s="173"/>
      <c r="E56" s="173"/>
      <c r="F56" s="421"/>
      <c r="G56" s="422"/>
      <c r="H56" s="422"/>
      <c r="I56" s="422"/>
      <c r="J56" s="422"/>
      <c r="K56" s="422"/>
      <c r="L56" s="422"/>
      <c r="M56" s="423"/>
      <c r="N56" s="172" t="s">
        <v>220</v>
      </c>
      <c r="O56" s="177" t="s">
        <v>132</v>
      </c>
      <c r="P56" s="433"/>
      <c r="Q56" s="434"/>
      <c r="R56" s="420" t="s">
        <v>301</v>
      </c>
      <c r="S56" s="420"/>
      <c r="T56" s="420"/>
      <c r="U56" s="420"/>
      <c r="V56" s="410" t="s">
        <v>121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73"/>
      <c r="D57" s="173"/>
      <c r="E57" s="173"/>
      <c r="F57" s="421"/>
      <c r="G57" s="422"/>
      <c r="H57" s="422"/>
      <c r="I57" s="422"/>
      <c r="J57" s="422"/>
      <c r="K57" s="422"/>
      <c r="L57" s="422"/>
      <c r="M57" s="423"/>
      <c r="N57" s="172"/>
      <c r="O57" s="177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73"/>
      <c r="D58" s="173"/>
      <c r="E58" s="173"/>
      <c r="F58" s="421"/>
      <c r="G58" s="422"/>
      <c r="H58" s="422"/>
      <c r="I58" s="422"/>
      <c r="J58" s="422"/>
      <c r="K58" s="422"/>
      <c r="L58" s="422"/>
      <c r="M58" s="423"/>
      <c r="N58" s="172"/>
      <c r="O58" s="177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73"/>
      <c r="D59" s="173"/>
      <c r="E59" s="173"/>
      <c r="F59" s="421"/>
      <c r="G59" s="422"/>
      <c r="H59" s="422"/>
      <c r="I59" s="422"/>
      <c r="J59" s="422"/>
      <c r="K59" s="422"/>
      <c r="L59" s="422"/>
      <c r="M59" s="423"/>
      <c r="N59" s="172"/>
      <c r="O59" s="177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74"/>
      <c r="D60" s="174"/>
      <c r="E60" s="174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302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75" t="s">
        <v>2</v>
      </c>
      <c r="D62" s="175" t="s">
        <v>37</v>
      </c>
      <c r="E62" s="175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75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179"/>
      <c r="E63" s="176" t="s">
        <v>133</v>
      </c>
      <c r="F63" s="408" t="s">
        <v>303</v>
      </c>
      <c r="G63" s="400"/>
      <c r="H63" s="400"/>
      <c r="I63" s="400"/>
      <c r="J63" s="400"/>
      <c r="K63" s="400" t="s">
        <v>135</v>
      </c>
      <c r="L63" s="400"/>
      <c r="M63" s="51" t="s">
        <v>136</v>
      </c>
      <c r="N63" s="411" t="s">
        <v>129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114</v>
      </c>
      <c r="D64" s="179"/>
      <c r="E64" s="176" t="s">
        <v>240</v>
      </c>
      <c r="F64" s="408" t="s">
        <v>304</v>
      </c>
      <c r="G64" s="400"/>
      <c r="H64" s="400"/>
      <c r="I64" s="400"/>
      <c r="J64" s="400"/>
      <c r="K64" s="400" t="s">
        <v>158</v>
      </c>
      <c r="L64" s="400"/>
      <c r="M64" s="51" t="s">
        <v>136</v>
      </c>
      <c r="N64" s="411" t="s">
        <v>228</v>
      </c>
      <c r="O64" s="411"/>
      <c r="P64" s="409"/>
      <c r="Q64" s="409"/>
      <c r="R64" s="410" t="s">
        <v>305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79"/>
      <c r="E65" s="176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79"/>
      <c r="E66" s="176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79"/>
      <c r="E67" s="176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79"/>
      <c r="E68" s="176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79"/>
      <c r="E69" s="176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79"/>
      <c r="E70" s="176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306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78" t="s">
        <v>2</v>
      </c>
      <c r="D72" s="178" t="s">
        <v>37</v>
      </c>
      <c r="E72" s="178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80" t="s">
        <v>114</v>
      </c>
      <c r="D73" s="180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79"/>
      <c r="D74" s="179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3">A74+1</f>
        <v>3</v>
      </c>
      <c r="B75" s="368"/>
      <c r="C75" s="179"/>
      <c r="D75" s="179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3"/>
        <v>4</v>
      </c>
      <c r="B76" s="368"/>
      <c r="C76" s="179"/>
      <c r="D76" s="17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3"/>
        <v>5</v>
      </c>
      <c r="B77" s="368"/>
      <c r="C77" s="179"/>
      <c r="D77" s="17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3"/>
        <v>6</v>
      </c>
      <c r="B78" s="368"/>
      <c r="C78" s="179"/>
      <c r="D78" s="17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3"/>
        <v>7</v>
      </c>
      <c r="B79" s="368"/>
      <c r="C79" s="179"/>
      <c r="D79" s="17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3"/>
        <v>8</v>
      </c>
      <c r="B80" s="368"/>
      <c r="C80" s="179"/>
      <c r="D80" s="17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3"/>
        <v>9</v>
      </c>
      <c r="B81" s="368"/>
      <c r="C81" s="179"/>
      <c r="D81" s="17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307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80D1-2F9E-4821-A1BF-D642DA191C60}">
  <dimension ref="A1:AF87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308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91" t="s">
        <v>17</v>
      </c>
      <c r="L5" s="191" t="s">
        <v>18</v>
      </c>
      <c r="M5" s="191" t="s">
        <v>19</v>
      </c>
      <c r="N5" s="1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9" si="8">$AD$22</f>
        <v>0.45688394722094861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0.45688394722094861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90000</v>
      </c>
      <c r="J8" s="14">
        <v>4230</v>
      </c>
      <c r="K8" s="15">
        <f>L8+3759+5540+5479+2152+4687+4572+4460+5472+5734+5748+5664+5832+5688</f>
        <v>69017</v>
      </c>
      <c r="L8" s="15">
        <f>2720+1510</f>
        <v>4230</v>
      </c>
      <c r="M8" s="15">
        <f t="shared" si="1"/>
        <v>4230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0.45688394722094861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1766</v>
      </c>
      <c r="K9" s="15">
        <f>L9+5189+5656+3625+3716+5857+4870</f>
        <v>30679</v>
      </c>
      <c r="L9" s="15">
        <f>1766</f>
        <v>1766</v>
      </c>
      <c r="M9" s="15">
        <f t="shared" si="1"/>
        <v>1766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0.45688394722094861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245</v>
      </c>
      <c r="E10" s="53" t="s">
        <v>246</v>
      </c>
      <c r="F10" s="30" t="s">
        <v>247</v>
      </c>
      <c r="G10" s="33">
        <v>32</v>
      </c>
      <c r="H10" s="35">
        <v>24</v>
      </c>
      <c r="I10" s="7">
        <v>300000</v>
      </c>
      <c r="J10" s="5">
        <v>207904</v>
      </c>
      <c r="K10" s="15">
        <f>L10+99456+24256+203648</f>
        <v>535264</v>
      </c>
      <c r="L10" s="15">
        <f>3133*32+3364*32</f>
        <v>207904</v>
      </c>
      <c r="M10" s="15">
        <f t="shared" si="1"/>
        <v>207904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0.45688394722094861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15000</v>
      </c>
      <c r="J11" s="14">
        <v>2810</v>
      </c>
      <c r="K11" s="15">
        <f>L11</f>
        <v>2810</v>
      </c>
      <c r="L11" s="15">
        <f>1658+1152</f>
        <v>2810</v>
      </c>
      <c r="M11" s="15">
        <f t="shared" si="1"/>
        <v>2810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 t="shared" si="7"/>
        <v>0.58333333333333337</v>
      </c>
      <c r="AE11" s="36">
        <f t="shared" si="8"/>
        <v>0.45688394722094861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25000</v>
      </c>
      <c r="J12" s="14">
        <v>2181</v>
      </c>
      <c r="K12" s="15">
        <f>L12+2475+2001+2181</f>
        <v>9086</v>
      </c>
      <c r="L12" s="15">
        <f>1457+972</f>
        <v>2429</v>
      </c>
      <c r="M12" s="15">
        <f t="shared" si="1"/>
        <v>2429</v>
      </c>
      <c r="N12" s="15">
        <v>0</v>
      </c>
      <c r="O12" s="58">
        <f t="shared" si="2"/>
        <v>0</v>
      </c>
      <c r="P12" s="39">
        <f t="shared" si="3"/>
        <v>13</v>
      </c>
      <c r="Q12" s="40">
        <f t="shared" si="4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1.1137093076570381</v>
      </c>
      <c r="AC12" s="9">
        <f t="shared" si="6"/>
        <v>0.54166666666666663</v>
      </c>
      <c r="AD12" s="10">
        <f t="shared" si="7"/>
        <v>0.60325920831422897</v>
      </c>
      <c r="AE12" s="36">
        <f t="shared" si="8"/>
        <v>0.45688394722094861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123</v>
      </c>
      <c r="E13" s="53" t="s">
        <v>266</v>
      </c>
      <c r="F13" s="30" t="s">
        <v>197</v>
      </c>
      <c r="G13" s="33">
        <v>1</v>
      </c>
      <c r="H13" s="35">
        <v>24</v>
      </c>
      <c r="I13" s="7">
        <v>11000</v>
      </c>
      <c r="J13" s="14">
        <v>5599</v>
      </c>
      <c r="K13" s="15">
        <f>L13+5347+5599</f>
        <v>10946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0.45688394722094861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0.45688394722094861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300</v>
      </c>
      <c r="F15" s="12" t="s">
        <v>222</v>
      </c>
      <c r="G15" s="12">
        <v>1</v>
      </c>
      <c r="H15" s="13">
        <v>24</v>
      </c>
      <c r="I15" s="31">
        <v>500</v>
      </c>
      <c r="J15" s="14">
        <v>1114</v>
      </c>
      <c r="K15" s="15">
        <f>L15</f>
        <v>1114</v>
      </c>
      <c r="L15" s="15">
        <f>1114</f>
        <v>1114</v>
      </c>
      <c r="M15" s="15">
        <f t="shared" si="1"/>
        <v>1114</v>
      </c>
      <c r="N15" s="15">
        <v>0</v>
      </c>
      <c r="O15" s="58">
        <f t="shared" si="2"/>
        <v>0</v>
      </c>
      <c r="P15" s="39">
        <f t="shared" si="3"/>
        <v>9</v>
      </c>
      <c r="Q15" s="40">
        <f t="shared" si="4"/>
        <v>15</v>
      </c>
      <c r="R15" s="7"/>
      <c r="S15" s="6"/>
      <c r="T15" s="16"/>
      <c r="U15" s="16"/>
      <c r="V15" s="17"/>
      <c r="W15" s="5">
        <v>15</v>
      </c>
      <c r="X15" s="16"/>
      <c r="Y15" s="16"/>
      <c r="Z15" s="16"/>
      <c r="AA15" s="18"/>
      <c r="AB15" s="8">
        <f t="shared" si="5"/>
        <v>1</v>
      </c>
      <c r="AC15" s="9">
        <f t="shared" si="6"/>
        <v>0.375</v>
      </c>
      <c r="AD15" s="10">
        <f t="shared" si="7"/>
        <v>0.375</v>
      </c>
      <c r="AE15" s="36">
        <f t="shared" si="8"/>
        <v>0.45688394722094861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125</v>
      </c>
      <c r="D16" s="52" t="s">
        <v>133</v>
      </c>
      <c r="E16" s="53" t="s">
        <v>275</v>
      </c>
      <c r="F16" s="12" t="s">
        <v>135</v>
      </c>
      <c r="G16" s="12">
        <v>1</v>
      </c>
      <c r="H16" s="13">
        <v>24</v>
      </c>
      <c r="I16" s="7">
        <f>10000+13000</f>
        <v>23000</v>
      </c>
      <c r="J16" s="14">
        <v>5065</v>
      </c>
      <c r="K16" s="15">
        <f>L16+5645+5066</f>
        <v>15776</v>
      </c>
      <c r="L16" s="15">
        <f>2555+2510</f>
        <v>5065</v>
      </c>
      <c r="M16" s="15">
        <f t="shared" si="1"/>
        <v>5065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0.45688394722094861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6164</v>
      </c>
      <c r="K17" s="15">
        <f>L17+3416+6352+6164</f>
        <v>15932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0.45688394722094861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220</v>
      </c>
      <c r="D18" s="52"/>
      <c r="E18" s="53" t="s">
        <v>301</v>
      </c>
      <c r="F18" s="30" t="s">
        <v>236</v>
      </c>
      <c r="G18" s="33">
        <v>1</v>
      </c>
      <c r="H18" s="35">
        <v>24</v>
      </c>
      <c r="I18" s="7">
        <v>500</v>
      </c>
      <c r="J18" s="5">
        <v>1118</v>
      </c>
      <c r="K18" s="15">
        <f>L18</f>
        <v>1118</v>
      </c>
      <c r="L18" s="15">
        <v>1118</v>
      </c>
      <c r="M18" s="15">
        <f t="shared" ref="M18" si="10">L18-N18</f>
        <v>1118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8</v>
      </c>
      <c r="Q18" s="40">
        <f t="shared" ref="Q18" si="13">SUM(R18:AA18)</f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0.33333333333333331</v>
      </c>
      <c r="AD18" s="10">
        <f>AC18*AB18*(1-O18)</f>
        <v>0.33333333333333331</v>
      </c>
      <c r="AE18" s="36">
        <f t="shared" si="8"/>
        <v>0.45688394722094861</v>
      </c>
      <c r="AF18" s="87">
        <f t="shared" ref="AF18" si="16">A18</f>
        <v>13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133</v>
      </c>
      <c r="E19" s="53" t="s">
        <v>309</v>
      </c>
      <c r="F19" s="30" t="s">
        <v>135</v>
      </c>
      <c r="G19" s="33">
        <v>1</v>
      </c>
      <c r="H19" s="35">
        <v>24</v>
      </c>
      <c r="I19" s="7">
        <v>500</v>
      </c>
      <c r="J19" s="5">
        <v>559</v>
      </c>
      <c r="K19" s="15">
        <f>L19</f>
        <v>559</v>
      </c>
      <c r="L19" s="15">
        <v>559</v>
      </c>
      <c r="M19" s="15">
        <f t="shared" si="1"/>
        <v>559</v>
      </c>
      <c r="N19" s="15">
        <v>0</v>
      </c>
      <c r="O19" s="58">
        <f t="shared" si="2"/>
        <v>0</v>
      </c>
      <c r="P19" s="39">
        <f t="shared" si="3"/>
        <v>4</v>
      </c>
      <c r="Q19" s="40">
        <f t="shared" si="4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5"/>
        <v>1</v>
      </c>
      <c r="AC19" s="9">
        <f t="shared" si="6"/>
        <v>0.16666666666666666</v>
      </c>
      <c r="AD19" s="10">
        <f>AC19*AB19*(1-O19)</f>
        <v>0.16666666666666666</v>
      </c>
      <c r="AE19" s="36">
        <f t="shared" si="8"/>
        <v>0.45688394722094861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144</v>
      </c>
      <c r="F20" s="30" t="s">
        <v>122</v>
      </c>
      <c r="G20" s="33">
        <v>1</v>
      </c>
      <c r="H20" s="35">
        <v>24</v>
      </c>
      <c r="I20" s="7">
        <v>90000</v>
      </c>
      <c r="J20" s="5">
        <v>4282</v>
      </c>
      <c r="K20" s="15">
        <f>L20+4376+4932+3746+2629+4823+3796+4027+5078+3986+4575</f>
        <v>46250</v>
      </c>
      <c r="L20" s="15">
        <f>2103+2179</f>
        <v>4282</v>
      </c>
      <c r="M20" s="15">
        <f t="shared" si="1"/>
        <v>4282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ref="AD20" si="17">AC20*AB20*(1-O20)</f>
        <v>0.91666666666666663</v>
      </c>
      <c r="AE20" s="36">
        <f t="shared" ref="AE20" si="18">$AD$21</f>
        <v>0.54166666666666663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138</v>
      </c>
      <c r="F21" s="12" t="s">
        <v>116</v>
      </c>
      <c r="G21" s="12">
        <v>4</v>
      </c>
      <c r="H21" s="35">
        <v>20</v>
      </c>
      <c r="I21" s="7">
        <v>300000</v>
      </c>
      <c r="J21" s="14">
        <v>42100</v>
      </c>
      <c r="K21" s="15">
        <f>L21+29424+37208+44092+42392+41500+45324+36116</f>
        <v>318156</v>
      </c>
      <c r="L21" s="15">
        <f>10525*4</f>
        <v>42100</v>
      </c>
      <c r="M21" s="15">
        <f t="shared" si="1"/>
        <v>42100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>$AD$22</f>
        <v>0.45688394722094861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9">SUM(I6:I21)</f>
        <v>940500</v>
      </c>
      <c r="J22" s="19">
        <f t="shared" si="19"/>
        <v>287084</v>
      </c>
      <c r="K22" s="20">
        <f t="shared" si="19"/>
        <v>1068255</v>
      </c>
      <c r="L22" s="21">
        <f t="shared" si="19"/>
        <v>273377</v>
      </c>
      <c r="M22" s="20">
        <f t="shared" si="19"/>
        <v>273377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163</v>
      </c>
      <c r="Q22" s="43">
        <f t="shared" si="20"/>
        <v>221</v>
      </c>
      <c r="R22" s="23">
        <f t="shared" si="20"/>
        <v>48</v>
      </c>
      <c r="S22" s="24">
        <f t="shared" si="20"/>
        <v>39</v>
      </c>
      <c r="T22" s="24">
        <f t="shared" si="20"/>
        <v>0</v>
      </c>
      <c r="U22" s="24">
        <f t="shared" si="20"/>
        <v>0</v>
      </c>
      <c r="V22" s="25">
        <f t="shared" si="20"/>
        <v>35</v>
      </c>
      <c r="W22" s="26">
        <f t="shared" si="20"/>
        <v>51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48</v>
      </c>
      <c r="AB22" s="28">
        <f>SUM(AB6:AB21)/15</f>
        <v>0.74091395384380254</v>
      </c>
      <c r="AC22" s="4">
        <f>SUM(AC6:AC21)/15</f>
        <v>0.45277777777777778</v>
      </c>
      <c r="AD22" s="4">
        <f>SUM(AD6:AD21)/15</f>
        <v>0.45688394722094861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310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312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90" t="s">
        <v>46</v>
      </c>
      <c r="D51" s="190" t="s">
        <v>47</v>
      </c>
      <c r="E51" s="190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190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125</v>
      </c>
      <c r="B52" s="420"/>
      <c r="C52" s="188" t="s">
        <v>292</v>
      </c>
      <c r="D52" s="188" t="s">
        <v>123</v>
      </c>
      <c r="E52" s="188" t="s">
        <v>143</v>
      </c>
      <c r="F52" s="421" t="s">
        <v>121</v>
      </c>
      <c r="G52" s="422"/>
      <c r="H52" s="422"/>
      <c r="I52" s="422"/>
      <c r="J52" s="422"/>
      <c r="K52" s="422"/>
      <c r="L52" s="422"/>
      <c r="M52" s="423"/>
      <c r="N52" s="187" t="s">
        <v>125</v>
      </c>
      <c r="O52" s="185" t="s">
        <v>201</v>
      </c>
      <c r="P52" s="433" t="s">
        <v>195</v>
      </c>
      <c r="Q52" s="434"/>
      <c r="R52" s="420" t="s">
        <v>209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188" t="s">
        <v>134</v>
      </c>
      <c r="D53" s="188" t="s">
        <v>117</v>
      </c>
      <c r="E53" s="188" t="s">
        <v>265</v>
      </c>
      <c r="F53" s="421" t="s">
        <v>293</v>
      </c>
      <c r="G53" s="422"/>
      <c r="H53" s="422"/>
      <c r="I53" s="422"/>
      <c r="J53" s="422"/>
      <c r="K53" s="422"/>
      <c r="L53" s="422"/>
      <c r="M53" s="423"/>
      <c r="N53" s="187" t="s">
        <v>125</v>
      </c>
      <c r="O53" s="185" t="s">
        <v>134</v>
      </c>
      <c r="P53" s="433" t="s">
        <v>117</v>
      </c>
      <c r="Q53" s="434"/>
      <c r="R53" s="420" t="s">
        <v>265</v>
      </c>
      <c r="S53" s="420"/>
      <c r="T53" s="420"/>
      <c r="U53" s="420"/>
      <c r="V53" s="410" t="s">
        <v>127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188" t="s">
        <v>201</v>
      </c>
      <c r="D54" s="188" t="s">
        <v>195</v>
      </c>
      <c r="E54" s="188" t="s">
        <v>209</v>
      </c>
      <c r="F54" s="421" t="s">
        <v>293</v>
      </c>
      <c r="G54" s="422"/>
      <c r="H54" s="422"/>
      <c r="I54" s="422"/>
      <c r="J54" s="422"/>
      <c r="K54" s="422"/>
      <c r="L54" s="422"/>
      <c r="M54" s="423"/>
      <c r="N54" s="187" t="s">
        <v>125</v>
      </c>
      <c r="O54" s="185" t="s">
        <v>230</v>
      </c>
      <c r="P54" s="433" t="s">
        <v>117</v>
      </c>
      <c r="Q54" s="434"/>
      <c r="R54" s="420" t="s">
        <v>144</v>
      </c>
      <c r="S54" s="420"/>
      <c r="T54" s="420"/>
      <c r="U54" s="420"/>
      <c r="V54" s="410" t="s">
        <v>127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188" t="s">
        <v>168</v>
      </c>
      <c r="D55" s="188" t="s">
        <v>126</v>
      </c>
      <c r="E55" s="188" t="s">
        <v>186</v>
      </c>
      <c r="F55" s="421" t="s">
        <v>127</v>
      </c>
      <c r="G55" s="422"/>
      <c r="H55" s="422"/>
      <c r="I55" s="422"/>
      <c r="J55" s="422"/>
      <c r="K55" s="422"/>
      <c r="L55" s="422"/>
      <c r="M55" s="423"/>
      <c r="N55" s="187" t="s">
        <v>206</v>
      </c>
      <c r="O55" s="185" t="s">
        <v>171</v>
      </c>
      <c r="P55" s="433"/>
      <c r="Q55" s="434"/>
      <c r="R55" s="420" t="s">
        <v>313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125</v>
      </c>
      <c r="B56" s="420"/>
      <c r="C56" s="188" t="s">
        <v>230</v>
      </c>
      <c r="D56" s="188" t="s">
        <v>117</v>
      </c>
      <c r="E56" s="188" t="s">
        <v>144</v>
      </c>
      <c r="F56" s="421" t="s">
        <v>293</v>
      </c>
      <c r="G56" s="422"/>
      <c r="H56" s="422"/>
      <c r="I56" s="422"/>
      <c r="J56" s="422"/>
      <c r="K56" s="422"/>
      <c r="L56" s="422"/>
      <c r="M56" s="423"/>
      <c r="N56" s="187" t="s">
        <v>114</v>
      </c>
      <c r="O56" s="185" t="s">
        <v>132</v>
      </c>
      <c r="P56" s="433" t="s">
        <v>117</v>
      </c>
      <c r="Q56" s="434"/>
      <c r="R56" s="420" t="s">
        <v>314</v>
      </c>
      <c r="S56" s="420"/>
      <c r="T56" s="420"/>
      <c r="U56" s="420"/>
      <c r="V56" s="410" t="s">
        <v>121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188" t="s">
        <v>132</v>
      </c>
      <c r="D57" s="188" t="s">
        <v>133</v>
      </c>
      <c r="E57" s="188" t="s">
        <v>309</v>
      </c>
      <c r="F57" s="421" t="s">
        <v>311</v>
      </c>
      <c r="G57" s="422"/>
      <c r="H57" s="422"/>
      <c r="I57" s="422"/>
      <c r="J57" s="422"/>
      <c r="K57" s="422"/>
      <c r="L57" s="422"/>
      <c r="M57" s="423"/>
      <c r="N57" s="187"/>
      <c r="O57" s="18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220</v>
      </c>
      <c r="B58" s="420"/>
      <c r="C58" s="188" t="s">
        <v>132</v>
      </c>
      <c r="D58" s="188"/>
      <c r="E58" s="188" t="s">
        <v>301</v>
      </c>
      <c r="F58" s="421" t="s">
        <v>121</v>
      </c>
      <c r="G58" s="422"/>
      <c r="H58" s="422"/>
      <c r="I58" s="422"/>
      <c r="J58" s="422"/>
      <c r="K58" s="422"/>
      <c r="L58" s="422"/>
      <c r="M58" s="423"/>
      <c r="N58" s="187"/>
      <c r="O58" s="18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220</v>
      </c>
      <c r="B59" s="420"/>
      <c r="C59" s="188" t="s">
        <v>299</v>
      </c>
      <c r="D59" s="188"/>
      <c r="E59" s="188" t="s">
        <v>300</v>
      </c>
      <c r="F59" s="421" t="s">
        <v>121</v>
      </c>
      <c r="G59" s="422"/>
      <c r="H59" s="422"/>
      <c r="I59" s="422"/>
      <c r="J59" s="422"/>
      <c r="K59" s="422"/>
      <c r="L59" s="422"/>
      <c r="M59" s="423"/>
      <c r="N59" s="187"/>
      <c r="O59" s="185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188"/>
      <c r="D60" s="188"/>
      <c r="E60" s="188"/>
      <c r="F60" s="421"/>
      <c r="G60" s="422"/>
      <c r="H60" s="422"/>
      <c r="I60" s="422"/>
      <c r="J60" s="422"/>
      <c r="K60" s="422"/>
      <c r="L60" s="422"/>
      <c r="M60" s="423"/>
      <c r="N60" s="187"/>
      <c r="O60" s="185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189"/>
      <c r="D61" s="189"/>
      <c r="E61" s="189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315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186" t="s">
        <v>2</v>
      </c>
      <c r="D63" s="186" t="s">
        <v>37</v>
      </c>
      <c r="E63" s="186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186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114</v>
      </c>
      <c r="D64" s="181"/>
      <c r="E64" s="184" t="s">
        <v>240</v>
      </c>
      <c r="F64" s="408" t="s">
        <v>304</v>
      </c>
      <c r="G64" s="400"/>
      <c r="H64" s="400"/>
      <c r="I64" s="400"/>
      <c r="J64" s="400"/>
      <c r="K64" s="400" t="s">
        <v>158</v>
      </c>
      <c r="L64" s="400"/>
      <c r="M64" s="51" t="s">
        <v>136</v>
      </c>
      <c r="N64" s="411" t="s">
        <v>228</v>
      </c>
      <c r="O64" s="411"/>
      <c r="P64" s="409">
        <v>20</v>
      </c>
      <c r="Q64" s="409"/>
      <c r="R64" s="410" t="s">
        <v>316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114</v>
      </c>
      <c r="D65" s="181"/>
      <c r="E65" s="184" t="s">
        <v>219</v>
      </c>
      <c r="F65" s="408" t="s">
        <v>317</v>
      </c>
      <c r="G65" s="400"/>
      <c r="H65" s="400"/>
      <c r="I65" s="400"/>
      <c r="J65" s="400"/>
      <c r="K65" s="400" t="s">
        <v>135</v>
      </c>
      <c r="L65" s="400"/>
      <c r="M65" s="51" t="s">
        <v>136</v>
      </c>
      <c r="N65" s="411" t="s">
        <v>129</v>
      </c>
      <c r="O65" s="411"/>
      <c r="P65" s="409">
        <v>100</v>
      </c>
      <c r="Q65" s="409"/>
      <c r="R65" s="410" t="s">
        <v>318</v>
      </c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 t="s">
        <v>114</v>
      </c>
      <c r="D66" s="181"/>
      <c r="E66" s="184" t="s">
        <v>117</v>
      </c>
      <c r="F66" s="408" t="s">
        <v>319</v>
      </c>
      <c r="G66" s="400"/>
      <c r="H66" s="400"/>
      <c r="I66" s="400"/>
      <c r="J66" s="400"/>
      <c r="K66" s="400" t="s">
        <v>135</v>
      </c>
      <c r="L66" s="400"/>
      <c r="M66" s="51" t="s">
        <v>136</v>
      </c>
      <c r="N66" s="411" t="s">
        <v>129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181"/>
      <c r="E67" s="184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181"/>
      <c r="E68" s="184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181"/>
      <c r="E69" s="184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181"/>
      <c r="E70" s="184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181"/>
      <c r="E71" s="184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320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183" t="s">
        <v>2</v>
      </c>
      <c r="D73" s="183" t="s">
        <v>37</v>
      </c>
      <c r="E73" s="183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182" t="s">
        <v>114</v>
      </c>
      <c r="D74" s="182"/>
      <c r="E74" s="65" t="s">
        <v>119</v>
      </c>
      <c r="F74" s="389" t="s">
        <v>118</v>
      </c>
      <c r="G74" s="390"/>
      <c r="H74" s="390"/>
      <c r="I74" s="390"/>
      <c r="J74" s="391"/>
      <c r="K74" s="392" t="s">
        <v>120</v>
      </c>
      <c r="L74" s="393"/>
      <c r="M74" s="393"/>
      <c r="N74" s="393"/>
      <c r="O74" s="393"/>
      <c r="P74" s="393"/>
      <c r="Q74" s="393"/>
      <c r="R74" s="393"/>
      <c r="S74" s="394"/>
      <c r="T74" s="395">
        <v>43384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181"/>
      <c r="D75" s="18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1">A75+1</f>
        <v>3</v>
      </c>
      <c r="B76" s="368"/>
      <c r="C76" s="181"/>
      <c r="D76" s="18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1"/>
        <v>4</v>
      </c>
      <c r="B77" s="368"/>
      <c r="C77" s="181"/>
      <c r="D77" s="18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1"/>
        <v>5</v>
      </c>
      <c r="B78" s="368"/>
      <c r="C78" s="181"/>
      <c r="D78" s="18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1"/>
        <v>6</v>
      </c>
      <c r="B79" s="368"/>
      <c r="C79" s="181"/>
      <c r="D79" s="18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1"/>
        <v>7</v>
      </c>
      <c r="B80" s="368"/>
      <c r="C80" s="181"/>
      <c r="D80" s="18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1"/>
        <v>8</v>
      </c>
      <c r="B81" s="368"/>
      <c r="C81" s="181"/>
      <c r="D81" s="18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1"/>
        <v>9</v>
      </c>
      <c r="B82" s="368"/>
      <c r="C82" s="181"/>
      <c r="D82" s="181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321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01E0-432A-4F53-900C-2C14CCEC34FD}"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322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92" t="s">
        <v>17</v>
      </c>
      <c r="L5" s="192" t="s">
        <v>18</v>
      </c>
      <c r="M5" s="192" t="s">
        <v>19</v>
      </c>
      <c r="N5" s="1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0.42777777777777787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0.42777777777777787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323</v>
      </c>
      <c r="F8" s="30" t="s">
        <v>124</v>
      </c>
      <c r="G8" s="33">
        <v>1</v>
      </c>
      <c r="H8" s="35">
        <v>24</v>
      </c>
      <c r="I8" s="7">
        <v>25000</v>
      </c>
      <c r="J8" s="14">
        <v>4693</v>
      </c>
      <c r="K8" s="15">
        <f>L8</f>
        <v>4693</v>
      </c>
      <c r="L8" s="15">
        <f>1809+2884</f>
        <v>4693</v>
      </c>
      <c r="M8" s="15">
        <f t="shared" si="1"/>
        <v>4693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/>
      <c r="T8" s="16">
        <v>2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0.42777777777777787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4863</v>
      </c>
      <c r="K9" s="15">
        <f>L9+5189+5656+3625+3716+5857+4870+1766</f>
        <v>35542</v>
      </c>
      <c r="L9" s="15">
        <f>2327+2536</f>
        <v>4863</v>
      </c>
      <c r="M9" s="15">
        <f t="shared" si="1"/>
        <v>4863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0.42777777777777787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206</v>
      </c>
      <c r="D10" s="52" t="s">
        <v>313</v>
      </c>
      <c r="E10" s="53" t="s">
        <v>324</v>
      </c>
      <c r="F10" s="30" t="s">
        <v>128</v>
      </c>
      <c r="G10" s="33">
        <v>4</v>
      </c>
      <c r="H10" s="35">
        <v>24</v>
      </c>
      <c r="I10" s="7">
        <v>100000</v>
      </c>
      <c r="J10" s="5">
        <v>5172</v>
      </c>
      <c r="K10" s="15">
        <f>L10</f>
        <v>5172</v>
      </c>
      <c r="L10" s="15">
        <f>1293*4</f>
        <v>5172</v>
      </c>
      <c r="M10" s="15">
        <f t="shared" si="1"/>
        <v>5172</v>
      </c>
      <c r="N10" s="15">
        <v>0</v>
      </c>
      <c r="O10" s="58">
        <f t="shared" si="2"/>
        <v>0</v>
      </c>
      <c r="P10" s="39">
        <f t="shared" si="3"/>
        <v>5</v>
      </c>
      <c r="Q10" s="40">
        <f t="shared" si="4"/>
        <v>19</v>
      </c>
      <c r="R10" s="7"/>
      <c r="S10" s="6">
        <v>19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0.20833333333333334</v>
      </c>
      <c r="AD10" s="10">
        <f>AC10*AB10*(1-O10)</f>
        <v>0.20833333333333334</v>
      </c>
      <c r="AE10" s="36">
        <f t="shared" si="8"/>
        <v>0.42777777777777787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15000</v>
      </c>
      <c r="J11" s="14">
        <v>4371</v>
      </c>
      <c r="K11" s="15">
        <f>L11+2810</f>
        <v>7181</v>
      </c>
      <c r="L11" s="15">
        <f>1249+3122</f>
        <v>4371</v>
      </c>
      <c r="M11" s="15">
        <f t="shared" si="1"/>
        <v>4371</v>
      </c>
      <c r="N11" s="15">
        <v>0</v>
      </c>
      <c r="O11" s="58">
        <f t="shared" si="2"/>
        <v>0</v>
      </c>
      <c r="P11" s="39">
        <f t="shared" si="3"/>
        <v>20</v>
      </c>
      <c r="Q11" s="40">
        <f t="shared" si="4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0.83333333333333337</v>
      </c>
      <c r="AD11" s="10">
        <f t="shared" si="7"/>
        <v>0.83333333333333337</v>
      </c>
      <c r="AE11" s="36">
        <f t="shared" si="8"/>
        <v>0.42777777777777787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25000</v>
      </c>
      <c r="J12" s="14">
        <v>3786</v>
      </c>
      <c r="K12" s="15">
        <f>L12+2475+2001+2181+2429</f>
        <v>12872</v>
      </c>
      <c r="L12" s="15">
        <f>2315+1471</f>
        <v>3786</v>
      </c>
      <c r="M12" s="15">
        <f t="shared" si="1"/>
        <v>3786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si="7"/>
        <v>0.83333333333333337</v>
      </c>
      <c r="AE12" s="36">
        <f t="shared" si="8"/>
        <v>0.42777777777777787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123</v>
      </c>
      <c r="E13" s="53" t="s">
        <v>266</v>
      </c>
      <c r="F13" s="30" t="s">
        <v>197</v>
      </c>
      <c r="G13" s="33">
        <v>1</v>
      </c>
      <c r="H13" s="35">
        <v>24</v>
      </c>
      <c r="I13" s="7">
        <v>11000</v>
      </c>
      <c r="J13" s="14">
        <v>5599</v>
      </c>
      <c r="K13" s="15">
        <f>L13+5347+5599</f>
        <v>10946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0.42777777777777787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0.42777777777777787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300</v>
      </c>
      <c r="F15" s="12" t="s">
        <v>222</v>
      </c>
      <c r="G15" s="12">
        <v>1</v>
      </c>
      <c r="H15" s="13">
        <v>24</v>
      </c>
      <c r="I15" s="31">
        <v>500</v>
      </c>
      <c r="J15" s="14">
        <v>1114</v>
      </c>
      <c r="K15" s="15">
        <f>L15+1114</f>
        <v>1114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0.42777777777777787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125</v>
      </c>
      <c r="D16" s="52" t="s">
        <v>133</v>
      </c>
      <c r="E16" s="53" t="s">
        <v>275</v>
      </c>
      <c r="F16" s="12" t="s">
        <v>135</v>
      </c>
      <c r="G16" s="12">
        <v>1</v>
      </c>
      <c r="H16" s="13">
        <v>24</v>
      </c>
      <c r="I16" s="7">
        <f>10000+13000</f>
        <v>23000</v>
      </c>
      <c r="J16" s="14">
        <v>5312</v>
      </c>
      <c r="K16" s="15">
        <f>L16+5645+5066+5065</f>
        <v>21088</v>
      </c>
      <c r="L16" s="15">
        <f>2645+2667</f>
        <v>5312</v>
      </c>
      <c r="M16" s="15">
        <f t="shared" si="1"/>
        <v>5312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0.42777777777777787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6164</v>
      </c>
      <c r="K17" s="15">
        <f>L17+3416+6352+6164</f>
        <v>15932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0.42777777777777787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314</v>
      </c>
      <c r="F18" s="30" t="s">
        <v>124</v>
      </c>
      <c r="G18" s="33">
        <v>1</v>
      </c>
      <c r="H18" s="35">
        <v>24</v>
      </c>
      <c r="I18" s="7">
        <v>500</v>
      </c>
      <c r="J18" s="5">
        <v>361</v>
      </c>
      <c r="K18" s="15">
        <f>L18</f>
        <v>361</v>
      </c>
      <c r="L18" s="15">
        <f>361</f>
        <v>361</v>
      </c>
      <c r="M18" s="15">
        <f t="shared" si="1"/>
        <v>361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>AC18*AB18*(1-O18)</f>
        <v>0.16666666666666666</v>
      </c>
      <c r="AE18" s="36">
        <f t="shared" si="8"/>
        <v>0.42777777777777787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90000</v>
      </c>
      <c r="J19" s="5">
        <v>4124</v>
      </c>
      <c r="K19" s="15">
        <f>L19+4376+4932+3746+2629+4823+3796+4027+5078+3986+4575+4282</f>
        <v>50374</v>
      </c>
      <c r="L19" s="15">
        <f>1584+2540</f>
        <v>4124</v>
      </c>
      <c r="M19" s="15">
        <f t="shared" si="1"/>
        <v>4124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 t="shared" ref="AD19" si="10">AC19*AB19*(1-O19)</f>
        <v>0.91666666666666663</v>
      </c>
      <c r="AE19" s="36">
        <f t="shared" ref="AE19" si="11">$AD$20</f>
        <v>0.54166666666666663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34224</v>
      </c>
      <c r="K20" s="15">
        <f>L20</f>
        <v>34224</v>
      </c>
      <c r="L20" s="15">
        <f>8556*4</f>
        <v>34224</v>
      </c>
      <c r="M20" s="15">
        <f t="shared" si="1"/>
        <v>34224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>$AD$21</f>
        <v>0.42777777777777787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675000</v>
      </c>
      <c r="J21" s="19">
        <f t="shared" si="12"/>
        <v>81975</v>
      </c>
      <c r="K21" s="20">
        <f t="shared" si="12"/>
        <v>211047</v>
      </c>
      <c r="L21" s="21">
        <f t="shared" si="12"/>
        <v>66906</v>
      </c>
      <c r="M21" s="20">
        <f t="shared" si="12"/>
        <v>66906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154</v>
      </c>
      <c r="Q21" s="43">
        <f t="shared" si="13"/>
        <v>206</v>
      </c>
      <c r="R21" s="23">
        <f t="shared" si="13"/>
        <v>48</v>
      </c>
      <c r="S21" s="24">
        <f t="shared" si="13"/>
        <v>29</v>
      </c>
      <c r="T21" s="24">
        <f t="shared" si="13"/>
        <v>2</v>
      </c>
      <c r="U21" s="24">
        <f t="shared" si="13"/>
        <v>0</v>
      </c>
      <c r="V21" s="25">
        <f t="shared" si="13"/>
        <v>35</v>
      </c>
      <c r="W21" s="26">
        <f t="shared" si="13"/>
        <v>44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48</v>
      </c>
      <c r="AB21" s="28">
        <f>SUM(AB6:AB20)/15</f>
        <v>0.6</v>
      </c>
      <c r="AC21" s="4">
        <f>SUM(AC6:AC20)/15</f>
        <v>0.42777777777777787</v>
      </c>
      <c r="AD21" s="4">
        <f>SUM(AD6:AD20)/15</f>
        <v>0.42777777777777787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325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329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93" t="s">
        <v>46</v>
      </c>
      <c r="D50" s="193" t="s">
        <v>47</v>
      </c>
      <c r="E50" s="193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93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125</v>
      </c>
      <c r="B51" s="420"/>
      <c r="C51" s="195" t="s">
        <v>292</v>
      </c>
      <c r="D51" s="195" t="s">
        <v>123</v>
      </c>
      <c r="E51" s="195" t="s">
        <v>323</v>
      </c>
      <c r="F51" s="421" t="s">
        <v>121</v>
      </c>
      <c r="G51" s="422"/>
      <c r="H51" s="422"/>
      <c r="I51" s="422"/>
      <c r="J51" s="422"/>
      <c r="K51" s="422"/>
      <c r="L51" s="422"/>
      <c r="M51" s="423"/>
      <c r="N51" s="194" t="s">
        <v>206</v>
      </c>
      <c r="O51" s="199" t="s">
        <v>171</v>
      </c>
      <c r="P51" s="433" t="s">
        <v>313</v>
      </c>
      <c r="Q51" s="434"/>
      <c r="R51" s="420" t="s">
        <v>324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195" t="s">
        <v>132</v>
      </c>
      <c r="D52" s="195" t="s">
        <v>117</v>
      </c>
      <c r="E52" s="195" t="s">
        <v>314</v>
      </c>
      <c r="F52" s="421" t="s">
        <v>121</v>
      </c>
      <c r="G52" s="422"/>
      <c r="H52" s="422"/>
      <c r="I52" s="422"/>
      <c r="J52" s="422"/>
      <c r="K52" s="422"/>
      <c r="L52" s="422"/>
      <c r="M52" s="423"/>
      <c r="N52" s="194" t="s">
        <v>206</v>
      </c>
      <c r="O52" s="199" t="s">
        <v>182</v>
      </c>
      <c r="P52" s="433"/>
      <c r="Q52" s="434"/>
      <c r="R52" s="420" t="s">
        <v>208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195" t="s">
        <v>201</v>
      </c>
      <c r="D53" s="195" t="s">
        <v>195</v>
      </c>
      <c r="E53" s="195" t="s">
        <v>209</v>
      </c>
      <c r="F53" s="421" t="s">
        <v>127</v>
      </c>
      <c r="G53" s="422"/>
      <c r="H53" s="422"/>
      <c r="I53" s="422"/>
      <c r="J53" s="422"/>
      <c r="K53" s="422"/>
      <c r="L53" s="422"/>
      <c r="M53" s="423"/>
      <c r="N53" s="194"/>
      <c r="O53" s="199"/>
      <c r="P53" s="433"/>
      <c r="Q53" s="434"/>
      <c r="R53" s="420"/>
      <c r="S53" s="420"/>
      <c r="T53" s="420"/>
      <c r="U53" s="420"/>
      <c r="V53" s="410"/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195" t="s">
        <v>230</v>
      </c>
      <c r="D54" s="195" t="s">
        <v>117</v>
      </c>
      <c r="E54" s="195" t="s">
        <v>144</v>
      </c>
      <c r="F54" s="421" t="s">
        <v>127</v>
      </c>
      <c r="G54" s="422"/>
      <c r="H54" s="422"/>
      <c r="I54" s="422"/>
      <c r="J54" s="422"/>
      <c r="K54" s="422"/>
      <c r="L54" s="422"/>
      <c r="M54" s="423"/>
      <c r="N54" s="194"/>
      <c r="O54" s="199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195" t="s">
        <v>134</v>
      </c>
      <c r="D55" s="195" t="s">
        <v>117</v>
      </c>
      <c r="E55" s="195" t="s">
        <v>265</v>
      </c>
      <c r="F55" s="421" t="s">
        <v>326</v>
      </c>
      <c r="G55" s="422"/>
      <c r="H55" s="422"/>
      <c r="I55" s="422"/>
      <c r="J55" s="422"/>
      <c r="K55" s="422"/>
      <c r="L55" s="422"/>
      <c r="M55" s="423"/>
      <c r="N55" s="194"/>
      <c r="O55" s="199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206</v>
      </c>
      <c r="B56" s="420"/>
      <c r="C56" s="195" t="s">
        <v>171</v>
      </c>
      <c r="D56" s="195" t="s">
        <v>313</v>
      </c>
      <c r="E56" s="195" t="s">
        <v>324</v>
      </c>
      <c r="F56" s="421" t="s">
        <v>327</v>
      </c>
      <c r="G56" s="422"/>
      <c r="H56" s="422"/>
      <c r="I56" s="422"/>
      <c r="J56" s="422"/>
      <c r="K56" s="422"/>
      <c r="L56" s="422"/>
      <c r="M56" s="423"/>
      <c r="N56" s="194"/>
      <c r="O56" s="199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195" t="s">
        <v>168</v>
      </c>
      <c r="D57" s="195" t="s">
        <v>126</v>
      </c>
      <c r="E57" s="195" t="s">
        <v>186</v>
      </c>
      <c r="F57" s="421" t="s">
        <v>328</v>
      </c>
      <c r="G57" s="422"/>
      <c r="H57" s="422"/>
      <c r="I57" s="422"/>
      <c r="J57" s="422"/>
      <c r="K57" s="422"/>
      <c r="L57" s="422"/>
      <c r="M57" s="423"/>
      <c r="N57" s="194"/>
      <c r="O57" s="19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95"/>
      <c r="D58" s="195"/>
      <c r="E58" s="195"/>
      <c r="F58" s="421"/>
      <c r="G58" s="422"/>
      <c r="H58" s="422"/>
      <c r="I58" s="422"/>
      <c r="J58" s="422"/>
      <c r="K58" s="422"/>
      <c r="L58" s="422"/>
      <c r="M58" s="423"/>
      <c r="N58" s="194"/>
      <c r="O58" s="19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95"/>
      <c r="D59" s="195"/>
      <c r="E59" s="195"/>
      <c r="F59" s="421"/>
      <c r="G59" s="422"/>
      <c r="H59" s="422"/>
      <c r="I59" s="422"/>
      <c r="J59" s="422"/>
      <c r="K59" s="422"/>
      <c r="L59" s="422"/>
      <c r="M59" s="423"/>
      <c r="N59" s="194"/>
      <c r="O59" s="199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96"/>
      <c r="D60" s="196"/>
      <c r="E60" s="196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330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97" t="s">
        <v>2</v>
      </c>
      <c r="D62" s="197" t="s">
        <v>37</v>
      </c>
      <c r="E62" s="197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97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01"/>
      <c r="E63" s="198" t="s">
        <v>240</v>
      </c>
      <c r="F63" s="408" t="s">
        <v>304</v>
      </c>
      <c r="G63" s="400"/>
      <c r="H63" s="400"/>
      <c r="I63" s="400"/>
      <c r="J63" s="400"/>
      <c r="K63" s="400" t="s">
        <v>158</v>
      </c>
      <c r="L63" s="400"/>
      <c r="M63" s="51" t="s">
        <v>136</v>
      </c>
      <c r="N63" s="411" t="s">
        <v>228</v>
      </c>
      <c r="O63" s="411"/>
      <c r="P63" s="409">
        <v>50</v>
      </c>
      <c r="Q63" s="409"/>
      <c r="R63" s="410" t="s">
        <v>305</v>
      </c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114</v>
      </c>
      <c r="D64" s="201"/>
      <c r="E64" s="198" t="s">
        <v>117</v>
      </c>
      <c r="F64" s="408" t="s">
        <v>331</v>
      </c>
      <c r="G64" s="400"/>
      <c r="H64" s="400"/>
      <c r="I64" s="400"/>
      <c r="J64" s="400"/>
      <c r="K64" s="400" t="s">
        <v>122</v>
      </c>
      <c r="L64" s="400"/>
      <c r="M64" s="51" t="s">
        <v>332</v>
      </c>
      <c r="N64" s="411" t="s">
        <v>132</v>
      </c>
      <c r="O64" s="411"/>
      <c r="P64" s="409">
        <v>50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 t="s">
        <v>114</v>
      </c>
      <c r="D65" s="201"/>
      <c r="E65" s="198" t="s">
        <v>333</v>
      </c>
      <c r="F65" s="408" t="s">
        <v>234</v>
      </c>
      <c r="G65" s="400"/>
      <c r="H65" s="400"/>
      <c r="I65" s="400"/>
      <c r="J65" s="400"/>
      <c r="K65" s="400" t="s">
        <v>236</v>
      </c>
      <c r="L65" s="400"/>
      <c r="M65" s="51" t="s">
        <v>332</v>
      </c>
      <c r="N65" s="411" t="s">
        <v>129</v>
      </c>
      <c r="O65" s="411"/>
      <c r="P65" s="409">
        <v>60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 t="s">
        <v>125</v>
      </c>
      <c r="D66" s="201"/>
      <c r="E66" s="198" t="s">
        <v>165</v>
      </c>
      <c r="F66" s="408" t="s">
        <v>334</v>
      </c>
      <c r="G66" s="400"/>
      <c r="H66" s="400"/>
      <c r="I66" s="400"/>
      <c r="J66" s="400"/>
      <c r="K66" s="400" t="s">
        <v>128</v>
      </c>
      <c r="L66" s="400"/>
      <c r="M66" s="51" t="s">
        <v>332</v>
      </c>
      <c r="N66" s="411" t="s">
        <v>132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 t="s">
        <v>114</v>
      </c>
      <c r="D67" s="201"/>
      <c r="E67" s="198" t="s">
        <v>335</v>
      </c>
      <c r="F67" s="408" t="s">
        <v>336</v>
      </c>
      <c r="G67" s="400"/>
      <c r="H67" s="400"/>
      <c r="I67" s="400"/>
      <c r="J67" s="400"/>
      <c r="K67" s="400">
        <v>7301</v>
      </c>
      <c r="L67" s="400"/>
      <c r="M67" s="51" t="s">
        <v>337</v>
      </c>
      <c r="N67" s="411" t="s">
        <v>129</v>
      </c>
      <c r="O67" s="411"/>
      <c r="P67" s="409">
        <v>20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01"/>
      <c r="E68" s="198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01"/>
      <c r="E69" s="198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01"/>
      <c r="E70" s="19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338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00" t="s">
        <v>2</v>
      </c>
      <c r="D72" s="200" t="s">
        <v>37</v>
      </c>
      <c r="E72" s="200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02" t="s">
        <v>114</v>
      </c>
      <c r="D73" s="202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01"/>
      <c r="D74" s="201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01"/>
      <c r="D75" s="20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01"/>
      <c r="D76" s="20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01"/>
      <c r="D77" s="20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01"/>
      <c r="D78" s="20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01"/>
      <c r="D79" s="20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01"/>
      <c r="D80" s="20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01"/>
      <c r="D81" s="20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339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23BC-7B79-40A3-AF3F-7A738D080577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340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13" t="s">
        <v>17</v>
      </c>
      <c r="L5" s="213" t="s">
        <v>18</v>
      </c>
      <c r="M5" s="213" t="s">
        <v>19</v>
      </c>
      <c r="N5" s="2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0.51388888888888884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0.51388888888888884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323</v>
      </c>
      <c r="F8" s="30" t="s">
        <v>124</v>
      </c>
      <c r="G8" s="33">
        <v>1</v>
      </c>
      <c r="H8" s="35">
        <v>24</v>
      </c>
      <c r="I8" s="7">
        <v>25000</v>
      </c>
      <c r="J8" s="14">
        <v>5789</v>
      </c>
      <c r="K8" s="15">
        <f>L8+4693</f>
        <v>10482</v>
      </c>
      <c r="L8" s="15">
        <f>2844+2945</f>
        <v>5789</v>
      </c>
      <c r="M8" s="15">
        <f t="shared" si="1"/>
        <v>5789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0.51388888888888884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5257</v>
      </c>
      <c r="K9" s="15">
        <f>L9+5189+5656+3625+3716+5857+4870+1766+4863</f>
        <v>40799</v>
      </c>
      <c r="L9" s="15">
        <f>2370+2887</f>
        <v>5257</v>
      </c>
      <c r="M9" s="15">
        <f t="shared" si="1"/>
        <v>5257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0.51388888888888884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206</v>
      </c>
      <c r="D10" s="52" t="s">
        <v>313</v>
      </c>
      <c r="E10" s="53" t="s">
        <v>324</v>
      </c>
      <c r="F10" s="30" t="s">
        <v>128</v>
      </c>
      <c r="G10" s="33">
        <v>3</v>
      </c>
      <c r="H10" s="35">
        <v>24</v>
      </c>
      <c r="I10" s="7">
        <v>100000</v>
      </c>
      <c r="J10" s="5">
        <v>22401</v>
      </c>
      <c r="K10" s="15">
        <f>L10+5172</f>
        <v>27573</v>
      </c>
      <c r="L10" s="15">
        <f>2088*4+4683*3</f>
        <v>22401</v>
      </c>
      <c r="M10" s="15">
        <f t="shared" si="1"/>
        <v>22401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0.51388888888888884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15000</v>
      </c>
      <c r="J11" s="14">
        <v>5994</v>
      </c>
      <c r="K11" s="15">
        <f>L11+2810+4371</f>
        <v>13175</v>
      </c>
      <c r="L11" s="15">
        <f>3037+2957</f>
        <v>5994</v>
      </c>
      <c r="M11" s="15">
        <f t="shared" si="1"/>
        <v>5994</v>
      </c>
      <c r="N11" s="15">
        <v>0</v>
      </c>
      <c r="O11" s="58">
        <f t="shared" si="2"/>
        <v>0</v>
      </c>
      <c r="P11" s="39">
        <f t="shared" si="3"/>
        <v>22</v>
      </c>
      <c r="Q11" s="40">
        <f t="shared" si="4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0.91666666666666663</v>
      </c>
      <c r="AD11" s="10">
        <f t="shared" si="7"/>
        <v>0.91666666666666663</v>
      </c>
      <c r="AE11" s="36">
        <f t="shared" si="8"/>
        <v>0.51388888888888884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25000</v>
      </c>
      <c r="J12" s="14">
        <v>4163</v>
      </c>
      <c r="K12" s="15">
        <f>L12+2475+2001+2181+2429+3786</f>
        <v>17035</v>
      </c>
      <c r="L12" s="15">
        <f>1802+2361</f>
        <v>4163</v>
      </c>
      <c r="M12" s="15">
        <f t="shared" si="1"/>
        <v>4163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0.51388888888888884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117</v>
      </c>
      <c r="E13" s="53" t="s">
        <v>341</v>
      </c>
      <c r="F13" s="30" t="s">
        <v>128</v>
      </c>
      <c r="G13" s="33">
        <v>1</v>
      </c>
      <c r="H13" s="35">
        <v>24</v>
      </c>
      <c r="I13" s="7">
        <v>3000</v>
      </c>
      <c r="J13" s="14">
        <v>2098</v>
      </c>
      <c r="K13" s="15">
        <f>L13</f>
        <v>2098</v>
      </c>
      <c r="L13" s="15">
        <f>847+1251</f>
        <v>2098</v>
      </c>
      <c r="M13" s="15">
        <f t="shared" si="1"/>
        <v>2098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si="7"/>
        <v>0.45833333333333331</v>
      </c>
      <c r="AE13" s="36">
        <f t="shared" si="8"/>
        <v>0.51388888888888884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0.51388888888888884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300</v>
      </c>
      <c r="F15" s="12" t="s">
        <v>222</v>
      </c>
      <c r="G15" s="12">
        <v>1</v>
      </c>
      <c r="H15" s="13">
        <v>24</v>
      </c>
      <c r="I15" s="31">
        <v>500</v>
      </c>
      <c r="J15" s="14">
        <v>1114</v>
      </c>
      <c r="K15" s="15">
        <f>L15+1114</f>
        <v>1114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0.51388888888888884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14">
        <v>5349</v>
      </c>
      <c r="K16" s="15">
        <f>L16</f>
        <v>5349</v>
      </c>
      <c r="L16" s="15">
        <f>3248+2101</f>
        <v>5349</v>
      </c>
      <c r="M16" s="15">
        <f t="shared" si="1"/>
        <v>5349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0.51388888888888884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125</v>
      </c>
      <c r="D17" s="52" t="s">
        <v>251</v>
      </c>
      <c r="E17" s="53" t="s">
        <v>252</v>
      </c>
      <c r="F17" s="30" t="s">
        <v>253</v>
      </c>
      <c r="G17" s="33">
        <v>1</v>
      </c>
      <c r="H17" s="35">
        <v>20</v>
      </c>
      <c r="I17" s="7">
        <v>8000</v>
      </c>
      <c r="J17" s="14">
        <v>6164</v>
      </c>
      <c r="K17" s="15">
        <f>L17+3416+6352+6164</f>
        <v>15932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0.51388888888888884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314</v>
      </c>
      <c r="F18" s="30" t="s">
        <v>124</v>
      </c>
      <c r="G18" s="33">
        <v>1</v>
      </c>
      <c r="H18" s="35">
        <v>24</v>
      </c>
      <c r="I18" s="7">
        <v>500</v>
      </c>
      <c r="J18" s="5">
        <v>361</v>
      </c>
      <c r="K18" s="15">
        <f>L18+361</f>
        <v>361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0.51388888888888884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90000</v>
      </c>
      <c r="J19" s="5">
        <v>5194</v>
      </c>
      <c r="K19" s="15">
        <f>L19+4376+4932+3746+2629+4823+3796+4027+5078+3986+4575+4282+4124</f>
        <v>55568</v>
      </c>
      <c r="L19" s="15">
        <f>2669+2525</f>
        <v>5194</v>
      </c>
      <c r="M19" s="15">
        <f t="shared" si="1"/>
        <v>5194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0">AC19*AB19*(1-O19)</f>
        <v>1</v>
      </c>
      <c r="AE19" s="36">
        <f t="shared" ref="AE19" si="11">$AD$20</f>
        <v>0.54166666666666663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40520</v>
      </c>
      <c r="K20" s="15">
        <f>L20+34224</f>
        <v>74744</v>
      </c>
      <c r="L20" s="15">
        <f>10130*4</f>
        <v>40520</v>
      </c>
      <c r="M20" s="15">
        <f t="shared" si="1"/>
        <v>40520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>$AD$21</f>
        <v>0.51388888888888884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665000</v>
      </c>
      <c r="J21" s="19">
        <f t="shared" si="12"/>
        <v>106596</v>
      </c>
      <c r="K21" s="20">
        <f t="shared" si="12"/>
        <v>275778</v>
      </c>
      <c r="L21" s="21">
        <f t="shared" si="12"/>
        <v>96765</v>
      </c>
      <c r="M21" s="20">
        <f t="shared" si="12"/>
        <v>96765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185</v>
      </c>
      <c r="Q21" s="43">
        <f t="shared" si="13"/>
        <v>175</v>
      </c>
      <c r="R21" s="23">
        <f t="shared" si="13"/>
        <v>24</v>
      </c>
      <c r="S21" s="24">
        <f t="shared" si="13"/>
        <v>20</v>
      </c>
      <c r="T21" s="24">
        <f t="shared" si="13"/>
        <v>0</v>
      </c>
      <c r="U21" s="24">
        <f t="shared" si="13"/>
        <v>0</v>
      </c>
      <c r="V21" s="25">
        <f t="shared" si="13"/>
        <v>59</v>
      </c>
      <c r="W21" s="26">
        <f t="shared" si="13"/>
        <v>24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48</v>
      </c>
      <c r="AB21" s="28">
        <f>SUM(AB6:AB20)/15</f>
        <v>0.6</v>
      </c>
      <c r="AC21" s="4">
        <f>SUM(AC6:AC20)/15</f>
        <v>0.51388888888888884</v>
      </c>
      <c r="AD21" s="4">
        <f>SUM(AD6:AD20)/15</f>
        <v>0.51388888888888884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342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346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12" t="s">
        <v>46</v>
      </c>
      <c r="D50" s="212" t="s">
        <v>47</v>
      </c>
      <c r="E50" s="212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12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114</v>
      </c>
      <c r="B51" s="420"/>
      <c r="C51" s="210" t="s">
        <v>168</v>
      </c>
      <c r="D51" s="210" t="s">
        <v>126</v>
      </c>
      <c r="E51" s="210" t="s">
        <v>186</v>
      </c>
      <c r="F51" s="421" t="s">
        <v>343</v>
      </c>
      <c r="G51" s="422"/>
      <c r="H51" s="422"/>
      <c r="I51" s="422"/>
      <c r="J51" s="422"/>
      <c r="K51" s="422"/>
      <c r="L51" s="422"/>
      <c r="M51" s="423"/>
      <c r="N51" s="209" t="s">
        <v>125</v>
      </c>
      <c r="O51" s="207" t="s">
        <v>129</v>
      </c>
      <c r="P51" s="433" t="s">
        <v>117</v>
      </c>
      <c r="Q51" s="434"/>
      <c r="R51" s="420" t="s">
        <v>341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210" t="s">
        <v>134</v>
      </c>
      <c r="D52" s="210" t="s">
        <v>117</v>
      </c>
      <c r="E52" s="210" t="s">
        <v>265</v>
      </c>
      <c r="F52" s="421" t="s">
        <v>326</v>
      </c>
      <c r="G52" s="422"/>
      <c r="H52" s="422"/>
      <c r="I52" s="422"/>
      <c r="J52" s="422"/>
      <c r="K52" s="422"/>
      <c r="L52" s="422"/>
      <c r="M52" s="423"/>
      <c r="N52" s="209" t="s">
        <v>220</v>
      </c>
      <c r="O52" s="207" t="s">
        <v>299</v>
      </c>
      <c r="P52" s="433"/>
      <c r="Q52" s="434"/>
      <c r="R52" s="420" t="s">
        <v>347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206</v>
      </c>
      <c r="B53" s="420"/>
      <c r="C53" s="210" t="s">
        <v>171</v>
      </c>
      <c r="D53" s="210" t="s">
        <v>313</v>
      </c>
      <c r="E53" s="210" t="s">
        <v>324</v>
      </c>
      <c r="F53" s="421" t="s">
        <v>344</v>
      </c>
      <c r="G53" s="422"/>
      <c r="H53" s="422"/>
      <c r="I53" s="422"/>
      <c r="J53" s="422"/>
      <c r="K53" s="422"/>
      <c r="L53" s="422"/>
      <c r="M53" s="423"/>
      <c r="N53" s="209"/>
      <c r="O53" s="207"/>
      <c r="P53" s="433"/>
      <c r="Q53" s="434"/>
      <c r="R53" s="420"/>
      <c r="S53" s="420"/>
      <c r="T53" s="420"/>
      <c r="U53" s="420"/>
      <c r="V53" s="410"/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210" t="s">
        <v>129</v>
      </c>
      <c r="D54" s="210" t="s">
        <v>117</v>
      </c>
      <c r="E54" s="210" t="s">
        <v>341</v>
      </c>
      <c r="F54" s="421" t="s">
        <v>345</v>
      </c>
      <c r="G54" s="422"/>
      <c r="H54" s="422"/>
      <c r="I54" s="422"/>
      <c r="J54" s="422"/>
      <c r="K54" s="422"/>
      <c r="L54" s="422"/>
      <c r="M54" s="423"/>
      <c r="N54" s="209"/>
      <c r="O54" s="207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206</v>
      </c>
      <c r="B55" s="420"/>
      <c r="C55" s="210" t="s">
        <v>182</v>
      </c>
      <c r="D55" s="210"/>
      <c r="E55" s="210" t="s">
        <v>208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209"/>
      <c r="O55" s="207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10"/>
      <c r="D56" s="210"/>
      <c r="E56" s="210"/>
      <c r="F56" s="421"/>
      <c r="G56" s="422"/>
      <c r="H56" s="422"/>
      <c r="I56" s="422"/>
      <c r="J56" s="422"/>
      <c r="K56" s="422"/>
      <c r="L56" s="422"/>
      <c r="M56" s="423"/>
      <c r="N56" s="209"/>
      <c r="O56" s="207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10"/>
      <c r="D57" s="210"/>
      <c r="E57" s="210"/>
      <c r="F57" s="421"/>
      <c r="G57" s="422"/>
      <c r="H57" s="422"/>
      <c r="I57" s="422"/>
      <c r="J57" s="422"/>
      <c r="K57" s="422"/>
      <c r="L57" s="422"/>
      <c r="M57" s="423"/>
      <c r="N57" s="209"/>
      <c r="O57" s="207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10"/>
      <c r="D58" s="210"/>
      <c r="E58" s="210"/>
      <c r="F58" s="421"/>
      <c r="G58" s="422"/>
      <c r="H58" s="422"/>
      <c r="I58" s="422"/>
      <c r="J58" s="422"/>
      <c r="K58" s="422"/>
      <c r="L58" s="422"/>
      <c r="M58" s="423"/>
      <c r="N58" s="209"/>
      <c r="O58" s="207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10"/>
      <c r="D59" s="210"/>
      <c r="E59" s="210"/>
      <c r="F59" s="421"/>
      <c r="G59" s="422"/>
      <c r="H59" s="422"/>
      <c r="I59" s="422"/>
      <c r="J59" s="422"/>
      <c r="K59" s="422"/>
      <c r="L59" s="422"/>
      <c r="M59" s="423"/>
      <c r="N59" s="209"/>
      <c r="O59" s="207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11"/>
      <c r="D60" s="211"/>
      <c r="E60" s="211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348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08" t="s">
        <v>2</v>
      </c>
      <c r="D62" s="208" t="s">
        <v>37</v>
      </c>
      <c r="E62" s="208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08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03"/>
      <c r="E63" s="206" t="s">
        <v>123</v>
      </c>
      <c r="F63" s="408" t="s">
        <v>349</v>
      </c>
      <c r="G63" s="400"/>
      <c r="H63" s="400"/>
      <c r="I63" s="400"/>
      <c r="J63" s="400"/>
      <c r="K63" s="400" t="s">
        <v>236</v>
      </c>
      <c r="L63" s="400"/>
      <c r="M63" s="51" t="s">
        <v>332</v>
      </c>
      <c r="N63" s="411" t="s">
        <v>132</v>
      </c>
      <c r="O63" s="411"/>
      <c r="P63" s="409">
        <v>200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03"/>
      <c r="E64" s="206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03"/>
      <c r="E65" s="206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03"/>
      <c r="E66" s="206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03"/>
      <c r="E67" s="206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03"/>
      <c r="E68" s="206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03"/>
      <c r="E69" s="206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03"/>
      <c r="E70" s="206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350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05" t="s">
        <v>2</v>
      </c>
      <c r="D72" s="205" t="s">
        <v>37</v>
      </c>
      <c r="E72" s="205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04" t="s">
        <v>114</v>
      </c>
      <c r="D73" s="204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03"/>
      <c r="D74" s="203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03"/>
      <c r="D75" s="203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03"/>
      <c r="D76" s="203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03"/>
      <c r="D77" s="203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03"/>
      <c r="D78" s="203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03"/>
      <c r="D79" s="203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03"/>
      <c r="D80" s="203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03"/>
      <c r="D81" s="203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351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DFB9-60FB-4D03-8775-35148D6B909E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352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14" t="s">
        <v>17</v>
      </c>
      <c r="L5" s="214" t="s">
        <v>18</v>
      </c>
      <c r="M5" s="214" t="s">
        <v>19</v>
      </c>
      <c r="N5" s="21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0.17568027210884357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0.17568027210884357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323</v>
      </c>
      <c r="F8" s="30" t="s">
        <v>124</v>
      </c>
      <c r="G8" s="33">
        <v>1</v>
      </c>
      <c r="H8" s="35">
        <v>24</v>
      </c>
      <c r="I8" s="7">
        <v>25000</v>
      </c>
      <c r="J8" s="14">
        <v>2627</v>
      </c>
      <c r="K8" s="15">
        <f>L8+4693+5789</f>
        <v>13109</v>
      </c>
      <c r="L8" s="15">
        <v>2627</v>
      </c>
      <c r="M8" s="15">
        <f t="shared" si="1"/>
        <v>2627</v>
      </c>
      <c r="N8" s="15">
        <v>0</v>
      </c>
      <c r="O8" s="58">
        <f t="shared" si="2"/>
        <v>0</v>
      </c>
      <c r="P8" s="39">
        <f t="shared" si="3"/>
        <v>8</v>
      </c>
      <c r="Q8" s="40">
        <f t="shared" si="4"/>
        <v>16</v>
      </c>
      <c r="R8" s="7"/>
      <c r="S8" s="6"/>
      <c r="T8" s="16"/>
      <c r="U8" s="16"/>
      <c r="V8" s="17">
        <v>16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0.33333333333333331</v>
      </c>
      <c r="AD8" s="10">
        <f t="shared" si="7"/>
        <v>0.33333333333333331</v>
      </c>
      <c r="AE8" s="36">
        <f t="shared" si="8"/>
        <v>0.17568027210884357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2562</v>
      </c>
      <c r="K9" s="15">
        <f>L9+5189+5656+3625+3716+5857+4870+1766+4863+5257</f>
        <v>43361</v>
      </c>
      <c r="L9" s="15">
        <v>2562</v>
      </c>
      <c r="M9" s="15">
        <f t="shared" si="1"/>
        <v>2562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/>
      <c r="T9" s="16"/>
      <c r="U9" s="16"/>
      <c r="V9" s="17">
        <v>16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0.17568027210884357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206</v>
      </c>
      <c r="D10" s="52" t="s">
        <v>313</v>
      </c>
      <c r="E10" s="53" t="s">
        <v>324</v>
      </c>
      <c r="F10" s="30" t="s">
        <v>128</v>
      </c>
      <c r="G10" s="33">
        <v>3</v>
      </c>
      <c r="H10" s="35">
        <v>24</v>
      </c>
      <c r="I10" s="7">
        <v>100000</v>
      </c>
      <c r="J10" s="5">
        <v>13542</v>
      </c>
      <c r="K10" s="15">
        <f>L10+5172+22401</f>
        <v>41115</v>
      </c>
      <c r="L10" s="15">
        <f>4514*3</f>
        <v>13542</v>
      </c>
      <c r="M10" s="15">
        <f t="shared" si="1"/>
        <v>13542</v>
      </c>
      <c r="N10" s="15">
        <v>0</v>
      </c>
      <c r="O10" s="58">
        <f t="shared" si="2"/>
        <v>0</v>
      </c>
      <c r="P10" s="39">
        <f t="shared" si="3"/>
        <v>8</v>
      </c>
      <c r="Q10" s="40">
        <f t="shared" si="4"/>
        <v>16</v>
      </c>
      <c r="R10" s="7"/>
      <c r="S10" s="6"/>
      <c r="T10" s="16"/>
      <c r="U10" s="16"/>
      <c r="V10" s="17">
        <v>16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0.33333333333333331</v>
      </c>
      <c r="AD10" s="10">
        <f>AC10*AB10*(1-O10)</f>
        <v>0.33333333333333331</v>
      </c>
      <c r="AE10" s="36">
        <f t="shared" si="8"/>
        <v>0.17568027210884357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15000</v>
      </c>
      <c r="J11" s="14">
        <v>5994</v>
      </c>
      <c r="K11" s="15">
        <f>L11+2810+4371+5994</f>
        <v>13175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0.17568027210884357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25000</v>
      </c>
      <c r="J12" s="14">
        <v>1336</v>
      </c>
      <c r="K12" s="15">
        <f>L12+2475+2001+2181+2429+3786+4163</f>
        <v>18371</v>
      </c>
      <c r="L12" s="15">
        <v>1336</v>
      </c>
      <c r="M12" s="15">
        <f t="shared" si="1"/>
        <v>1336</v>
      </c>
      <c r="N12" s="15">
        <v>0</v>
      </c>
      <c r="O12" s="58">
        <f t="shared" si="2"/>
        <v>0</v>
      </c>
      <c r="P12" s="39">
        <f t="shared" si="3"/>
        <v>6</v>
      </c>
      <c r="Q12" s="40">
        <f t="shared" si="4"/>
        <v>18</v>
      </c>
      <c r="R12" s="7"/>
      <c r="S12" s="6">
        <v>2</v>
      </c>
      <c r="T12" s="16"/>
      <c r="U12" s="16"/>
      <c r="V12" s="17">
        <v>16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0.25</v>
      </c>
      <c r="AD12" s="10">
        <f t="shared" si="7"/>
        <v>0.25</v>
      </c>
      <c r="AE12" s="36">
        <f t="shared" si="8"/>
        <v>0.17568027210884357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117</v>
      </c>
      <c r="E13" s="53" t="s">
        <v>341</v>
      </c>
      <c r="F13" s="30" t="s">
        <v>128</v>
      </c>
      <c r="G13" s="33">
        <v>1</v>
      </c>
      <c r="H13" s="35">
        <v>24</v>
      </c>
      <c r="I13" s="7">
        <v>3000</v>
      </c>
      <c r="J13" s="14">
        <v>773</v>
      </c>
      <c r="K13" s="15">
        <f>L13+2098</f>
        <v>2871</v>
      </c>
      <c r="L13" s="15">
        <v>773</v>
      </c>
      <c r="M13" s="15">
        <f t="shared" si="1"/>
        <v>773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>
        <v>4</v>
      </c>
      <c r="T13" s="16"/>
      <c r="U13" s="16"/>
      <c r="V13" s="17">
        <v>16</v>
      </c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0.17568027210884357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0.17568027210884357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1910</v>
      </c>
      <c r="K15" s="15">
        <f>L15</f>
        <v>1910</v>
      </c>
      <c r="L15" s="15">
        <f>1910</f>
        <v>1910</v>
      </c>
      <c r="M15" s="15">
        <f t="shared" si="1"/>
        <v>1910</v>
      </c>
      <c r="N15" s="15">
        <v>0</v>
      </c>
      <c r="O15" s="58">
        <f t="shared" si="2"/>
        <v>0</v>
      </c>
      <c r="P15" s="39">
        <f t="shared" si="3"/>
        <v>8</v>
      </c>
      <c r="Q15" s="40">
        <f t="shared" si="4"/>
        <v>16</v>
      </c>
      <c r="R15" s="7"/>
      <c r="S15" s="6"/>
      <c r="T15" s="16"/>
      <c r="U15" s="16"/>
      <c r="V15" s="17">
        <v>16</v>
      </c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0.33333333333333331</v>
      </c>
      <c r="AD15" s="10">
        <f t="shared" si="7"/>
        <v>0.33333333333333331</v>
      </c>
      <c r="AE15" s="36">
        <f t="shared" si="8"/>
        <v>0.17568027210884357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14">
        <v>2604</v>
      </c>
      <c r="K16" s="15">
        <f>L16+5349</f>
        <v>7953</v>
      </c>
      <c r="L16" s="15">
        <v>2604</v>
      </c>
      <c r="M16" s="15">
        <f t="shared" si="1"/>
        <v>2604</v>
      </c>
      <c r="N16" s="15">
        <v>0</v>
      </c>
      <c r="O16" s="58">
        <f t="shared" si="2"/>
        <v>0</v>
      </c>
      <c r="P16" s="39">
        <f t="shared" si="3"/>
        <v>8</v>
      </c>
      <c r="Q16" s="40">
        <f t="shared" si="4"/>
        <v>16</v>
      </c>
      <c r="R16" s="7"/>
      <c r="S16" s="6"/>
      <c r="T16" s="16"/>
      <c r="U16" s="16"/>
      <c r="V16" s="17">
        <v>16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0.33333333333333331</v>
      </c>
      <c r="AD16" s="10">
        <f t="shared" si="7"/>
        <v>0.33333333333333331</v>
      </c>
      <c r="AE16" s="36">
        <f t="shared" si="8"/>
        <v>0.17568027210884357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131</v>
      </c>
      <c r="D17" s="52" t="s">
        <v>354</v>
      </c>
      <c r="E17" s="53" t="s">
        <v>353</v>
      </c>
      <c r="F17" s="30" t="s">
        <v>145</v>
      </c>
      <c r="G17" s="33">
        <v>1</v>
      </c>
      <c r="H17" s="35">
        <v>20</v>
      </c>
      <c r="I17" s="7">
        <v>1000</v>
      </c>
      <c r="J17" s="14">
        <v>858</v>
      </c>
      <c r="K17" s="15">
        <f>L17</f>
        <v>858</v>
      </c>
      <c r="L17" s="15">
        <f>858</f>
        <v>858</v>
      </c>
      <c r="M17" s="15">
        <f t="shared" si="1"/>
        <v>858</v>
      </c>
      <c r="N17" s="15">
        <v>0</v>
      </c>
      <c r="O17" s="58">
        <f t="shared" si="2"/>
        <v>0</v>
      </c>
      <c r="P17" s="39">
        <f t="shared" si="3"/>
        <v>5</v>
      </c>
      <c r="Q17" s="40">
        <f t="shared" si="4"/>
        <v>19</v>
      </c>
      <c r="R17" s="7"/>
      <c r="S17" s="6"/>
      <c r="T17" s="16">
        <v>3</v>
      </c>
      <c r="U17" s="16"/>
      <c r="V17" s="17">
        <v>16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0.20833333333333334</v>
      </c>
      <c r="AD17" s="10">
        <f t="shared" si="7"/>
        <v>0.20833333333333334</v>
      </c>
      <c r="AE17" s="36">
        <f t="shared" si="8"/>
        <v>0.17568027210884357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314</v>
      </c>
      <c r="F18" s="30" t="s">
        <v>124</v>
      </c>
      <c r="G18" s="33">
        <v>1</v>
      </c>
      <c r="H18" s="35">
        <v>24</v>
      </c>
      <c r="I18" s="7">
        <v>500</v>
      </c>
      <c r="J18" s="5">
        <v>361</v>
      </c>
      <c r="K18" s="15">
        <f>L18+361</f>
        <v>361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0.17568027210884357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120000</v>
      </c>
      <c r="J19" s="5">
        <v>5194</v>
      </c>
      <c r="K19" s="15">
        <f>L19+4376+4932+3746+2629+4823+3796+4027+5078+3986+4575+4282+4124+5194</f>
        <v>55992</v>
      </c>
      <c r="L19" s="15">
        <v>424</v>
      </c>
      <c r="M19" s="15">
        <f t="shared" si="1"/>
        <v>424</v>
      </c>
      <c r="N19" s="15">
        <v>0</v>
      </c>
      <c r="O19" s="58">
        <f t="shared" si="2"/>
        <v>0</v>
      </c>
      <c r="P19" s="39">
        <f t="shared" si="3"/>
        <v>3</v>
      </c>
      <c r="Q19" s="40">
        <f t="shared" si="4"/>
        <v>21</v>
      </c>
      <c r="R19" s="7"/>
      <c r="S19" s="6">
        <v>5</v>
      </c>
      <c r="T19" s="16"/>
      <c r="U19" s="16"/>
      <c r="V19" s="17">
        <v>16</v>
      </c>
      <c r="W19" s="5"/>
      <c r="X19" s="16"/>
      <c r="Y19" s="16"/>
      <c r="Z19" s="16"/>
      <c r="AA19" s="18"/>
      <c r="AB19" s="8">
        <f t="shared" si="5"/>
        <v>8.1632653061224483E-2</v>
      </c>
      <c r="AC19" s="9">
        <f t="shared" si="6"/>
        <v>0.125</v>
      </c>
      <c r="AD19" s="10">
        <f t="shared" ref="AD19" si="10">AC19*AB19*(1-O19)</f>
        <v>1.020408163265306E-2</v>
      </c>
      <c r="AE19" s="36">
        <f t="shared" ref="AE19" si="11">$AD$20</f>
        <v>0.33333333333333331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30032</v>
      </c>
      <c r="K20" s="15">
        <f>L20+34224+40520</f>
        <v>104776</v>
      </c>
      <c r="L20" s="15">
        <f>7508*4</f>
        <v>30032</v>
      </c>
      <c r="M20" s="15">
        <f t="shared" si="1"/>
        <v>30032</v>
      </c>
      <c r="N20" s="15">
        <v>0</v>
      </c>
      <c r="O20" s="58">
        <f t="shared" si="2"/>
        <v>0</v>
      </c>
      <c r="P20" s="39">
        <f t="shared" si="3"/>
        <v>8</v>
      </c>
      <c r="Q20" s="40">
        <f t="shared" si="4"/>
        <v>16</v>
      </c>
      <c r="R20" s="7"/>
      <c r="S20" s="6"/>
      <c r="T20" s="16"/>
      <c r="U20" s="16"/>
      <c r="V20" s="17">
        <v>16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0.33333333333333331</v>
      </c>
      <c r="AD20" s="10">
        <f t="shared" si="7"/>
        <v>0.33333333333333331</v>
      </c>
      <c r="AE20" s="36">
        <f>$AD$21</f>
        <v>0.17568027210884357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689500</v>
      </c>
      <c r="J21" s="19">
        <f t="shared" si="12"/>
        <v>69985</v>
      </c>
      <c r="K21" s="20">
        <f t="shared" si="12"/>
        <v>315400</v>
      </c>
      <c r="L21" s="21">
        <f t="shared" si="12"/>
        <v>56668</v>
      </c>
      <c r="M21" s="20">
        <f t="shared" si="12"/>
        <v>56668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66</v>
      </c>
      <c r="Q21" s="43">
        <f t="shared" si="13"/>
        <v>294</v>
      </c>
      <c r="R21" s="23">
        <f t="shared" si="13"/>
        <v>24</v>
      </c>
      <c r="S21" s="24">
        <f t="shared" si="13"/>
        <v>35</v>
      </c>
      <c r="T21" s="24">
        <f t="shared" si="13"/>
        <v>3</v>
      </c>
      <c r="U21" s="24">
        <f t="shared" si="13"/>
        <v>0</v>
      </c>
      <c r="V21" s="25">
        <f t="shared" si="13"/>
        <v>208</v>
      </c>
      <c r="W21" s="26">
        <f t="shared" si="13"/>
        <v>0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24</v>
      </c>
      <c r="AB21" s="28">
        <f>SUM(AB6:AB20)/15</f>
        <v>0.60544217687074819</v>
      </c>
      <c r="AC21" s="4">
        <f>SUM(AC6:AC20)/15</f>
        <v>0.18333333333333338</v>
      </c>
      <c r="AD21" s="4">
        <f>SUM(AD6:AD20)/15</f>
        <v>0.17568027210884357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355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356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15" t="s">
        <v>46</v>
      </c>
      <c r="D50" s="215" t="s">
        <v>47</v>
      </c>
      <c r="E50" s="215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15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125</v>
      </c>
      <c r="B51" s="420"/>
      <c r="C51" s="217" t="s">
        <v>134</v>
      </c>
      <c r="D51" s="217" t="s">
        <v>117</v>
      </c>
      <c r="E51" s="217" t="s">
        <v>265</v>
      </c>
      <c r="F51" s="421" t="s">
        <v>326</v>
      </c>
      <c r="G51" s="422"/>
      <c r="H51" s="422"/>
      <c r="I51" s="422"/>
      <c r="J51" s="422"/>
      <c r="K51" s="422"/>
      <c r="L51" s="422"/>
      <c r="M51" s="423"/>
      <c r="N51" s="216" t="s">
        <v>125</v>
      </c>
      <c r="O51" s="221" t="s">
        <v>201</v>
      </c>
      <c r="P51" s="433" t="s">
        <v>195</v>
      </c>
      <c r="Q51" s="434"/>
      <c r="R51" s="420" t="s">
        <v>209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217" t="s">
        <v>129</v>
      </c>
      <c r="D52" s="217" t="s">
        <v>117</v>
      </c>
      <c r="E52" s="217" t="s">
        <v>341</v>
      </c>
      <c r="F52" s="421" t="s">
        <v>127</v>
      </c>
      <c r="G52" s="422"/>
      <c r="H52" s="422"/>
      <c r="I52" s="422"/>
      <c r="J52" s="422"/>
      <c r="K52" s="422"/>
      <c r="L52" s="422"/>
      <c r="M52" s="423"/>
      <c r="N52" s="216" t="s">
        <v>125</v>
      </c>
      <c r="O52" s="221" t="s">
        <v>132</v>
      </c>
      <c r="P52" s="433" t="s">
        <v>165</v>
      </c>
      <c r="Q52" s="434"/>
      <c r="R52" s="420" t="s">
        <v>152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217" t="s">
        <v>230</v>
      </c>
      <c r="D53" s="217" t="s">
        <v>117</v>
      </c>
      <c r="E53" s="217" t="s">
        <v>144</v>
      </c>
      <c r="F53" s="421" t="s">
        <v>232</v>
      </c>
      <c r="G53" s="422"/>
      <c r="H53" s="422"/>
      <c r="I53" s="422"/>
      <c r="J53" s="422"/>
      <c r="K53" s="422"/>
      <c r="L53" s="422"/>
      <c r="M53" s="423"/>
      <c r="N53" s="216" t="s">
        <v>206</v>
      </c>
      <c r="O53" s="221" t="s">
        <v>182</v>
      </c>
      <c r="P53" s="433" t="s">
        <v>208</v>
      </c>
      <c r="Q53" s="434"/>
      <c r="R53" s="420" t="s">
        <v>205</v>
      </c>
      <c r="S53" s="420"/>
      <c r="T53" s="420"/>
      <c r="U53" s="420"/>
      <c r="V53" s="410" t="s">
        <v>127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131</v>
      </c>
      <c r="B54" s="420"/>
      <c r="C54" s="217" t="s">
        <v>228</v>
      </c>
      <c r="D54" s="217" t="s">
        <v>354</v>
      </c>
      <c r="E54" s="217" t="s">
        <v>353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216"/>
      <c r="O54" s="221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220</v>
      </c>
      <c r="B55" s="420"/>
      <c r="C55" s="217" t="s">
        <v>299</v>
      </c>
      <c r="D55" s="217"/>
      <c r="E55" s="217" t="s">
        <v>347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216"/>
      <c r="O55" s="221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17"/>
      <c r="D56" s="217"/>
      <c r="E56" s="217"/>
      <c r="F56" s="421"/>
      <c r="G56" s="422"/>
      <c r="H56" s="422"/>
      <c r="I56" s="422"/>
      <c r="J56" s="422"/>
      <c r="K56" s="422"/>
      <c r="L56" s="422"/>
      <c r="M56" s="423"/>
      <c r="N56" s="216"/>
      <c r="O56" s="221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17"/>
      <c r="D57" s="217"/>
      <c r="E57" s="217"/>
      <c r="F57" s="421"/>
      <c r="G57" s="422"/>
      <c r="H57" s="422"/>
      <c r="I57" s="422"/>
      <c r="J57" s="422"/>
      <c r="K57" s="422"/>
      <c r="L57" s="422"/>
      <c r="M57" s="423"/>
      <c r="N57" s="216"/>
      <c r="O57" s="221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17"/>
      <c r="D58" s="217"/>
      <c r="E58" s="217"/>
      <c r="F58" s="421"/>
      <c r="G58" s="422"/>
      <c r="H58" s="422"/>
      <c r="I58" s="422"/>
      <c r="J58" s="422"/>
      <c r="K58" s="422"/>
      <c r="L58" s="422"/>
      <c r="M58" s="423"/>
      <c r="N58" s="216"/>
      <c r="O58" s="221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17"/>
      <c r="D59" s="217"/>
      <c r="E59" s="217"/>
      <c r="F59" s="421"/>
      <c r="G59" s="422"/>
      <c r="H59" s="422"/>
      <c r="I59" s="422"/>
      <c r="J59" s="422"/>
      <c r="K59" s="422"/>
      <c r="L59" s="422"/>
      <c r="M59" s="423"/>
      <c r="N59" s="216"/>
      <c r="O59" s="221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18"/>
      <c r="D60" s="218"/>
      <c r="E60" s="218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357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19" t="s">
        <v>2</v>
      </c>
      <c r="D62" s="219" t="s">
        <v>37</v>
      </c>
      <c r="E62" s="219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19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125</v>
      </c>
      <c r="D63" s="223"/>
      <c r="E63" s="220" t="s">
        <v>165</v>
      </c>
      <c r="F63" s="408" t="s">
        <v>152</v>
      </c>
      <c r="G63" s="400"/>
      <c r="H63" s="400"/>
      <c r="I63" s="400"/>
      <c r="J63" s="400"/>
      <c r="K63" s="400" t="s">
        <v>128</v>
      </c>
      <c r="L63" s="400"/>
      <c r="M63" s="51" t="s">
        <v>332</v>
      </c>
      <c r="N63" s="411" t="s">
        <v>132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23"/>
      <c r="E64" s="220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23"/>
      <c r="E65" s="220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23"/>
      <c r="E66" s="220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23"/>
      <c r="E67" s="220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23"/>
      <c r="E68" s="220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23"/>
      <c r="E69" s="220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23"/>
      <c r="E70" s="220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358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22" t="s">
        <v>2</v>
      </c>
      <c r="D72" s="222" t="s">
        <v>37</v>
      </c>
      <c r="E72" s="222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24" t="s">
        <v>114</v>
      </c>
      <c r="D73" s="224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23"/>
      <c r="D74" s="223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23"/>
      <c r="D75" s="223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23"/>
      <c r="D76" s="223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23"/>
      <c r="D77" s="223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23"/>
      <c r="D78" s="223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23"/>
      <c r="D79" s="223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23"/>
      <c r="D80" s="223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23"/>
      <c r="D81" s="223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359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6E10-C8DA-4225-BC23-8935980D8F24}">
  <dimension ref="A1:AF87"/>
  <sheetViews>
    <sheetView zoomScale="72" zoomScaleNormal="72" zoomScaleSheetLayoutView="70" workbookViewId="0">
      <selection activeCell="M67" sqref="M6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360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9" si="8">$AD$22</f>
        <v>0.62500000000000011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0.62500000000000011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323</v>
      </c>
      <c r="F8" s="30" t="s">
        <v>124</v>
      </c>
      <c r="G8" s="33">
        <v>1</v>
      </c>
      <c r="H8" s="35">
        <v>24</v>
      </c>
      <c r="I8" s="7">
        <v>25000</v>
      </c>
      <c r="J8" s="14">
        <v>4995</v>
      </c>
      <c r="K8" s="15">
        <f>L8+4693+5789+2627</f>
        <v>18104</v>
      </c>
      <c r="L8" s="15">
        <f>2269+2726</f>
        <v>4995</v>
      </c>
      <c r="M8" s="15">
        <f t="shared" si="1"/>
        <v>4995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0.62500000000000011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186</v>
      </c>
      <c r="F9" s="30" t="s">
        <v>128</v>
      </c>
      <c r="G9" s="33">
        <v>1</v>
      </c>
      <c r="H9" s="35">
        <v>24</v>
      </c>
      <c r="I9" s="7">
        <v>35000</v>
      </c>
      <c r="J9" s="14">
        <v>5085</v>
      </c>
      <c r="K9" s="15">
        <f>L9+5189+5656+3625+3716+5857+4870+1766+4863+5257+2562</f>
        <v>48446</v>
      </c>
      <c r="L9" s="15">
        <f>2451+2634</f>
        <v>5085</v>
      </c>
      <c r="M9" s="15">
        <f t="shared" si="1"/>
        <v>5085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0.62500000000000011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206</v>
      </c>
      <c r="D10" s="52" t="s">
        <v>313</v>
      </c>
      <c r="E10" s="53" t="s">
        <v>324</v>
      </c>
      <c r="F10" s="30" t="s">
        <v>128</v>
      </c>
      <c r="G10" s="33">
        <v>3</v>
      </c>
      <c r="H10" s="35">
        <v>24</v>
      </c>
      <c r="I10" s="7">
        <v>100000</v>
      </c>
      <c r="J10" s="5">
        <v>29328</v>
      </c>
      <c r="K10" s="15">
        <f>L10+5172+22401+13542</f>
        <v>70443</v>
      </c>
      <c r="L10" s="15">
        <f>5211*3+4565*3</f>
        <v>29328</v>
      </c>
      <c r="M10" s="15">
        <f t="shared" si="1"/>
        <v>29328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0.62500000000000011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195</v>
      </c>
      <c r="E11" s="53" t="s">
        <v>209</v>
      </c>
      <c r="F11" s="30" t="s">
        <v>150</v>
      </c>
      <c r="G11" s="33">
        <v>1</v>
      </c>
      <c r="H11" s="35">
        <v>20</v>
      </c>
      <c r="I11" s="7">
        <v>15000</v>
      </c>
      <c r="J11" s="14">
        <v>4733</v>
      </c>
      <c r="K11" s="15">
        <f>L11+2810+4371+5994</f>
        <v>17908</v>
      </c>
      <c r="L11" s="15">
        <f>1877+2856</f>
        <v>4733</v>
      </c>
      <c r="M11" s="15">
        <f t="shared" si="1"/>
        <v>4733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0.62500000000000011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25000</v>
      </c>
      <c r="J12" s="14">
        <v>3498</v>
      </c>
      <c r="K12" s="15">
        <f>L12+2475+2001+2181+2429+3786+4163+1336</f>
        <v>21869</v>
      </c>
      <c r="L12" s="15">
        <f>1948+1550</f>
        <v>3498</v>
      </c>
      <c r="M12" s="15">
        <f t="shared" si="1"/>
        <v>3498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si="7"/>
        <v>0.83333333333333337</v>
      </c>
      <c r="AE12" s="36">
        <f t="shared" si="8"/>
        <v>0.62500000000000011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117</v>
      </c>
      <c r="E13" s="53" t="s">
        <v>341</v>
      </c>
      <c r="F13" s="30" t="s">
        <v>128</v>
      </c>
      <c r="G13" s="33">
        <v>1</v>
      </c>
      <c r="H13" s="35">
        <v>24</v>
      </c>
      <c r="I13" s="7">
        <v>3000</v>
      </c>
      <c r="J13" s="14">
        <v>3691</v>
      </c>
      <c r="K13" s="15">
        <f>L13+2098+773</f>
        <v>6562</v>
      </c>
      <c r="L13" s="15">
        <f>1620+2071</f>
        <v>3691</v>
      </c>
      <c r="M13" s="15">
        <f t="shared" si="1"/>
        <v>3691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/>
      <c r="T13" s="16"/>
      <c r="U13" s="16"/>
      <c r="V13" s="17"/>
      <c r="W13" s="5">
        <v>3</v>
      </c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7"/>
        <v>0.875</v>
      </c>
      <c r="AE13" s="36">
        <f t="shared" si="8"/>
        <v>0.62500000000000011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0.62500000000000011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2918</v>
      </c>
      <c r="K15" s="15">
        <f>L15+1910</f>
        <v>4828</v>
      </c>
      <c r="L15" s="15">
        <f>539+2379</f>
        <v>2918</v>
      </c>
      <c r="M15" s="15">
        <f t="shared" si="1"/>
        <v>2918</v>
      </c>
      <c r="N15" s="15">
        <v>0</v>
      </c>
      <c r="O15" s="58">
        <f t="shared" si="2"/>
        <v>0</v>
      </c>
      <c r="P15" s="39">
        <f t="shared" si="3"/>
        <v>18</v>
      </c>
      <c r="Q15" s="40">
        <f t="shared" si="4"/>
        <v>6</v>
      </c>
      <c r="R15" s="7"/>
      <c r="S15" s="6"/>
      <c r="T15" s="16"/>
      <c r="U15" s="16"/>
      <c r="V15" s="17"/>
      <c r="W15" s="5">
        <v>6</v>
      </c>
      <c r="X15" s="16"/>
      <c r="Y15" s="16"/>
      <c r="Z15" s="16"/>
      <c r="AA15" s="18"/>
      <c r="AB15" s="8">
        <f t="shared" si="5"/>
        <v>1</v>
      </c>
      <c r="AC15" s="9">
        <f t="shared" si="6"/>
        <v>0.75</v>
      </c>
      <c r="AD15" s="10">
        <f t="shared" si="7"/>
        <v>0.75</v>
      </c>
      <c r="AE15" s="36">
        <f t="shared" si="8"/>
        <v>0.62500000000000011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14">
        <v>3301</v>
      </c>
      <c r="K16" s="15">
        <f>L16+5349+2604</f>
        <v>11254</v>
      </c>
      <c r="L16" s="15">
        <f>3301</f>
        <v>3301</v>
      </c>
      <c r="M16" s="15">
        <f t="shared" si="1"/>
        <v>3301</v>
      </c>
      <c r="N16" s="15">
        <v>0</v>
      </c>
      <c r="O16" s="58">
        <f t="shared" si="2"/>
        <v>0</v>
      </c>
      <c r="P16" s="39">
        <f t="shared" si="3"/>
        <v>16</v>
      </c>
      <c r="Q16" s="40">
        <f t="shared" si="4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0.66666666666666663</v>
      </c>
      <c r="AD16" s="10">
        <f t="shared" si="7"/>
        <v>0.66666666666666663</v>
      </c>
      <c r="AE16" s="36">
        <f t="shared" si="8"/>
        <v>0.62500000000000011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131</v>
      </c>
      <c r="D17" s="52" t="s">
        <v>354</v>
      </c>
      <c r="E17" s="53" t="s">
        <v>353</v>
      </c>
      <c r="F17" s="30" t="s">
        <v>145</v>
      </c>
      <c r="G17" s="33">
        <v>1</v>
      </c>
      <c r="H17" s="35">
        <v>20</v>
      </c>
      <c r="I17" s="7">
        <v>1000</v>
      </c>
      <c r="J17" s="14">
        <v>698</v>
      </c>
      <c r="K17" s="15">
        <f>L17+858</f>
        <v>1556</v>
      </c>
      <c r="L17" s="15">
        <v>698</v>
      </c>
      <c r="M17" s="15">
        <f t="shared" si="1"/>
        <v>698</v>
      </c>
      <c r="N17" s="15">
        <v>0</v>
      </c>
      <c r="O17" s="58">
        <f t="shared" si="2"/>
        <v>0</v>
      </c>
      <c r="P17" s="39">
        <f t="shared" si="3"/>
        <v>4</v>
      </c>
      <c r="Q17" s="40">
        <f t="shared" si="4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5"/>
        <v>1</v>
      </c>
      <c r="AC17" s="9">
        <f t="shared" si="6"/>
        <v>0.16666666666666666</v>
      </c>
      <c r="AD17" s="10">
        <f t="shared" si="7"/>
        <v>0.16666666666666666</v>
      </c>
      <c r="AE17" s="36">
        <f t="shared" si="8"/>
        <v>0.62500000000000011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125</v>
      </c>
      <c r="D18" s="52" t="s">
        <v>165</v>
      </c>
      <c r="E18" s="53" t="s">
        <v>152</v>
      </c>
      <c r="F18" s="30" t="s">
        <v>128</v>
      </c>
      <c r="G18" s="33">
        <v>1</v>
      </c>
      <c r="H18" s="35">
        <v>24</v>
      </c>
      <c r="I18" s="7">
        <v>1000</v>
      </c>
      <c r="J18" s="5">
        <v>1050</v>
      </c>
      <c r="K18" s="15">
        <f>L18</f>
        <v>1050</v>
      </c>
      <c r="L18" s="15">
        <f>1050</f>
        <v>1050</v>
      </c>
      <c r="M18" s="15">
        <f t="shared" ref="M18" si="10">L18-N18</f>
        <v>1050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6</v>
      </c>
      <c r="Q18" s="40">
        <f t="shared" ref="Q18" si="13">SUM(R18:AA18)</f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0.25</v>
      </c>
      <c r="AD18" s="10">
        <f>AC18*AB18*(1-O18)</f>
        <v>0.25</v>
      </c>
      <c r="AE18" s="36">
        <f t="shared" si="8"/>
        <v>0.62500000000000011</v>
      </c>
      <c r="AF18" s="87">
        <f t="shared" ref="AF18" si="16">A18</f>
        <v>13</v>
      </c>
    </row>
    <row r="19" spans="1:32" ht="27" customHeight="1">
      <c r="A19" s="103">
        <v>13</v>
      </c>
      <c r="B19" s="11" t="s">
        <v>57</v>
      </c>
      <c r="C19" s="34" t="s">
        <v>125</v>
      </c>
      <c r="D19" s="52" t="s">
        <v>361</v>
      </c>
      <c r="E19" s="53" t="s">
        <v>362</v>
      </c>
      <c r="F19" s="30" t="s">
        <v>197</v>
      </c>
      <c r="G19" s="33">
        <v>1</v>
      </c>
      <c r="H19" s="35">
        <v>24</v>
      </c>
      <c r="I19" s="7">
        <v>32000</v>
      </c>
      <c r="J19" s="5">
        <v>3263</v>
      </c>
      <c r="K19" s="15">
        <f>L19</f>
        <v>3263</v>
      </c>
      <c r="L19" s="15">
        <f>736+2527</f>
        <v>3263</v>
      </c>
      <c r="M19" s="15">
        <f t="shared" si="1"/>
        <v>3263</v>
      </c>
      <c r="N19" s="15">
        <v>0</v>
      </c>
      <c r="O19" s="58">
        <f t="shared" si="2"/>
        <v>0</v>
      </c>
      <c r="P19" s="39">
        <f t="shared" si="3"/>
        <v>16</v>
      </c>
      <c r="Q19" s="40">
        <f t="shared" si="4"/>
        <v>8</v>
      </c>
      <c r="R19" s="7"/>
      <c r="S19" s="6"/>
      <c r="T19" s="16">
        <v>8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0.66666666666666663</v>
      </c>
      <c r="AD19" s="10">
        <f>AC19*AB19*(1-O19)</f>
        <v>0.66666666666666663</v>
      </c>
      <c r="AE19" s="36">
        <f t="shared" si="8"/>
        <v>0.62500000000000011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144</v>
      </c>
      <c r="F20" s="30" t="s">
        <v>122</v>
      </c>
      <c r="G20" s="33">
        <v>1</v>
      </c>
      <c r="H20" s="35">
        <v>24</v>
      </c>
      <c r="I20" s="7">
        <v>120000</v>
      </c>
      <c r="J20" s="5">
        <v>2663</v>
      </c>
      <c r="K20" s="15">
        <f>L20+4376+4932+3746+2629+4823+3796+4027+5078+3986+4575+4282+4124+5194+424</f>
        <v>58655</v>
      </c>
      <c r="L20" s="15">
        <f>2264+399</f>
        <v>2663</v>
      </c>
      <c r="M20" s="15">
        <f t="shared" si="1"/>
        <v>2663</v>
      </c>
      <c r="N20" s="15">
        <v>0</v>
      </c>
      <c r="O20" s="58">
        <f t="shared" si="2"/>
        <v>0</v>
      </c>
      <c r="P20" s="39">
        <f t="shared" si="3"/>
        <v>17</v>
      </c>
      <c r="Q20" s="40">
        <f t="shared" si="4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0.70833333333333337</v>
      </c>
      <c r="AD20" s="10">
        <f t="shared" ref="AD20" si="17">AC20*AB20*(1-O20)</f>
        <v>0.70833333333333337</v>
      </c>
      <c r="AE20" s="36">
        <f t="shared" ref="AE20" si="18">$AD$21</f>
        <v>0.45833333333333331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313</v>
      </c>
      <c r="F21" s="12" t="s">
        <v>116</v>
      </c>
      <c r="G21" s="12">
        <v>4</v>
      </c>
      <c r="H21" s="35">
        <v>20</v>
      </c>
      <c r="I21" s="7">
        <v>300000</v>
      </c>
      <c r="J21" s="14">
        <v>38372</v>
      </c>
      <c r="K21" s="15">
        <f>L21+34224+40520+30032</f>
        <v>143148</v>
      </c>
      <c r="L21" s="15">
        <f>9593*4</f>
        <v>38372</v>
      </c>
      <c r="M21" s="15">
        <f t="shared" si="1"/>
        <v>38372</v>
      </c>
      <c r="N21" s="15">
        <v>0</v>
      </c>
      <c r="O21" s="58">
        <f t="shared" si="2"/>
        <v>0</v>
      </c>
      <c r="P21" s="39">
        <f t="shared" si="3"/>
        <v>11</v>
      </c>
      <c r="Q21" s="40">
        <f t="shared" si="4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0.45833333333333331</v>
      </c>
      <c r="AD21" s="10">
        <f t="shared" si="7"/>
        <v>0.45833333333333331</v>
      </c>
      <c r="AE21" s="36">
        <f>$AD$22</f>
        <v>0.62500000000000011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9">SUM(I6:I21)</f>
        <v>722000</v>
      </c>
      <c r="J22" s="19">
        <f t="shared" si="19"/>
        <v>105787</v>
      </c>
      <c r="K22" s="20">
        <f t="shared" si="19"/>
        <v>418634</v>
      </c>
      <c r="L22" s="21">
        <f t="shared" si="19"/>
        <v>103595</v>
      </c>
      <c r="M22" s="20">
        <f t="shared" si="19"/>
        <v>103595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225</v>
      </c>
      <c r="Q22" s="43">
        <f t="shared" si="20"/>
        <v>159</v>
      </c>
      <c r="R22" s="23">
        <f t="shared" si="20"/>
        <v>24</v>
      </c>
      <c r="S22" s="24">
        <f t="shared" si="20"/>
        <v>19</v>
      </c>
      <c r="T22" s="24">
        <f t="shared" si="20"/>
        <v>8</v>
      </c>
      <c r="U22" s="24">
        <f t="shared" si="20"/>
        <v>0</v>
      </c>
      <c r="V22" s="25">
        <f t="shared" si="20"/>
        <v>61</v>
      </c>
      <c r="W22" s="26">
        <f t="shared" si="20"/>
        <v>47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0.8666666666666667</v>
      </c>
      <c r="AC22" s="4">
        <f>SUM(AC6:AC21)/15</f>
        <v>0.62500000000000011</v>
      </c>
      <c r="AD22" s="4">
        <f>SUM(AD6:AD21)/15</f>
        <v>0.62500000000000011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363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364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34" t="s">
        <v>46</v>
      </c>
      <c r="D51" s="234" t="s">
        <v>47</v>
      </c>
      <c r="E51" s="234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234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125</v>
      </c>
      <c r="B52" s="420"/>
      <c r="C52" s="232" t="s">
        <v>134</v>
      </c>
      <c r="D52" s="232" t="s">
        <v>117</v>
      </c>
      <c r="E52" s="232" t="s">
        <v>265</v>
      </c>
      <c r="F52" s="421" t="s">
        <v>326</v>
      </c>
      <c r="G52" s="422"/>
      <c r="H52" s="422"/>
      <c r="I52" s="422"/>
      <c r="J52" s="422"/>
      <c r="K52" s="422"/>
      <c r="L52" s="422"/>
      <c r="M52" s="423"/>
      <c r="N52" s="231" t="s">
        <v>125</v>
      </c>
      <c r="O52" s="229" t="s">
        <v>230</v>
      </c>
      <c r="P52" s="433" t="s">
        <v>117</v>
      </c>
      <c r="Q52" s="434"/>
      <c r="R52" s="420" t="s">
        <v>144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232" t="s">
        <v>230</v>
      </c>
      <c r="D53" s="232" t="s">
        <v>117</v>
      </c>
      <c r="E53" s="232" t="s">
        <v>144</v>
      </c>
      <c r="F53" s="421" t="s">
        <v>295</v>
      </c>
      <c r="G53" s="422"/>
      <c r="H53" s="422"/>
      <c r="I53" s="422"/>
      <c r="J53" s="422"/>
      <c r="K53" s="422"/>
      <c r="L53" s="422"/>
      <c r="M53" s="423"/>
      <c r="N53" s="231" t="s">
        <v>125</v>
      </c>
      <c r="O53" s="229" t="s">
        <v>292</v>
      </c>
      <c r="P53" s="433" t="s">
        <v>123</v>
      </c>
      <c r="Q53" s="434"/>
      <c r="R53" s="420" t="s">
        <v>291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206</v>
      </c>
      <c r="B54" s="420"/>
      <c r="C54" s="232" t="s">
        <v>182</v>
      </c>
      <c r="D54" s="232" t="s">
        <v>208</v>
      </c>
      <c r="E54" s="232" t="s">
        <v>205</v>
      </c>
      <c r="F54" s="421" t="s">
        <v>127</v>
      </c>
      <c r="G54" s="422"/>
      <c r="H54" s="422"/>
      <c r="I54" s="422"/>
      <c r="J54" s="422"/>
      <c r="K54" s="422"/>
      <c r="L54" s="422"/>
      <c r="M54" s="423"/>
      <c r="N54" s="231" t="s">
        <v>125</v>
      </c>
      <c r="O54" s="229" t="s">
        <v>201</v>
      </c>
      <c r="P54" s="433" t="s">
        <v>117</v>
      </c>
      <c r="Q54" s="434"/>
      <c r="R54" s="420" t="s">
        <v>365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232" t="s">
        <v>132</v>
      </c>
      <c r="D55" s="232" t="s">
        <v>165</v>
      </c>
      <c r="E55" s="232" t="s">
        <v>152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231" t="s">
        <v>125</v>
      </c>
      <c r="O55" s="229" t="s">
        <v>129</v>
      </c>
      <c r="P55" s="433" t="s">
        <v>151</v>
      </c>
      <c r="Q55" s="434"/>
      <c r="R55" s="420" t="s">
        <v>366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125</v>
      </c>
      <c r="B56" s="420"/>
      <c r="C56" s="232" t="s">
        <v>132</v>
      </c>
      <c r="D56" s="232" t="s">
        <v>361</v>
      </c>
      <c r="E56" s="232" t="s">
        <v>362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231" t="s">
        <v>220</v>
      </c>
      <c r="O56" s="229" t="s">
        <v>168</v>
      </c>
      <c r="P56" s="433"/>
      <c r="Q56" s="434"/>
      <c r="R56" s="420" t="s">
        <v>367</v>
      </c>
      <c r="S56" s="420"/>
      <c r="T56" s="420"/>
      <c r="U56" s="420"/>
      <c r="V56" s="410" t="s">
        <v>121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2"/>
      <c r="D57" s="232"/>
      <c r="E57" s="232"/>
      <c r="F57" s="421"/>
      <c r="G57" s="422"/>
      <c r="H57" s="422"/>
      <c r="I57" s="422"/>
      <c r="J57" s="422"/>
      <c r="K57" s="422"/>
      <c r="L57" s="422"/>
      <c r="M57" s="423"/>
      <c r="N57" s="231"/>
      <c r="O57" s="22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2"/>
      <c r="D58" s="232"/>
      <c r="E58" s="232"/>
      <c r="F58" s="421"/>
      <c r="G58" s="422"/>
      <c r="H58" s="422"/>
      <c r="I58" s="422"/>
      <c r="J58" s="422"/>
      <c r="K58" s="422"/>
      <c r="L58" s="422"/>
      <c r="M58" s="423"/>
      <c r="N58" s="231"/>
      <c r="O58" s="22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2"/>
      <c r="D59" s="232"/>
      <c r="E59" s="232"/>
      <c r="F59" s="421"/>
      <c r="G59" s="422"/>
      <c r="H59" s="422"/>
      <c r="I59" s="422"/>
      <c r="J59" s="422"/>
      <c r="K59" s="422"/>
      <c r="L59" s="422"/>
      <c r="M59" s="423"/>
      <c r="N59" s="231"/>
      <c r="O59" s="229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232"/>
      <c r="D60" s="232"/>
      <c r="E60" s="232"/>
      <c r="F60" s="421"/>
      <c r="G60" s="422"/>
      <c r="H60" s="422"/>
      <c r="I60" s="422"/>
      <c r="J60" s="422"/>
      <c r="K60" s="422"/>
      <c r="L60" s="422"/>
      <c r="M60" s="423"/>
      <c r="N60" s="231"/>
      <c r="O60" s="229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233"/>
      <c r="D61" s="233"/>
      <c r="E61" s="233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368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230" t="s">
        <v>2</v>
      </c>
      <c r="D63" s="230" t="s">
        <v>37</v>
      </c>
      <c r="E63" s="230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230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114</v>
      </c>
      <c r="D64" s="225"/>
      <c r="E64" s="228" t="s">
        <v>165</v>
      </c>
      <c r="F64" s="408" t="s">
        <v>369</v>
      </c>
      <c r="G64" s="400"/>
      <c r="H64" s="400"/>
      <c r="I64" s="400"/>
      <c r="J64" s="400"/>
      <c r="K64" s="400" t="s">
        <v>158</v>
      </c>
      <c r="L64" s="400"/>
      <c r="M64" s="51" t="s">
        <v>370</v>
      </c>
      <c r="N64" s="411" t="s">
        <v>228</v>
      </c>
      <c r="O64" s="411"/>
      <c r="P64" s="409">
        <v>50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/>
      <c r="D65" s="225"/>
      <c r="E65" s="228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/>
      <c r="D66" s="225"/>
      <c r="E66" s="22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225"/>
      <c r="E67" s="22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225"/>
      <c r="E68" s="228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225"/>
      <c r="E69" s="228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225"/>
      <c r="E70" s="22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225"/>
      <c r="E71" s="228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371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227" t="s">
        <v>2</v>
      </c>
      <c r="D73" s="227" t="s">
        <v>37</v>
      </c>
      <c r="E73" s="227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226" t="s">
        <v>114</v>
      </c>
      <c r="D74" s="226"/>
      <c r="E74" s="65" t="s">
        <v>119</v>
      </c>
      <c r="F74" s="389" t="s">
        <v>118</v>
      </c>
      <c r="G74" s="390"/>
      <c r="H74" s="390"/>
      <c r="I74" s="390"/>
      <c r="J74" s="391"/>
      <c r="K74" s="392" t="s">
        <v>120</v>
      </c>
      <c r="L74" s="393"/>
      <c r="M74" s="393"/>
      <c r="N74" s="393"/>
      <c r="O74" s="393"/>
      <c r="P74" s="393"/>
      <c r="Q74" s="393"/>
      <c r="R74" s="393"/>
      <c r="S74" s="394"/>
      <c r="T74" s="395">
        <v>43384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225"/>
      <c r="D75" s="22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1">A75+1</f>
        <v>3</v>
      </c>
      <c r="B76" s="368"/>
      <c r="C76" s="225"/>
      <c r="D76" s="22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1"/>
        <v>4</v>
      </c>
      <c r="B77" s="368"/>
      <c r="C77" s="225"/>
      <c r="D77" s="22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1"/>
        <v>5</v>
      </c>
      <c r="B78" s="368"/>
      <c r="C78" s="225"/>
      <c r="D78" s="22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1"/>
        <v>6</v>
      </c>
      <c r="B79" s="368"/>
      <c r="C79" s="225"/>
      <c r="D79" s="22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1"/>
        <v>7</v>
      </c>
      <c r="B80" s="368"/>
      <c r="C80" s="225"/>
      <c r="D80" s="22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1"/>
        <v>8</v>
      </c>
      <c r="B81" s="368"/>
      <c r="C81" s="225"/>
      <c r="D81" s="22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1"/>
        <v>9</v>
      </c>
      <c r="B82" s="368"/>
      <c r="C82" s="225"/>
      <c r="D82" s="225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372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F050-3164-474A-BCE1-DA2C5ACAA94E}">
  <dimension ref="A1:AF86"/>
  <sheetViews>
    <sheetView topLeftCell="A31" zoomScale="72" zoomScaleNormal="72" zoomScaleSheetLayoutView="70" workbookViewId="0">
      <selection activeCell="A72" sqref="A72:B7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373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6" t="s">
        <v>17</v>
      </c>
      <c r="L5" s="236" t="s">
        <v>18</v>
      </c>
      <c r="M5" s="236" t="s">
        <v>19</v>
      </c>
      <c r="N5" s="23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0.58055555555555549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0.58055555555555549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291</v>
      </c>
      <c r="F8" s="30" t="s">
        <v>124</v>
      </c>
      <c r="G8" s="33">
        <v>1</v>
      </c>
      <c r="H8" s="35">
        <v>24</v>
      </c>
      <c r="I8" s="7">
        <v>4000</v>
      </c>
      <c r="J8" s="14">
        <v>4416</v>
      </c>
      <c r="K8" s="15">
        <f>L8</f>
        <v>4416</v>
      </c>
      <c r="L8" s="15">
        <f>2862+1554</f>
        <v>4416</v>
      </c>
      <c r="M8" s="15">
        <f t="shared" si="1"/>
        <v>4416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0.58055555555555549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220</v>
      </c>
      <c r="D9" s="52" t="s">
        <v>117</v>
      </c>
      <c r="E9" s="53" t="s">
        <v>367</v>
      </c>
      <c r="F9" s="30" t="s">
        <v>236</v>
      </c>
      <c r="G9" s="33">
        <v>1</v>
      </c>
      <c r="H9" s="35">
        <v>24</v>
      </c>
      <c r="I9" s="7">
        <v>2000</v>
      </c>
      <c r="J9" s="14">
        <v>3146</v>
      </c>
      <c r="K9" s="15">
        <f>L9</f>
        <v>3146</v>
      </c>
      <c r="L9" s="15">
        <f>1329+1817</f>
        <v>3146</v>
      </c>
      <c r="M9" s="15">
        <f t="shared" si="1"/>
        <v>3146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/>
      <c r="T9" s="16"/>
      <c r="U9" s="16"/>
      <c r="V9" s="17"/>
      <c r="W9" s="5">
        <v>5</v>
      </c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0.58055555555555549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206</v>
      </c>
      <c r="D10" s="52" t="s">
        <v>313</v>
      </c>
      <c r="E10" s="53" t="s">
        <v>324</v>
      </c>
      <c r="F10" s="30" t="s">
        <v>128</v>
      </c>
      <c r="G10" s="33">
        <v>3</v>
      </c>
      <c r="H10" s="35">
        <v>24</v>
      </c>
      <c r="I10" s="7">
        <v>100000</v>
      </c>
      <c r="J10" s="5">
        <v>30333</v>
      </c>
      <c r="K10" s="15">
        <f>L10+5172+22401+13542+29328</f>
        <v>100776</v>
      </c>
      <c r="L10" s="15">
        <f>4911*3+5200*3</f>
        <v>30333</v>
      </c>
      <c r="M10" s="15">
        <f t="shared" si="1"/>
        <v>30333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0.58055555555555549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117</v>
      </c>
      <c r="E11" s="53" t="s">
        <v>365</v>
      </c>
      <c r="F11" s="30" t="s">
        <v>137</v>
      </c>
      <c r="G11" s="33">
        <v>1</v>
      </c>
      <c r="H11" s="35">
        <v>20</v>
      </c>
      <c r="I11" s="7">
        <v>4000</v>
      </c>
      <c r="J11" s="14">
        <v>3556</v>
      </c>
      <c r="K11" s="15">
        <f>L11</f>
        <v>3556</v>
      </c>
      <c r="L11" s="15">
        <f>1557+1999</f>
        <v>3556</v>
      </c>
      <c r="M11" s="15">
        <f t="shared" si="1"/>
        <v>3556</v>
      </c>
      <c r="N11" s="15">
        <v>0</v>
      </c>
      <c r="O11" s="58">
        <f t="shared" si="2"/>
        <v>0</v>
      </c>
      <c r="P11" s="39">
        <f t="shared" si="3"/>
        <v>21</v>
      </c>
      <c r="Q11" s="40">
        <f t="shared" si="4"/>
        <v>3</v>
      </c>
      <c r="R11" s="7">
        <v>3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0.875</v>
      </c>
      <c r="AD11" s="10">
        <f t="shared" si="7"/>
        <v>0.875</v>
      </c>
      <c r="AE11" s="36">
        <f t="shared" si="8"/>
        <v>0.58055555555555549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117</v>
      </c>
      <c r="E12" s="53" t="s">
        <v>265</v>
      </c>
      <c r="F12" s="30" t="s">
        <v>122</v>
      </c>
      <c r="G12" s="33">
        <v>1</v>
      </c>
      <c r="H12" s="35">
        <v>20</v>
      </c>
      <c r="I12" s="7">
        <v>25000</v>
      </c>
      <c r="J12" s="14">
        <v>2947</v>
      </c>
      <c r="K12" s="15">
        <f>L12+2475+2001+2181+2429+3786+4163+1336+3498</f>
        <v>24816</v>
      </c>
      <c r="L12" s="15">
        <f>1072+1875</f>
        <v>2947</v>
      </c>
      <c r="M12" s="15">
        <f t="shared" si="1"/>
        <v>2947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si="7"/>
        <v>0.75</v>
      </c>
      <c r="AE12" s="36">
        <f t="shared" si="8"/>
        <v>0.58055555555555549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133</v>
      </c>
      <c r="E13" s="53" t="s">
        <v>374</v>
      </c>
      <c r="F13" s="30" t="s">
        <v>135</v>
      </c>
      <c r="G13" s="33">
        <v>1</v>
      </c>
      <c r="H13" s="35">
        <v>24</v>
      </c>
      <c r="I13" s="7">
        <v>4000</v>
      </c>
      <c r="J13" s="14">
        <v>5140</v>
      </c>
      <c r="K13" s="15">
        <f>L13</f>
        <v>5140</v>
      </c>
      <c r="L13" s="15">
        <f>3042+336+1762</f>
        <v>5140</v>
      </c>
      <c r="M13" s="15">
        <f t="shared" si="1"/>
        <v>5140</v>
      </c>
      <c r="N13" s="15">
        <v>0</v>
      </c>
      <c r="O13" s="58">
        <f t="shared" si="2"/>
        <v>0</v>
      </c>
      <c r="P13" s="39">
        <f t="shared" si="3"/>
        <v>23</v>
      </c>
      <c r="Q13" s="40">
        <f t="shared" si="4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0.95833333333333337</v>
      </c>
      <c r="AD13" s="10">
        <f t="shared" si="7"/>
        <v>0.95833333333333337</v>
      </c>
      <c r="AE13" s="36">
        <f t="shared" si="8"/>
        <v>0.58055555555555549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0.58055555555555549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2918</v>
      </c>
      <c r="K15" s="15">
        <f>L15+1910+2918</f>
        <v>4828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0.58055555555555549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14">
        <v>6416</v>
      </c>
      <c r="K16" s="15">
        <f>L16+5349+2604+3301</f>
        <v>17670</v>
      </c>
      <c r="L16" s="15">
        <f>3413+3003</f>
        <v>6416</v>
      </c>
      <c r="M16" s="15">
        <f t="shared" si="1"/>
        <v>6416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0.58055555555555549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131</v>
      </c>
      <c r="D17" s="52" t="s">
        <v>354</v>
      </c>
      <c r="E17" s="53" t="s">
        <v>353</v>
      </c>
      <c r="F17" s="30" t="s">
        <v>145</v>
      </c>
      <c r="G17" s="33">
        <v>1</v>
      </c>
      <c r="H17" s="35">
        <v>20</v>
      </c>
      <c r="I17" s="7">
        <v>1000</v>
      </c>
      <c r="J17" s="14">
        <v>698</v>
      </c>
      <c r="K17" s="15">
        <f>L17+858+698</f>
        <v>1556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0.58055555555555549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125</v>
      </c>
      <c r="D18" s="52" t="s">
        <v>361</v>
      </c>
      <c r="E18" s="53" t="s">
        <v>362</v>
      </c>
      <c r="F18" s="30" t="s">
        <v>197</v>
      </c>
      <c r="G18" s="33">
        <v>1</v>
      </c>
      <c r="H18" s="35">
        <v>24</v>
      </c>
      <c r="I18" s="7">
        <v>32000</v>
      </c>
      <c r="J18" s="5">
        <v>5115</v>
      </c>
      <c r="K18" s="15">
        <f>L18+3263</f>
        <v>8378</v>
      </c>
      <c r="L18" s="15">
        <f>2718+2397</f>
        <v>5115</v>
      </c>
      <c r="M18" s="15">
        <f t="shared" si="1"/>
        <v>5115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0.58055555555555549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120000</v>
      </c>
      <c r="J19" s="5">
        <v>4223</v>
      </c>
      <c r="K19" s="15">
        <f>L19+4376+4932+3746+2629+4823+3796+4027+5078+3986+4575+4282+4124+5194+424+2663</f>
        <v>62878</v>
      </c>
      <c r="L19" s="15">
        <f>2737+1486</f>
        <v>4223</v>
      </c>
      <c r="M19" s="15">
        <f t="shared" si="1"/>
        <v>4223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 t="shared" ref="AD19" si="10">AC19*AB19*(1-O19)</f>
        <v>0.91666666666666663</v>
      </c>
      <c r="AE19" s="36">
        <f t="shared" ref="AE19" si="11">$AD$20</f>
        <v>0.54166666666666663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42384</v>
      </c>
      <c r="K20" s="15">
        <f>L20+34224+40520+30032+38372</f>
        <v>185532</v>
      </c>
      <c r="L20" s="15">
        <f>10596*4</f>
        <v>42384</v>
      </c>
      <c r="M20" s="15">
        <f t="shared" si="1"/>
        <v>42384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>$AD$21</f>
        <v>0.58055555555555549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657000</v>
      </c>
      <c r="J21" s="19">
        <f t="shared" si="12"/>
        <v>113484</v>
      </c>
      <c r="K21" s="20">
        <f t="shared" si="12"/>
        <v>434240</v>
      </c>
      <c r="L21" s="21">
        <f t="shared" si="12"/>
        <v>107676</v>
      </c>
      <c r="M21" s="20">
        <f t="shared" si="12"/>
        <v>107676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209</v>
      </c>
      <c r="Q21" s="43">
        <f t="shared" si="13"/>
        <v>151</v>
      </c>
      <c r="R21" s="23">
        <f t="shared" si="13"/>
        <v>27</v>
      </c>
      <c r="S21" s="24">
        <f t="shared" si="13"/>
        <v>11</v>
      </c>
      <c r="T21" s="24">
        <f t="shared" si="13"/>
        <v>1</v>
      </c>
      <c r="U21" s="24">
        <f t="shared" si="13"/>
        <v>0</v>
      </c>
      <c r="V21" s="25">
        <f t="shared" si="13"/>
        <v>59</v>
      </c>
      <c r="W21" s="26">
        <f t="shared" si="13"/>
        <v>53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0.66666666666666663</v>
      </c>
      <c r="AC21" s="4">
        <f>SUM(AC6:AC20)/15</f>
        <v>0.58055555555555549</v>
      </c>
      <c r="AD21" s="4">
        <f>SUM(AD6:AD20)/15</f>
        <v>0.58055555555555549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375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377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37" t="s">
        <v>46</v>
      </c>
      <c r="D50" s="237" t="s">
        <v>47</v>
      </c>
      <c r="E50" s="237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37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125</v>
      </c>
      <c r="B51" s="420"/>
      <c r="C51" s="239" t="s">
        <v>292</v>
      </c>
      <c r="D51" s="239" t="s">
        <v>123</v>
      </c>
      <c r="E51" s="239" t="s">
        <v>291</v>
      </c>
      <c r="F51" s="421" t="s">
        <v>376</v>
      </c>
      <c r="G51" s="422"/>
      <c r="H51" s="422"/>
      <c r="I51" s="422"/>
      <c r="J51" s="422"/>
      <c r="K51" s="422"/>
      <c r="L51" s="422"/>
      <c r="M51" s="423"/>
      <c r="N51" s="238" t="s">
        <v>114</v>
      </c>
      <c r="O51" s="243" t="s">
        <v>168</v>
      </c>
      <c r="P51" s="433" t="s">
        <v>126</v>
      </c>
      <c r="Q51" s="434"/>
      <c r="R51" s="420" t="s">
        <v>188</v>
      </c>
      <c r="S51" s="420"/>
      <c r="T51" s="420"/>
      <c r="U51" s="420"/>
      <c r="V51" s="410" t="s">
        <v>121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239" t="s">
        <v>230</v>
      </c>
      <c r="D52" s="239" t="s">
        <v>117</v>
      </c>
      <c r="E52" s="239" t="s">
        <v>144</v>
      </c>
      <c r="F52" s="421" t="s">
        <v>127</v>
      </c>
      <c r="G52" s="422"/>
      <c r="H52" s="422"/>
      <c r="I52" s="422"/>
      <c r="J52" s="422"/>
      <c r="K52" s="422"/>
      <c r="L52" s="422"/>
      <c r="M52" s="423"/>
      <c r="N52" s="238" t="s">
        <v>125</v>
      </c>
      <c r="O52" s="243" t="s">
        <v>292</v>
      </c>
      <c r="P52" s="433" t="s">
        <v>123</v>
      </c>
      <c r="Q52" s="434"/>
      <c r="R52" s="420" t="s">
        <v>143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239" t="s">
        <v>201</v>
      </c>
      <c r="D53" s="239" t="s">
        <v>117</v>
      </c>
      <c r="E53" s="239" t="s">
        <v>365</v>
      </c>
      <c r="F53" s="421" t="s">
        <v>257</v>
      </c>
      <c r="G53" s="422"/>
      <c r="H53" s="422"/>
      <c r="I53" s="422"/>
      <c r="J53" s="422"/>
      <c r="K53" s="422"/>
      <c r="L53" s="422"/>
      <c r="M53" s="423"/>
      <c r="N53" s="238" t="s">
        <v>125</v>
      </c>
      <c r="O53" s="243" t="s">
        <v>201</v>
      </c>
      <c r="P53" s="433" t="s">
        <v>117</v>
      </c>
      <c r="Q53" s="434"/>
      <c r="R53" s="420" t="s">
        <v>365</v>
      </c>
      <c r="S53" s="420"/>
      <c r="T53" s="420"/>
      <c r="U53" s="420"/>
      <c r="V53" s="410" t="s">
        <v>127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239" t="s">
        <v>129</v>
      </c>
      <c r="D54" s="239" t="s">
        <v>133</v>
      </c>
      <c r="E54" s="239" t="s">
        <v>374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238" t="s">
        <v>125</v>
      </c>
      <c r="O54" s="243" t="s">
        <v>171</v>
      </c>
      <c r="P54" s="433" t="s">
        <v>151</v>
      </c>
      <c r="Q54" s="434"/>
      <c r="R54" s="420" t="s">
        <v>366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220</v>
      </c>
      <c r="B55" s="420"/>
      <c r="C55" s="239" t="s">
        <v>168</v>
      </c>
      <c r="D55" s="239"/>
      <c r="E55" s="239" t="s">
        <v>367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238" t="s">
        <v>114</v>
      </c>
      <c r="O55" s="243" t="s">
        <v>201</v>
      </c>
      <c r="P55" s="433" t="s">
        <v>117</v>
      </c>
      <c r="Q55" s="434"/>
      <c r="R55" s="420" t="s">
        <v>118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39"/>
      <c r="D56" s="239"/>
      <c r="E56" s="239"/>
      <c r="F56" s="421"/>
      <c r="G56" s="422"/>
      <c r="H56" s="422"/>
      <c r="I56" s="422"/>
      <c r="J56" s="422"/>
      <c r="K56" s="422"/>
      <c r="L56" s="422"/>
      <c r="M56" s="423"/>
      <c r="N56" s="238"/>
      <c r="O56" s="24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9"/>
      <c r="D57" s="239"/>
      <c r="E57" s="239"/>
      <c r="F57" s="421"/>
      <c r="G57" s="422"/>
      <c r="H57" s="422"/>
      <c r="I57" s="422"/>
      <c r="J57" s="422"/>
      <c r="K57" s="422"/>
      <c r="L57" s="422"/>
      <c r="M57" s="423"/>
      <c r="N57" s="238"/>
      <c r="O57" s="24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9"/>
      <c r="D58" s="239"/>
      <c r="E58" s="239"/>
      <c r="F58" s="421"/>
      <c r="G58" s="422"/>
      <c r="H58" s="422"/>
      <c r="I58" s="422"/>
      <c r="J58" s="422"/>
      <c r="K58" s="422"/>
      <c r="L58" s="422"/>
      <c r="M58" s="423"/>
      <c r="N58" s="238"/>
      <c r="O58" s="24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9"/>
      <c r="D59" s="239"/>
      <c r="E59" s="239"/>
      <c r="F59" s="421"/>
      <c r="G59" s="422"/>
      <c r="H59" s="422"/>
      <c r="I59" s="422"/>
      <c r="J59" s="422"/>
      <c r="K59" s="422"/>
      <c r="L59" s="422"/>
      <c r="M59" s="423"/>
      <c r="N59" s="238"/>
      <c r="O59" s="24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40"/>
      <c r="D60" s="240"/>
      <c r="E60" s="240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378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41" t="s">
        <v>2</v>
      </c>
      <c r="D62" s="241" t="s">
        <v>37</v>
      </c>
      <c r="E62" s="241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41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45"/>
      <c r="E63" s="242" t="s">
        <v>165</v>
      </c>
      <c r="F63" s="408" t="s">
        <v>369</v>
      </c>
      <c r="G63" s="400"/>
      <c r="H63" s="400"/>
      <c r="I63" s="400"/>
      <c r="J63" s="400"/>
      <c r="K63" s="400" t="s">
        <v>158</v>
      </c>
      <c r="L63" s="400"/>
      <c r="M63" s="51" t="s">
        <v>370</v>
      </c>
      <c r="N63" s="411" t="s">
        <v>228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45"/>
      <c r="E64" s="242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45"/>
      <c r="E65" s="24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45"/>
      <c r="E66" s="24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45"/>
      <c r="E67" s="24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45"/>
      <c r="E68" s="242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45"/>
      <c r="E69" s="242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45"/>
      <c r="E70" s="24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379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44" t="s">
        <v>2</v>
      </c>
      <c r="D72" s="244" t="s">
        <v>37</v>
      </c>
      <c r="E72" s="244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46" t="s">
        <v>114</v>
      </c>
      <c r="D73" s="246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45"/>
      <c r="D74" s="245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45"/>
      <c r="D75" s="24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45"/>
      <c r="D76" s="24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45"/>
      <c r="D77" s="24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45"/>
      <c r="D78" s="24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45"/>
      <c r="D79" s="24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45"/>
      <c r="D80" s="24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45"/>
      <c r="D81" s="24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372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9DD8-CED9-4DCF-A6E1-3692B191CEBD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380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57" t="s">
        <v>17</v>
      </c>
      <c r="L5" s="257" t="s">
        <v>18</v>
      </c>
      <c r="M5" s="257" t="s">
        <v>19</v>
      </c>
      <c r="N5" s="25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0.53611111111111109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0.53611111111111109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4982</v>
      </c>
      <c r="K8" s="15">
        <f>L8</f>
        <v>4982</v>
      </c>
      <c r="L8" s="15">
        <f>2036+2946</f>
        <v>4982</v>
      </c>
      <c r="M8" s="15">
        <f t="shared" si="1"/>
        <v>4982</v>
      </c>
      <c r="N8" s="15">
        <v>0</v>
      </c>
      <c r="O8" s="58">
        <f t="shared" si="2"/>
        <v>0</v>
      </c>
      <c r="P8" s="39">
        <f t="shared" si="3"/>
        <v>23</v>
      </c>
      <c r="Q8" s="40">
        <f t="shared" si="4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0.95833333333333337</v>
      </c>
      <c r="AD8" s="10">
        <f t="shared" si="7"/>
        <v>0.95833333333333337</v>
      </c>
      <c r="AE8" s="36">
        <f t="shared" si="8"/>
        <v>0.53611111111111109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188</v>
      </c>
      <c r="F9" s="30" t="s">
        <v>128</v>
      </c>
      <c r="G9" s="33">
        <v>1</v>
      </c>
      <c r="H9" s="35">
        <v>24</v>
      </c>
      <c r="I9" s="7">
        <v>10000</v>
      </c>
      <c r="J9" s="14">
        <v>4848</v>
      </c>
      <c r="K9" s="15">
        <f>L9</f>
        <v>4848</v>
      </c>
      <c r="L9" s="15">
        <f>2243+2605</f>
        <v>4848</v>
      </c>
      <c r="M9" s="15">
        <f t="shared" si="1"/>
        <v>4848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0.53611111111111109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151</v>
      </c>
      <c r="E10" s="53" t="s">
        <v>366</v>
      </c>
      <c r="F10" s="30" t="s">
        <v>137</v>
      </c>
      <c r="G10" s="33">
        <v>1</v>
      </c>
      <c r="H10" s="35">
        <v>24</v>
      </c>
      <c r="I10" s="7">
        <v>4000</v>
      </c>
      <c r="J10" s="5">
        <v>5302</v>
      </c>
      <c r="K10" s="15">
        <f>L10</f>
        <v>5302</v>
      </c>
      <c r="L10" s="15">
        <f>2534+2768</f>
        <v>5302</v>
      </c>
      <c r="M10" s="15">
        <f t="shared" si="1"/>
        <v>5302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0.53611111111111109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125</v>
      </c>
      <c r="D11" s="52" t="s">
        <v>117</v>
      </c>
      <c r="E11" s="53" t="s">
        <v>365</v>
      </c>
      <c r="F11" s="30" t="s">
        <v>137</v>
      </c>
      <c r="G11" s="33">
        <v>1</v>
      </c>
      <c r="H11" s="35">
        <v>20</v>
      </c>
      <c r="I11" s="7">
        <v>4000</v>
      </c>
      <c r="J11" s="14">
        <v>2062</v>
      </c>
      <c r="K11" s="15">
        <f>L11+3556</f>
        <v>5618</v>
      </c>
      <c r="L11" s="15">
        <f>1644+418</f>
        <v>2062</v>
      </c>
      <c r="M11" s="15">
        <f t="shared" si="1"/>
        <v>2062</v>
      </c>
      <c r="N11" s="15">
        <v>0</v>
      </c>
      <c r="O11" s="58">
        <f t="shared" si="2"/>
        <v>0</v>
      </c>
      <c r="P11" s="39">
        <f t="shared" si="3"/>
        <v>13</v>
      </c>
      <c r="Q11" s="40">
        <f t="shared" si="4"/>
        <v>11</v>
      </c>
      <c r="R11" s="7"/>
      <c r="S11" s="6"/>
      <c r="T11" s="16"/>
      <c r="U11" s="16"/>
      <c r="V11" s="17"/>
      <c r="W11" s="5">
        <v>11</v>
      </c>
      <c r="X11" s="16"/>
      <c r="Y11" s="16"/>
      <c r="Z11" s="16"/>
      <c r="AA11" s="18"/>
      <c r="AB11" s="8">
        <f t="shared" si="5"/>
        <v>1</v>
      </c>
      <c r="AC11" s="9">
        <f t="shared" si="6"/>
        <v>0.54166666666666663</v>
      </c>
      <c r="AD11" s="10">
        <f t="shared" si="7"/>
        <v>0.54166666666666663</v>
      </c>
      <c r="AE11" s="36">
        <f t="shared" si="8"/>
        <v>0.53611111111111109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122</v>
      </c>
      <c r="G12" s="33">
        <v>1</v>
      </c>
      <c r="H12" s="35">
        <v>20</v>
      </c>
      <c r="I12" s="7">
        <v>10000</v>
      </c>
      <c r="J12" s="14">
        <v>3861</v>
      </c>
      <c r="K12" s="15">
        <f>L12</f>
        <v>3861</v>
      </c>
      <c r="L12" s="15">
        <f>1449+2412</f>
        <v>3861</v>
      </c>
      <c r="M12" s="15">
        <f t="shared" si="1"/>
        <v>3861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si="7"/>
        <v>0.83333333333333337</v>
      </c>
      <c r="AE12" s="36">
        <f t="shared" si="8"/>
        <v>0.53611111111111109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117</v>
      </c>
      <c r="E13" s="53" t="s">
        <v>265</v>
      </c>
      <c r="F13" s="30" t="s">
        <v>122</v>
      </c>
      <c r="G13" s="33">
        <v>1</v>
      </c>
      <c r="H13" s="35">
        <v>24</v>
      </c>
      <c r="I13" s="7">
        <v>20000</v>
      </c>
      <c r="J13" s="14">
        <v>4355</v>
      </c>
      <c r="K13" s="15">
        <f>L13</f>
        <v>4355</v>
      </c>
      <c r="L13" s="15">
        <f>1795+2560</f>
        <v>4355</v>
      </c>
      <c r="M13" s="15">
        <f t="shared" si="1"/>
        <v>4355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7"/>
        <v>0.875</v>
      </c>
      <c r="AE13" s="36">
        <f t="shared" si="8"/>
        <v>0.53611111111111109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0.53611111111111109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2918</v>
      </c>
      <c r="K15" s="15">
        <f>L15+1910+2918</f>
        <v>4828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0.53611111111111109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14">
        <v>6261</v>
      </c>
      <c r="K16" s="15">
        <f>L16+5349+2604+3301+6416</f>
        <v>23931</v>
      </c>
      <c r="L16" s="15">
        <f>3116+3145</f>
        <v>6261</v>
      </c>
      <c r="M16" s="15">
        <f t="shared" si="1"/>
        <v>6261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0.53611111111111109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131</v>
      </c>
      <c r="D17" s="52" t="s">
        <v>354</v>
      </c>
      <c r="E17" s="53" t="s">
        <v>353</v>
      </c>
      <c r="F17" s="30" t="s">
        <v>145</v>
      </c>
      <c r="G17" s="33">
        <v>1</v>
      </c>
      <c r="H17" s="35">
        <v>20</v>
      </c>
      <c r="I17" s="7">
        <v>1000</v>
      </c>
      <c r="J17" s="14">
        <v>698</v>
      </c>
      <c r="K17" s="15">
        <f>L17+858+698</f>
        <v>1556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0.53611111111111109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125</v>
      </c>
      <c r="D18" s="52" t="s">
        <v>361</v>
      </c>
      <c r="E18" s="53" t="s">
        <v>362</v>
      </c>
      <c r="F18" s="30" t="s">
        <v>197</v>
      </c>
      <c r="G18" s="33">
        <v>1</v>
      </c>
      <c r="H18" s="35">
        <v>24</v>
      </c>
      <c r="I18" s="7">
        <v>32000</v>
      </c>
      <c r="J18" s="5">
        <v>1172</v>
      </c>
      <c r="K18" s="15">
        <f>L18+3263+5115</f>
        <v>9550</v>
      </c>
      <c r="L18" s="15">
        <v>1172</v>
      </c>
      <c r="M18" s="15">
        <f t="shared" si="1"/>
        <v>1172</v>
      </c>
      <c r="N18" s="15">
        <v>0</v>
      </c>
      <c r="O18" s="58">
        <f t="shared" si="2"/>
        <v>0</v>
      </c>
      <c r="P18" s="39">
        <f t="shared" si="3"/>
        <v>8</v>
      </c>
      <c r="Q18" s="40">
        <f t="shared" si="4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0.33333333333333331</v>
      </c>
      <c r="AD18" s="10">
        <f>AC18*AB18*(1-O18)</f>
        <v>0.33333333333333331</v>
      </c>
      <c r="AE18" s="36">
        <f t="shared" si="8"/>
        <v>0.53611111111111109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120000</v>
      </c>
      <c r="J19" s="5">
        <v>4771</v>
      </c>
      <c r="K19" s="15">
        <f>L19+4376+4932+3746+2629+4823+3796+4027+5078+3986+4575+4282+4124+5194+424+2663+4223</f>
        <v>67649</v>
      </c>
      <c r="L19" s="15">
        <f>2246+2525</f>
        <v>4771</v>
      </c>
      <c r="M19" s="15">
        <f t="shared" si="1"/>
        <v>4771</v>
      </c>
      <c r="N19" s="15">
        <v>0</v>
      </c>
      <c r="O19" s="58">
        <f t="shared" si="2"/>
        <v>0</v>
      </c>
      <c r="P19" s="39">
        <f t="shared" si="3"/>
        <v>23</v>
      </c>
      <c r="Q19" s="40">
        <f t="shared" si="4"/>
        <v>1</v>
      </c>
      <c r="R19" s="7"/>
      <c r="S19" s="6">
        <v>1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0.95833333333333337</v>
      </c>
      <c r="AD19" s="10">
        <f t="shared" ref="AD19" si="10">AC19*AB19*(1-O19)</f>
        <v>0.95833333333333337</v>
      </c>
      <c r="AE19" s="36">
        <f t="shared" ref="AE19" si="11">$AD$20</f>
        <v>0.54166666666666663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45788</v>
      </c>
      <c r="K20" s="15">
        <f>L20+34224+40520+30032+38372+42384</f>
        <v>231320</v>
      </c>
      <c r="L20" s="15">
        <f>11447*4</f>
        <v>45788</v>
      </c>
      <c r="M20" s="15">
        <f t="shared" si="1"/>
        <v>45788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>$AD$21</f>
        <v>0.53611111111111109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598000</v>
      </c>
      <c r="J21" s="19">
        <f t="shared" si="12"/>
        <v>89210</v>
      </c>
      <c r="K21" s="20">
        <f t="shared" si="12"/>
        <v>379348</v>
      </c>
      <c r="L21" s="21">
        <f t="shared" si="12"/>
        <v>83402</v>
      </c>
      <c r="M21" s="20">
        <f t="shared" si="12"/>
        <v>83402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193</v>
      </c>
      <c r="Q21" s="43">
        <f t="shared" si="13"/>
        <v>167</v>
      </c>
      <c r="R21" s="23">
        <f t="shared" si="13"/>
        <v>24</v>
      </c>
      <c r="S21" s="24">
        <f t="shared" si="13"/>
        <v>24</v>
      </c>
      <c r="T21" s="24">
        <f t="shared" si="13"/>
        <v>1</v>
      </c>
      <c r="U21" s="24">
        <f t="shared" si="13"/>
        <v>0</v>
      </c>
      <c r="V21" s="25">
        <f t="shared" si="13"/>
        <v>59</v>
      </c>
      <c r="W21" s="26">
        <f t="shared" si="13"/>
        <v>59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0.66666666666666663</v>
      </c>
      <c r="AC21" s="4">
        <f>SUM(AC6:AC20)/15</f>
        <v>0.53611111111111109</v>
      </c>
      <c r="AD21" s="4">
        <f>SUM(AD6:AD20)/15</f>
        <v>0.53611111111111109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381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377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56" t="s">
        <v>46</v>
      </c>
      <c r="D50" s="256" t="s">
        <v>47</v>
      </c>
      <c r="E50" s="256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56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125</v>
      </c>
      <c r="B51" s="420"/>
      <c r="C51" s="254" t="s">
        <v>292</v>
      </c>
      <c r="D51" s="254" t="s">
        <v>123</v>
      </c>
      <c r="E51" s="254" t="s">
        <v>143</v>
      </c>
      <c r="F51" s="421" t="s">
        <v>121</v>
      </c>
      <c r="G51" s="422"/>
      <c r="H51" s="422"/>
      <c r="I51" s="422"/>
      <c r="J51" s="422"/>
      <c r="K51" s="422"/>
      <c r="L51" s="422"/>
      <c r="M51" s="423"/>
      <c r="N51" s="253" t="s">
        <v>125</v>
      </c>
      <c r="O51" s="251" t="s">
        <v>171</v>
      </c>
      <c r="P51" s="433" t="s">
        <v>123</v>
      </c>
      <c r="Q51" s="434"/>
      <c r="R51" s="420" t="s">
        <v>323</v>
      </c>
      <c r="S51" s="420"/>
      <c r="T51" s="420"/>
      <c r="U51" s="420"/>
      <c r="V51" s="410" t="s">
        <v>121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254" t="s">
        <v>230</v>
      </c>
      <c r="D52" s="254" t="s">
        <v>117</v>
      </c>
      <c r="E52" s="254" t="s">
        <v>144</v>
      </c>
      <c r="F52" s="421" t="s">
        <v>326</v>
      </c>
      <c r="G52" s="422"/>
      <c r="H52" s="422"/>
      <c r="I52" s="422"/>
      <c r="J52" s="422"/>
      <c r="K52" s="422"/>
      <c r="L52" s="422"/>
      <c r="M52" s="423"/>
      <c r="N52" s="253" t="s">
        <v>114</v>
      </c>
      <c r="O52" s="251" t="s">
        <v>134</v>
      </c>
      <c r="P52" s="433" t="s">
        <v>117</v>
      </c>
      <c r="Q52" s="434"/>
      <c r="R52" s="420" t="s">
        <v>118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254" t="s">
        <v>201</v>
      </c>
      <c r="D53" s="254" t="s">
        <v>117</v>
      </c>
      <c r="E53" s="254" t="s">
        <v>365</v>
      </c>
      <c r="F53" s="421" t="s">
        <v>127</v>
      </c>
      <c r="G53" s="422"/>
      <c r="H53" s="422"/>
      <c r="I53" s="422"/>
      <c r="J53" s="422"/>
      <c r="K53" s="422"/>
      <c r="L53" s="422"/>
      <c r="M53" s="423"/>
      <c r="N53" s="253" t="s">
        <v>114</v>
      </c>
      <c r="O53" s="251" t="s">
        <v>201</v>
      </c>
      <c r="P53" s="433" t="s">
        <v>117</v>
      </c>
      <c r="Q53" s="434"/>
      <c r="R53" s="420" t="s">
        <v>383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254" t="s">
        <v>171</v>
      </c>
      <c r="D54" s="254" t="s">
        <v>151</v>
      </c>
      <c r="E54" s="254" t="s">
        <v>366</v>
      </c>
      <c r="F54" s="421" t="s">
        <v>127</v>
      </c>
      <c r="G54" s="422"/>
      <c r="H54" s="422"/>
      <c r="I54" s="422"/>
      <c r="J54" s="422"/>
      <c r="K54" s="422"/>
      <c r="L54" s="422"/>
      <c r="M54" s="423"/>
      <c r="N54" s="253" t="s">
        <v>125</v>
      </c>
      <c r="O54" s="251" t="s">
        <v>132</v>
      </c>
      <c r="P54" s="433" t="s">
        <v>361</v>
      </c>
      <c r="Q54" s="434"/>
      <c r="R54" s="420" t="s">
        <v>362</v>
      </c>
      <c r="S54" s="420"/>
      <c r="T54" s="420"/>
      <c r="U54" s="420"/>
      <c r="V54" s="410" t="s">
        <v>127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54" t="s">
        <v>168</v>
      </c>
      <c r="D55" s="254" t="s">
        <v>126</v>
      </c>
      <c r="E55" s="254" t="s">
        <v>188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253" t="s">
        <v>206</v>
      </c>
      <c r="O55" s="251" t="s">
        <v>228</v>
      </c>
      <c r="P55" s="433" t="s">
        <v>240</v>
      </c>
      <c r="Q55" s="434"/>
      <c r="R55" s="420" t="s">
        <v>384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54" t="s">
        <v>134</v>
      </c>
      <c r="D56" s="254" t="s">
        <v>117</v>
      </c>
      <c r="E56" s="254" t="s">
        <v>118</v>
      </c>
      <c r="F56" s="421" t="s">
        <v>382</v>
      </c>
      <c r="G56" s="422"/>
      <c r="H56" s="422"/>
      <c r="I56" s="422"/>
      <c r="J56" s="422"/>
      <c r="K56" s="422"/>
      <c r="L56" s="422"/>
      <c r="M56" s="423"/>
      <c r="N56" s="253"/>
      <c r="O56" s="251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125</v>
      </c>
      <c r="B57" s="420"/>
      <c r="C57" s="254" t="s">
        <v>129</v>
      </c>
      <c r="D57" s="254" t="s">
        <v>117</v>
      </c>
      <c r="E57" s="254" t="s">
        <v>265</v>
      </c>
      <c r="F57" s="421" t="s">
        <v>127</v>
      </c>
      <c r="G57" s="422"/>
      <c r="H57" s="422"/>
      <c r="I57" s="422"/>
      <c r="J57" s="422"/>
      <c r="K57" s="422"/>
      <c r="L57" s="422"/>
      <c r="M57" s="423"/>
      <c r="N57" s="253"/>
      <c r="O57" s="251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125</v>
      </c>
      <c r="B58" s="420"/>
      <c r="C58" s="254" t="s">
        <v>132</v>
      </c>
      <c r="D58" s="254" t="s">
        <v>361</v>
      </c>
      <c r="E58" s="254" t="s">
        <v>362</v>
      </c>
      <c r="F58" s="421" t="s">
        <v>295</v>
      </c>
      <c r="G58" s="422"/>
      <c r="H58" s="422"/>
      <c r="I58" s="422"/>
      <c r="J58" s="422"/>
      <c r="K58" s="422"/>
      <c r="L58" s="422"/>
      <c r="M58" s="423"/>
      <c r="N58" s="253"/>
      <c r="O58" s="251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54"/>
      <c r="D59" s="254"/>
      <c r="E59" s="254"/>
      <c r="F59" s="421"/>
      <c r="G59" s="422"/>
      <c r="H59" s="422"/>
      <c r="I59" s="422"/>
      <c r="J59" s="422"/>
      <c r="K59" s="422"/>
      <c r="L59" s="422"/>
      <c r="M59" s="423"/>
      <c r="N59" s="253"/>
      <c r="O59" s="251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55"/>
      <c r="D60" s="255"/>
      <c r="E60" s="255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385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52" t="s">
        <v>2</v>
      </c>
      <c r="D62" s="252" t="s">
        <v>37</v>
      </c>
      <c r="E62" s="252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52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247"/>
      <c r="E63" s="250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47"/>
      <c r="E64" s="250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47"/>
      <c r="E65" s="250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47"/>
      <c r="E66" s="250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47"/>
      <c r="E67" s="250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47"/>
      <c r="E68" s="250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47"/>
      <c r="E69" s="250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47"/>
      <c r="E70" s="250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386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49" t="s">
        <v>2</v>
      </c>
      <c r="D72" s="249" t="s">
        <v>37</v>
      </c>
      <c r="E72" s="249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48" t="s">
        <v>114</v>
      </c>
      <c r="D73" s="248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47"/>
      <c r="D74" s="247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47"/>
      <c r="D75" s="247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47"/>
      <c r="D76" s="247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47"/>
      <c r="D77" s="24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47"/>
      <c r="D78" s="24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47"/>
      <c r="D79" s="24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47"/>
      <c r="D80" s="24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47"/>
      <c r="D81" s="24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387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DB6-CEDF-44C2-8507-B0366E736C22}">
  <dimension ref="A1:AF87"/>
  <sheetViews>
    <sheetView topLeftCell="A4"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388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58" t="s">
        <v>17</v>
      </c>
      <c r="L5" s="258" t="s">
        <v>18</v>
      </c>
      <c r="M5" s="258" t="s">
        <v>19</v>
      </c>
      <c r="N5" s="25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9" si="8">$AD$22</f>
        <v>0.59166666666666667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0.59166666666666667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5992</v>
      </c>
      <c r="K8" s="15">
        <f>L8+4982</f>
        <v>10974</v>
      </c>
      <c r="L8" s="15">
        <f>2758+3234</f>
        <v>5992</v>
      </c>
      <c r="M8" s="15">
        <f t="shared" si="1"/>
        <v>5992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0.59166666666666667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188</v>
      </c>
      <c r="F9" s="30" t="s">
        <v>128</v>
      </c>
      <c r="G9" s="33">
        <v>1</v>
      </c>
      <c r="H9" s="35">
        <v>24</v>
      </c>
      <c r="I9" s="7">
        <v>10000</v>
      </c>
      <c r="J9" s="14">
        <v>2815</v>
      </c>
      <c r="K9" s="15">
        <f>L9+4848</f>
        <v>7663</v>
      </c>
      <c r="L9" s="15">
        <f>2227+588</f>
        <v>2815</v>
      </c>
      <c r="M9" s="15">
        <f t="shared" si="1"/>
        <v>2815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0.59166666666666667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123</v>
      </c>
      <c r="E10" s="53" t="s">
        <v>323</v>
      </c>
      <c r="F10" s="30" t="s">
        <v>137</v>
      </c>
      <c r="G10" s="33">
        <v>1</v>
      </c>
      <c r="H10" s="35">
        <v>24</v>
      </c>
      <c r="I10" s="7">
        <v>15000</v>
      </c>
      <c r="J10" s="5">
        <v>6142</v>
      </c>
      <c r="K10" s="15">
        <f>L10</f>
        <v>6142</v>
      </c>
      <c r="L10" s="15">
        <f>3609+2533</f>
        <v>6142</v>
      </c>
      <c r="M10" s="15">
        <f t="shared" si="1"/>
        <v>6142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0.59166666666666667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117</v>
      </c>
      <c r="E11" s="53" t="s">
        <v>383</v>
      </c>
      <c r="F11" s="30" t="s">
        <v>124</v>
      </c>
      <c r="G11" s="33">
        <v>1</v>
      </c>
      <c r="H11" s="35">
        <v>20</v>
      </c>
      <c r="I11" s="7">
        <v>5000</v>
      </c>
      <c r="J11" s="14">
        <v>4209</v>
      </c>
      <c r="K11" s="15">
        <f>L11</f>
        <v>4209</v>
      </c>
      <c r="L11" s="15">
        <f>3188+1021</f>
        <v>4209</v>
      </c>
      <c r="M11" s="15">
        <f t="shared" si="1"/>
        <v>4209</v>
      </c>
      <c r="N11" s="15">
        <v>0</v>
      </c>
      <c r="O11" s="58">
        <f t="shared" si="2"/>
        <v>0</v>
      </c>
      <c r="P11" s="39">
        <f t="shared" si="3"/>
        <v>20</v>
      </c>
      <c r="Q11" s="40">
        <f t="shared" si="4"/>
        <v>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4</v>
      </c>
      <c r="AB11" s="8">
        <f t="shared" si="5"/>
        <v>1</v>
      </c>
      <c r="AC11" s="9">
        <f t="shared" si="6"/>
        <v>0.83333333333333337</v>
      </c>
      <c r="AD11" s="10">
        <f t="shared" si="7"/>
        <v>0.83333333333333337</v>
      </c>
      <c r="AE11" s="36">
        <f t="shared" si="8"/>
        <v>0.59166666666666667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122</v>
      </c>
      <c r="G12" s="33">
        <v>1</v>
      </c>
      <c r="H12" s="35">
        <v>20</v>
      </c>
      <c r="I12" s="7">
        <v>10000</v>
      </c>
      <c r="J12" s="14">
        <v>4365</v>
      </c>
      <c r="K12" s="15">
        <f>L12+3861</f>
        <v>8226</v>
      </c>
      <c r="L12" s="15">
        <f>1520+2845</f>
        <v>4365</v>
      </c>
      <c r="M12" s="15">
        <f t="shared" si="1"/>
        <v>4365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0.59166666666666667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125</v>
      </c>
      <c r="D13" s="52" t="s">
        <v>117</v>
      </c>
      <c r="E13" s="53" t="s">
        <v>265</v>
      </c>
      <c r="F13" s="30" t="s">
        <v>122</v>
      </c>
      <c r="G13" s="33">
        <v>1</v>
      </c>
      <c r="H13" s="35">
        <v>24</v>
      </c>
      <c r="I13" s="7">
        <v>20000</v>
      </c>
      <c r="J13" s="14">
        <v>4828</v>
      </c>
      <c r="K13" s="15">
        <f>L13+4355</f>
        <v>9183</v>
      </c>
      <c r="L13" s="15">
        <f>2171+2657</f>
        <v>4828</v>
      </c>
      <c r="M13" s="15">
        <f t="shared" si="1"/>
        <v>4828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0.59166666666666667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>
        <v>24</v>
      </c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0.59166666666666667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2918</v>
      </c>
      <c r="K15" s="15">
        <f>L15+1910+2918</f>
        <v>4828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0.59166666666666667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14">
        <v>2531</v>
      </c>
      <c r="K16" s="15">
        <f>L16+5349+2604+3301+6416+6261</f>
        <v>26462</v>
      </c>
      <c r="L16" s="15">
        <f>2531</f>
        <v>2531</v>
      </c>
      <c r="M16" s="15">
        <f t="shared" si="1"/>
        <v>2531</v>
      </c>
      <c r="N16" s="15">
        <v>0</v>
      </c>
      <c r="O16" s="58">
        <f t="shared" si="2"/>
        <v>0</v>
      </c>
      <c r="P16" s="39">
        <f t="shared" si="3"/>
        <v>9</v>
      </c>
      <c r="Q16" s="40">
        <f t="shared" si="4"/>
        <v>15</v>
      </c>
      <c r="R16" s="7"/>
      <c r="S16" s="6"/>
      <c r="T16" s="16"/>
      <c r="U16" s="16"/>
      <c r="V16" s="17"/>
      <c r="W16" s="5">
        <v>15</v>
      </c>
      <c r="X16" s="16"/>
      <c r="Y16" s="16"/>
      <c r="Z16" s="16"/>
      <c r="AA16" s="18"/>
      <c r="AB16" s="8">
        <f t="shared" si="5"/>
        <v>1</v>
      </c>
      <c r="AC16" s="9">
        <f t="shared" si="6"/>
        <v>0.375</v>
      </c>
      <c r="AD16" s="10">
        <f t="shared" si="7"/>
        <v>0.375</v>
      </c>
      <c r="AE16" s="36">
        <f t="shared" si="8"/>
        <v>0.59166666666666667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34" t="s">
        <v>125</v>
      </c>
      <c r="D17" s="52" t="s">
        <v>133</v>
      </c>
      <c r="E17" s="53" t="s">
        <v>389</v>
      </c>
      <c r="F17" s="30" t="s">
        <v>135</v>
      </c>
      <c r="G17" s="12">
        <v>1</v>
      </c>
      <c r="H17" s="13">
        <v>28</v>
      </c>
      <c r="I17" s="7">
        <v>4000</v>
      </c>
      <c r="J17" s="14">
        <v>2943</v>
      </c>
      <c r="K17" s="15">
        <f>L17</f>
        <v>2943</v>
      </c>
      <c r="L17" s="15">
        <v>2943</v>
      </c>
      <c r="M17" s="15">
        <f t="shared" ref="M17" si="10">L17-N17</f>
        <v>2943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13</v>
      </c>
      <c r="Q17" s="40">
        <f t="shared" ref="Q17" si="13">SUM(R17:AA17)</f>
        <v>11</v>
      </c>
      <c r="R17" s="7"/>
      <c r="S17" s="6"/>
      <c r="T17" s="16"/>
      <c r="U17" s="16"/>
      <c r="V17" s="17"/>
      <c r="W17" s="5">
        <v>11</v>
      </c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0.54166666666666663</v>
      </c>
      <c r="AD17" s="10">
        <f t="shared" ref="AD17" si="16">AC17*AB17*(1-O17)</f>
        <v>0.54166666666666663</v>
      </c>
      <c r="AE17" s="36">
        <f t="shared" si="8"/>
        <v>0.59166666666666667</v>
      </c>
      <c r="AF17" s="87">
        <f t="shared" ref="AF17" si="17">A17</f>
        <v>11</v>
      </c>
    </row>
    <row r="18" spans="1:32" ht="27" customHeight="1">
      <c r="A18" s="102">
        <v>12</v>
      </c>
      <c r="B18" s="11" t="s">
        <v>57</v>
      </c>
      <c r="C18" s="11" t="s">
        <v>206</v>
      </c>
      <c r="D18" s="52" t="s">
        <v>390</v>
      </c>
      <c r="E18" s="53" t="s">
        <v>384</v>
      </c>
      <c r="F18" s="30" t="s">
        <v>145</v>
      </c>
      <c r="G18" s="33">
        <v>1</v>
      </c>
      <c r="H18" s="35">
        <v>20</v>
      </c>
      <c r="I18" s="7">
        <v>5000</v>
      </c>
      <c r="J18" s="14">
        <v>3122</v>
      </c>
      <c r="K18" s="15">
        <f>L18</f>
        <v>3122</v>
      </c>
      <c r="L18" s="15">
        <f>3122</f>
        <v>3122</v>
      </c>
      <c r="M18" s="15">
        <f t="shared" si="1"/>
        <v>3122</v>
      </c>
      <c r="N18" s="15">
        <v>0</v>
      </c>
      <c r="O18" s="58">
        <f t="shared" si="2"/>
        <v>0</v>
      </c>
      <c r="P18" s="39">
        <f t="shared" si="3"/>
        <v>17</v>
      </c>
      <c r="Q18" s="40">
        <f t="shared" si="4"/>
        <v>7</v>
      </c>
      <c r="R18" s="7"/>
      <c r="S18" s="6"/>
      <c r="T18" s="16">
        <v>7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0.70833333333333337</v>
      </c>
      <c r="AD18" s="10">
        <f t="shared" si="7"/>
        <v>0.70833333333333337</v>
      </c>
      <c r="AE18" s="36">
        <f t="shared" si="8"/>
        <v>0.59166666666666667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125</v>
      </c>
      <c r="D19" s="52" t="s">
        <v>361</v>
      </c>
      <c r="E19" s="53" t="s">
        <v>362</v>
      </c>
      <c r="F19" s="30" t="s">
        <v>197</v>
      </c>
      <c r="G19" s="33">
        <v>1</v>
      </c>
      <c r="H19" s="35">
        <v>24</v>
      </c>
      <c r="I19" s="7">
        <v>32000</v>
      </c>
      <c r="J19" s="5">
        <v>2487</v>
      </c>
      <c r="K19" s="15">
        <f>L19+3263+5115+1172</f>
        <v>12037</v>
      </c>
      <c r="L19" s="15">
        <f>2487</f>
        <v>2487</v>
      </c>
      <c r="M19" s="15">
        <f t="shared" si="1"/>
        <v>2487</v>
      </c>
      <c r="N19" s="15">
        <v>0</v>
      </c>
      <c r="O19" s="58">
        <f t="shared" si="2"/>
        <v>0</v>
      </c>
      <c r="P19" s="39">
        <f t="shared" si="3"/>
        <v>16</v>
      </c>
      <c r="Q19" s="40">
        <f t="shared" si="4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0.66666666666666663</v>
      </c>
      <c r="AD19" s="10">
        <f>AC19*AB19*(1-O19)</f>
        <v>0.66666666666666663</v>
      </c>
      <c r="AE19" s="36">
        <f t="shared" si="8"/>
        <v>0.59166666666666667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144</v>
      </c>
      <c r="F20" s="30" t="s">
        <v>122</v>
      </c>
      <c r="G20" s="33">
        <v>1</v>
      </c>
      <c r="H20" s="35">
        <v>24</v>
      </c>
      <c r="I20" s="7">
        <v>120000</v>
      </c>
      <c r="J20" s="5">
        <v>2984</v>
      </c>
      <c r="K20" s="15">
        <f>L20+4376+4932+3746+2629+4823+3796+4027+5078+3986+4575+4282+4124+5194+424+2663+4223+4771</f>
        <v>70633</v>
      </c>
      <c r="L20" s="15">
        <f>2387+597</f>
        <v>2984</v>
      </c>
      <c r="M20" s="15">
        <f t="shared" si="1"/>
        <v>2984</v>
      </c>
      <c r="N20" s="15">
        <v>0</v>
      </c>
      <c r="O20" s="58">
        <f t="shared" si="2"/>
        <v>0</v>
      </c>
      <c r="P20" s="39">
        <f t="shared" si="3"/>
        <v>17</v>
      </c>
      <c r="Q20" s="40">
        <f t="shared" si="4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0.70833333333333337</v>
      </c>
      <c r="AD20" s="10">
        <f t="shared" ref="AD20" si="18">AC20*AB20*(1-O20)</f>
        <v>0.70833333333333337</v>
      </c>
      <c r="AE20" s="36">
        <f t="shared" ref="AE20" si="19">$AD$21</f>
        <v>0.54166666666666663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313</v>
      </c>
      <c r="F21" s="12" t="s">
        <v>116</v>
      </c>
      <c r="G21" s="12">
        <v>4</v>
      </c>
      <c r="H21" s="35">
        <v>20</v>
      </c>
      <c r="I21" s="7">
        <v>300000</v>
      </c>
      <c r="J21" s="14">
        <v>41780</v>
      </c>
      <c r="K21" s="15">
        <f>L21+34224+40520+30032+38372+42384+45788</f>
        <v>273100</v>
      </c>
      <c r="L21" s="15">
        <f>10445*4</f>
        <v>41780</v>
      </c>
      <c r="M21" s="15">
        <f t="shared" si="1"/>
        <v>41780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>$AD$22</f>
        <v>0.59166666666666667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20">SUM(I6:I21)</f>
        <v>618000</v>
      </c>
      <c r="J22" s="19">
        <f t="shared" si="20"/>
        <v>89308</v>
      </c>
      <c r="K22" s="20">
        <f t="shared" si="20"/>
        <v>451070</v>
      </c>
      <c r="L22" s="21">
        <f t="shared" si="20"/>
        <v>84198</v>
      </c>
      <c r="M22" s="20">
        <f t="shared" si="20"/>
        <v>84198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213</v>
      </c>
      <c r="Q22" s="43">
        <f t="shared" si="21"/>
        <v>171</v>
      </c>
      <c r="R22" s="23">
        <f t="shared" si="21"/>
        <v>24</v>
      </c>
      <c r="S22" s="24">
        <f t="shared" si="21"/>
        <v>27</v>
      </c>
      <c r="T22" s="24">
        <f t="shared" si="21"/>
        <v>7</v>
      </c>
      <c r="U22" s="24">
        <f t="shared" si="21"/>
        <v>0</v>
      </c>
      <c r="V22" s="25">
        <f t="shared" si="21"/>
        <v>59</v>
      </c>
      <c r="W22" s="26">
        <f t="shared" si="21"/>
        <v>50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4</v>
      </c>
      <c r="AB22" s="28">
        <f>SUM(AB6:AB21)/15</f>
        <v>0.8</v>
      </c>
      <c r="AC22" s="4">
        <f>SUM(AC6:AC21)/15</f>
        <v>0.59166666666666667</v>
      </c>
      <c r="AD22" s="4">
        <f>SUM(AD6:AD21)/15</f>
        <v>0.59166666666666667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391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393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59" t="s">
        <v>46</v>
      </c>
      <c r="D51" s="259" t="s">
        <v>47</v>
      </c>
      <c r="E51" s="259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259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125</v>
      </c>
      <c r="B52" s="420"/>
      <c r="C52" s="261" t="s">
        <v>171</v>
      </c>
      <c r="D52" s="261" t="s">
        <v>123</v>
      </c>
      <c r="E52" s="261" t="s">
        <v>323</v>
      </c>
      <c r="F52" s="421" t="s">
        <v>121</v>
      </c>
      <c r="G52" s="422"/>
      <c r="H52" s="422"/>
      <c r="I52" s="422"/>
      <c r="J52" s="422"/>
      <c r="K52" s="422"/>
      <c r="L52" s="422"/>
      <c r="M52" s="423"/>
      <c r="N52" s="260" t="s">
        <v>125</v>
      </c>
      <c r="O52" s="265" t="s">
        <v>230</v>
      </c>
      <c r="P52" s="433" t="s">
        <v>117</v>
      </c>
      <c r="Q52" s="434"/>
      <c r="R52" s="420" t="s">
        <v>144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261" t="s">
        <v>230</v>
      </c>
      <c r="D53" s="261" t="s">
        <v>117</v>
      </c>
      <c r="E53" s="261" t="s">
        <v>144</v>
      </c>
      <c r="F53" s="421" t="s">
        <v>295</v>
      </c>
      <c r="G53" s="422"/>
      <c r="H53" s="422"/>
      <c r="I53" s="422"/>
      <c r="J53" s="422"/>
      <c r="K53" s="422"/>
      <c r="L53" s="422"/>
      <c r="M53" s="423"/>
      <c r="N53" s="260" t="s">
        <v>114</v>
      </c>
      <c r="O53" s="265" t="s">
        <v>168</v>
      </c>
      <c r="P53" s="433" t="s">
        <v>126</v>
      </c>
      <c r="Q53" s="434"/>
      <c r="R53" s="420" t="s">
        <v>394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261" t="s">
        <v>201</v>
      </c>
      <c r="D54" s="261" t="s">
        <v>117</v>
      </c>
      <c r="E54" s="261" t="s">
        <v>383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260"/>
      <c r="O54" s="265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61" t="s">
        <v>168</v>
      </c>
      <c r="D55" s="261" t="s">
        <v>126</v>
      </c>
      <c r="E55" s="261" t="s">
        <v>188</v>
      </c>
      <c r="F55" s="421" t="s">
        <v>392</v>
      </c>
      <c r="G55" s="422"/>
      <c r="H55" s="422"/>
      <c r="I55" s="422"/>
      <c r="J55" s="422"/>
      <c r="K55" s="422"/>
      <c r="L55" s="422"/>
      <c r="M55" s="423"/>
      <c r="N55" s="260"/>
      <c r="O55" s="265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206</v>
      </c>
      <c r="B56" s="420"/>
      <c r="C56" s="261" t="s">
        <v>228</v>
      </c>
      <c r="D56" s="261" t="s">
        <v>390</v>
      </c>
      <c r="E56" s="261" t="s">
        <v>384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260"/>
      <c r="O56" s="265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261" t="s">
        <v>134</v>
      </c>
      <c r="D57" s="261" t="s">
        <v>117</v>
      </c>
      <c r="E57" s="261" t="s">
        <v>118</v>
      </c>
      <c r="F57" s="421" t="s">
        <v>127</v>
      </c>
      <c r="G57" s="422"/>
      <c r="H57" s="422"/>
      <c r="I57" s="422"/>
      <c r="J57" s="422"/>
      <c r="K57" s="422"/>
      <c r="L57" s="422"/>
      <c r="M57" s="423"/>
      <c r="N57" s="260"/>
      <c r="O57" s="26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125</v>
      </c>
      <c r="B58" s="420"/>
      <c r="C58" s="261" t="s">
        <v>132</v>
      </c>
      <c r="D58" s="261" t="s">
        <v>361</v>
      </c>
      <c r="E58" s="261" t="s">
        <v>362</v>
      </c>
      <c r="F58" s="421" t="s">
        <v>127</v>
      </c>
      <c r="G58" s="422"/>
      <c r="H58" s="422"/>
      <c r="I58" s="422"/>
      <c r="J58" s="422"/>
      <c r="K58" s="422"/>
      <c r="L58" s="422"/>
      <c r="M58" s="423"/>
      <c r="N58" s="260"/>
      <c r="O58" s="26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61"/>
      <c r="D59" s="261"/>
      <c r="E59" s="261"/>
      <c r="F59" s="421"/>
      <c r="G59" s="422"/>
      <c r="H59" s="422"/>
      <c r="I59" s="422"/>
      <c r="J59" s="422"/>
      <c r="K59" s="422"/>
      <c r="L59" s="422"/>
      <c r="M59" s="423"/>
      <c r="N59" s="260"/>
      <c r="O59" s="265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261"/>
      <c r="D60" s="261"/>
      <c r="E60" s="261"/>
      <c r="F60" s="421"/>
      <c r="G60" s="422"/>
      <c r="H60" s="422"/>
      <c r="I60" s="422"/>
      <c r="J60" s="422"/>
      <c r="K60" s="422"/>
      <c r="L60" s="422"/>
      <c r="M60" s="423"/>
      <c r="N60" s="260"/>
      <c r="O60" s="265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262"/>
      <c r="D61" s="262"/>
      <c r="E61" s="262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395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263" t="s">
        <v>2</v>
      </c>
      <c r="D63" s="263" t="s">
        <v>37</v>
      </c>
      <c r="E63" s="263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263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125</v>
      </c>
      <c r="D64" s="267"/>
      <c r="E64" s="264" t="s">
        <v>195</v>
      </c>
      <c r="F64" s="408" t="s">
        <v>209</v>
      </c>
      <c r="G64" s="400"/>
      <c r="H64" s="400"/>
      <c r="I64" s="400"/>
      <c r="J64" s="400"/>
      <c r="K64" s="400" t="s">
        <v>150</v>
      </c>
      <c r="L64" s="400"/>
      <c r="M64" s="51" t="s">
        <v>332</v>
      </c>
      <c r="N64" s="411" t="s">
        <v>201</v>
      </c>
      <c r="O64" s="411"/>
      <c r="P64" s="409">
        <v>150</v>
      </c>
      <c r="Q64" s="409"/>
      <c r="R64" s="410" t="s">
        <v>238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/>
      <c r="D65" s="267"/>
      <c r="E65" s="264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/>
      <c r="D66" s="267"/>
      <c r="E66" s="264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267"/>
      <c r="E67" s="264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267"/>
      <c r="E68" s="264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267"/>
      <c r="E69" s="264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267"/>
      <c r="E70" s="264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267"/>
      <c r="E71" s="264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396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266" t="s">
        <v>2</v>
      </c>
      <c r="D73" s="266" t="s">
        <v>37</v>
      </c>
      <c r="E73" s="266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268" t="s">
        <v>114</v>
      </c>
      <c r="D74" s="268"/>
      <c r="E74" s="65" t="s">
        <v>119</v>
      </c>
      <c r="F74" s="389" t="s">
        <v>118</v>
      </c>
      <c r="G74" s="390"/>
      <c r="H74" s="390"/>
      <c r="I74" s="390"/>
      <c r="J74" s="391"/>
      <c r="K74" s="392" t="s">
        <v>120</v>
      </c>
      <c r="L74" s="393"/>
      <c r="M74" s="393"/>
      <c r="N74" s="393"/>
      <c r="O74" s="393"/>
      <c r="P74" s="393"/>
      <c r="Q74" s="393"/>
      <c r="R74" s="393"/>
      <c r="S74" s="394"/>
      <c r="T74" s="395">
        <v>43384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267"/>
      <c r="D75" s="267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2">A75+1</f>
        <v>3</v>
      </c>
      <c r="B76" s="368"/>
      <c r="C76" s="267"/>
      <c r="D76" s="267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2"/>
        <v>4</v>
      </c>
      <c r="B77" s="368"/>
      <c r="C77" s="267"/>
      <c r="D77" s="26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2"/>
        <v>5</v>
      </c>
      <c r="B78" s="368"/>
      <c r="C78" s="267"/>
      <c r="D78" s="26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2"/>
        <v>6</v>
      </c>
      <c r="B79" s="368"/>
      <c r="C79" s="267"/>
      <c r="D79" s="26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2"/>
        <v>7</v>
      </c>
      <c r="B80" s="368"/>
      <c r="C80" s="267"/>
      <c r="D80" s="26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2"/>
        <v>8</v>
      </c>
      <c r="B81" s="368"/>
      <c r="C81" s="267"/>
      <c r="D81" s="26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2"/>
        <v>9</v>
      </c>
      <c r="B82" s="368"/>
      <c r="C82" s="267"/>
      <c r="D82" s="267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397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1CB0-96DF-43F1-891D-AEB6680084A9}">
  <dimension ref="A1:AF88"/>
  <sheetViews>
    <sheetView zoomScale="72" zoomScaleNormal="72" zoomScaleSheetLayoutView="70" workbookViewId="0">
      <selection activeCell="H97" sqref="H9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398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79" t="s">
        <v>17</v>
      </c>
      <c r="L5" s="279" t="s">
        <v>18</v>
      </c>
      <c r="M5" s="279" t="s">
        <v>19</v>
      </c>
      <c r="N5" s="27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0" si="8">$AD$23</f>
        <v>0.56944444444444442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0.56944444444444442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5775</v>
      </c>
      <c r="K8" s="15">
        <f>L8+4982+5992</f>
        <v>16749</v>
      </c>
      <c r="L8" s="15">
        <f>2932+2843</f>
        <v>5775</v>
      </c>
      <c r="M8" s="15">
        <f t="shared" si="1"/>
        <v>5775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0.56944444444444442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126</v>
      </c>
      <c r="E9" s="53" t="s">
        <v>394</v>
      </c>
      <c r="F9" s="30" t="s">
        <v>128</v>
      </c>
      <c r="G9" s="33">
        <v>1</v>
      </c>
      <c r="H9" s="35">
        <v>24</v>
      </c>
      <c r="I9" s="7">
        <v>5000</v>
      </c>
      <c r="J9" s="14">
        <v>4519</v>
      </c>
      <c r="K9" s="15">
        <f>L9</f>
        <v>4519</v>
      </c>
      <c r="L9" s="15">
        <f>2275+2244</f>
        <v>4519</v>
      </c>
      <c r="M9" s="15">
        <f t="shared" si="1"/>
        <v>4519</v>
      </c>
      <c r="N9" s="15">
        <v>0</v>
      </c>
      <c r="O9" s="58">
        <f t="shared" si="2"/>
        <v>0</v>
      </c>
      <c r="P9" s="39">
        <f t="shared" si="3"/>
        <v>23</v>
      </c>
      <c r="Q9" s="40">
        <f t="shared" si="4"/>
        <v>1</v>
      </c>
      <c r="R9" s="7"/>
      <c r="S9" s="6">
        <v>1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0.95833333333333337</v>
      </c>
      <c r="AD9" s="10">
        <f t="shared" si="7"/>
        <v>0.95833333333333337</v>
      </c>
      <c r="AE9" s="36">
        <f t="shared" si="8"/>
        <v>0.56944444444444442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125</v>
      </c>
      <c r="D10" s="52" t="s">
        <v>123</v>
      </c>
      <c r="E10" s="53" t="s">
        <v>323</v>
      </c>
      <c r="F10" s="30" t="s">
        <v>137</v>
      </c>
      <c r="G10" s="33">
        <v>1</v>
      </c>
      <c r="H10" s="35">
        <v>24</v>
      </c>
      <c r="I10" s="7">
        <v>15000</v>
      </c>
      <c r="J10" s="5">
        <v>2357</v>
      </c>
      <c r="K10" s="15">
        <f>L10+6142</f>
        <v>8499</v>
      </c>
      <c r="L10" s="15">
        <f>2357</f>
        <v>2357</v>
      </c>
      <c r="M10" s="15">
        <f t="shared" si="1"/>
        <v>2357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 t="shared" si="8"/>
        <v>0.56944444444444442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220</v>
      </c>
      <c r="D11" s="52" t="s">
        <v>117</v>
      </c>
      <c r="E11" s="53" t="s">
        <v>367</v>
      </c>
      <c r="F11" s="30" t="s">
        <v>236</v>
      </c>
      <c r="G11" s="33">
        <v>1</v>
      </c>
      <c r="H11" s="35">
        <v>24</v>
      </c>
      <c r="I11" s="7">
        <v>1800</v>
      </c>
      <c r="J11" s="5">
        <v>2346</v>
      </c>
      <c r="K11" s="15">
        <f>L11</f>
        <v>2346</v>
      </c>
      <c r="L11" s="15">
        <v>2346</v>
      </c>
      <c r="M11" s="15">
        <f t="shared" ref="M11" si="10">L11-N11</f>
        <v>2346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10</v>
      </c>
      <c r="Q11" s="40">
        <f t="shared" ref="Q11" si="13">SUM(R11:AA11)</f>
        <v>14</v>
      </c>
      <c r="R11" s="7"/>
      <c r="S11" s="6"/>
      <c r="T11" s="16">
        <v>14</v>
      </c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0.41666666666666669</v>
      </c>
      <c r="AD11" s="10">
        <f>AC11*AB11*(1-O11)</f>
        <v>0.41666666666666669</v>
      </c>
      <c r="AE11" s="36">
        <f t="shared" si="8"/>
        <v>0.56944444444444442</v>
      </c>
      <c r="AF11" s="87">
        <f t="shared" ref="AF11" si="16">A11</f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117</v>
      </c>
      <c r="E12" s="53" t="s">
        <v>383</v>
      </c>
      <c r="F12" s="30" t="s">
        <v>124</v>
      </c>
      <c r="G12" s="33">
        <v>1</v>
      </c>
      <c r="H12" s="35">
        <v>20</v>
      </c>
      <c r="I12" s="7">
        <v>5000</v>
      </c>
      <c r="J12" s="14">
        <v>4861</v>
      </c>
      <c r="K12" s="15">
        <f>L12+4209</f>
        <v>9070</v>
      </c>
      <c r="L12" s="15">
        <f>2066+2795</f>
        <v>4861</v>
      </c>
      <c r="M12" s="15">
        <f t="shared" si="1"/>
        <v>4861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0.56944444444444442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118</v>
      </c>
      <c r="F13" s="30" t="s">
        <v>122</v>
      </c>
      <c r="G13" s="33">
        <v>1</v>
      </c>
      <c r="H13" s="35">
        <v>20</v>
      </c>
      <c r="I13" s="7">
        <v>10000</v>
      </c>
      <c r="J13" s="14">
        <v>4445</v>
      </c>
      <c r="K13" s="15">
        <f>L13+3861+4365</f>
        <v>12671</v>
      </c>
      <c r="L13" s="15">
        <f>2279+2166</f>
        <v>4445</v>
      </c>
      <c r="M13" s="15">
        <f t="shared" si="1"/>
        <v>4445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7"/>
        <v>0.91666666666666663</v>
      </c>
      <c r="AE13" s="36">
        <f t="shared" si="8"/>
        <v>0.56944444444444442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125</v>
      </c>
      <c r="D14" s="52" t="s">
        <v>117</v>
      </c>
      <c r="E14" s="53" t="s">
        <v>265</v>
      </c>
      <c r="F14" s="30" t="s">
        <v>122</v>
      </c>
      <c r="G14" s="33">
        <v>1</v>
      </c>
      <c r="H14" s="35">
        <v>24</v>
      </c>
      <c r="I14" s="7">
        <v>20000</v>
      </c>
      <c r="J14" s="14">
        <v>1130</v>
      </c>
      <c r="K14" s="15">
        <f>L14+4355+4828</f>
        <v>10313</v>
      </c>
      <c r="L14" s="15">
        <v>1130</v>
      </c>
      <c r="M14" s="15">
        <f t="shared" si="1"/>
        <v>1130</v>
      </c>
      <c r="N14" s="15">
        <v>0</v>
      </c>
      <c r="O14" s="58">
        <f t="shared" si="2"/>
        <v>0</v>
      </c>
      <c r="P14" s="39">
        <f t="shared" si="3"/>
        <v>6</v>
      </c>
      <c r="Q14" s="40">
        <f t="shared" si="4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0.25</v>
      </c>
      <c r="AD14" s="10">
        <f t="shared" si="7"/>
        <v>0.25</v>
      </c>
      <c r="AE14" s="36">
        <f t="shared" si="8"/>
        <v>0.56944444444444442</v>
      </c>
      <c r="AF14" s="87">
        <f t="shared" si="9"/>
        <v>8</v>
      </c>
    </row>
    <row r="15" spans="1:32" ht="27" customHeight="1">
      <c r="A15" s="103">
        <v>8</v>
      </c>
      <c r="B15" s="11" t="s">
        <v>57</v>
      </c>
      <c r="C15" s="11" t="s">
        <v>206</v>
      </c>
      <c r="D15" s="52" t="s">
        <v>154</v>
      </c>
      <c r="E15" s="53" t="s">
        <v>399</v>
      </c>
      <c r="F15" s="30" t="s">
        <v>135</v>
      </c>
      <c r="G15" s="33">
        <v>2</v>
      </c>
      <c r="H15" s="35">
        <v>24</v>
      </c>
      <c r="I15" s="7">
        <v>2000</v>
      </c>
      <c r="J15" s="14">
        <v>2568</v>
      </c>
      <c r="K15" s="15">
        <f>L15</f>
        <v>2568</v>
      </c>
      <c r="L15" s="15">
        <f>692*2+592*2</f>
        <v>2568</v>
      </c>
      <c r="M15" s="15">
        <f t="shared" ref="M15" si="17">L15-N15</f>
        <v>2568</v>
      </c>
      <c r="N15" s="15">
        <v>0</v>
      </c>
      <c r="O15" s="58">
        <f t="shared" ref="O15" si="18">IF(L15=0,"0",N15/L15)</f>
        <v>0</v>
      </c>
      <c r="P15" s="39">
        <f t="shared" ref="P15" si="19">IF(L15=0,"0",(24-Q15))</f>
        <v>8</v>
      </c>
      <c r="Q15" s="40">
        <f t="shared" ref="Q15" si="20">SUM(R15:AA15)</f>
        <v>16</v>
      </c>
      <c r="R15" s="7"/>
      <c r="S15" s="6"/>
      <c r="T15" s="16">
        <v>8</v>
      </c>
      <c r="U15" s="16"/>
      <c r="V15" s="17"/>
      <c r="W15" s="5">
        <v>8</v>
      </c>
      <c r="X15" s="16"/>
      <c r="Y15" s="16"/>
      <c r="Z15" s="16"/>
      <c r="AA15" s="18"/>
      <c r="AB15" s="8">
        <f t="shared" ref="AB15" si="21">IF(J15=0,"0",(L15/J15))</f>
        <v>1</v>
      </c>
      <c r="AC15" s="9">
        <f t="shared" ref="AC15" si="22">IF(P15=0,"0",(P15/24))</f>
        <v>0.33333333333333331</v>
      </c>
      <c r="AD15" s="10">
        <f t="shared" ref="AD15" si="23">AC15*AB15*(1-O15)</f>
        <v>0.33333333333333331</v>
      </c>
      <c r="AE15" s="36">
        <f t="shared" si="8"/>
        <v>0.56944444444444442</v>
      </c>
      <c r="AF15" s="87">
        <f t="shared" ref="AF15" si="24">A15</f>
        <v>8</v>
      </c>
    </row>
    <row r="16" spans="1:32" ht="27" customHeight="1">
      <c r="A16" s="118">
        <v>9</v>
      </c>
      <c r="B16" s="11" t="s">
        <v>57</v>
      </c>
      <c r="C16" s="34" t="s">
        <v>206</v>
      </c>
      <c r="D16" s="52" t="s">
        <v>208</v>
      </c>
      <c r="E16" s="53" t="s">
        <v>205</v>
      </c>
      <c r="F16" s="30" t="s">
        <v>116</v>
      </c>
      <c r="G16" s="12">
        <v>1</v>
      </c>
      <c r="H16" s="13">
        <v>28</v>
      </c>
      <c r="I16" s="7">
        <v>21000</v>
      </c>
      <c r="J16" s="5">
        <v>131</v>
      </c>
      <c r="K16" s="15">
        <f>L16</f>
        <v>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0.56944444444444442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220</v>
      </c>
      <c r="D17" s="52"/>
      <c r="E17" s="53" t="s">
        <v>347</v>
      </c>
      <c r="F17" s="12" t="s">
        <v>222</v>
      </c>
      <c r="G17" s="12">
        <v>1</v>
      </c>
      <c r="H17" s="13">
        <v>24</v>
      </c>
      <c r="I17" s="31">
        <v>2000</v>
      </c>
      <c r="J17" s="14">
        <v>2918</v>
      </c>
      <c r="K17" s="15">
        <f>L17+1910+2918</f>
        <v>4828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0.56944444444444442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34" t="s">
        <v>125</v>
      </c>
      <c r="D18" s="52" t="s">
        <v>133</v>
      </c>
      <c r="E18" s="53" t="s">
        <v>389</v>
      </c>
      <c r="F18" s="30" t="s">
        <v>135</v>
      </c>
      <c r="G18" s="12">
        <v>1</v>
      </c>
      <c r="H18" s="13">
        <v>28</v>
      </c>
      <c r="I18" s="7">
        <v>4000</v>
      </c>
      <c r="J18" s="14">
        <v>4343</v>
      </c>
      <c r="K18" s="15">
        <f>L18+2943</f>
        <v>7286</v>
      </c>
      <c r="L18" s="15">
        <f>1721+2622</f>
        <v>4343</v>
      </c>
      <c r="M18" s="15">
        <f t="shared" si="1"/>
        <v>4343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0.56944444444444442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206</v>
      </c>
      <c r="D19" s="52" t="s">
        <v>390</v>
      </c>
      <c r="E19" s="53" t="s">
        <v>384</v>
      </c>
      <c r="F19" s="30" t="s">
        <v>145</v>
      </c>
      <c r="G19" s="33">
        <v>1</v>
      </c>
      <c r="H19" s="35">
        <v>20</v>
      </c>
      <c r="I19" s="7">
        <v>5000</v>
      </c>
      <c r="J19" s="14">
        <v>2167</v>
      </c>
      <c r="K19" s="15">
        <f>L19+3122</f>
        <v>5289</v>
      </c>
      <c r="L19" s="15">
        <v>2167</v>
      </c>
      <c r="M19" s="15">
        <f t="shared" si="1"/>
        <v>2167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 t="shared" si="7"/>
        <v>0.41666666666666669</v>
      </c>
      <c r="AE19" s="36">
        <f t="shared" si="8"/>
        <v>0.56944444444444442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125</v>
      </c>
      <c r="D20" s="52" t="s">
        <v>361</v>
      </c>
      <c r="E20" s="53" t="s">
        <v>362</v>
      </c>
      <c r="F20" s="30" t="s">
        <v>197</v>
      </c>
      <c r="G20" s="33">
        <v>1</v>
      </c>
      <c r="H20" s="35">
        <v>24</v>
      </c>
      <c r="I20" s="7">
        <v>32000</v>
      </c>
      <c r="J20" s="5">
        <v>4864</v>
      </c>
      <c r="K20" s="15">
        <f>L20+3263+5115+1172+2487</f>
        <v>16901</v>
      </c>
      <c r="L20" s="15">
        <f>2418+2446</f>
        <v>4864</v>
      </c>
      <c r="M20" s="15">
        <f t="shared" si="1"/>
        <v>4864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0.56944444444444442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125</v>
      </c>
      <c r="D21" s="52" t="s">
        <v>117</v>
      </c>
      <c r="E21" s="53" t="s">
        <v>144</v>
      </c>
      <c r="F21" s="30" t="s">
        <v>122</v>
      </c>
      <c r="G21" s="33">
        <v>1</v>
      </c>
      <c r="H21" s="35">
        <v>24</v>
      </c>
      <c r="I21" s="7">
        <v>120000</v>
      </c>
      <c r="J21" s="5">
        <v>1155</v>
      </c>
      <c r="K21" s="15">
        <f>L21+4376+4932+3746+2629+4823+3796+4027+5078+3986+4575+4282+4124+5194+424+2663+4223+4771+2984</f>
        <v>71788</v>
      </c>
      <c r="L21" s="15">
        <f>426+729</f>
        <v>1155</v>
      </c>
      <c r="M21" s="15">
        <f t="shared" si="1"/>
        <v>1155</v>
      </c>
      <c r="N21" s="15">
        <v>0</v>
      </c>
      <c r="O21" s="58">
        <f t="shared" si="2"/>
        <v>0</v>
      </c>
      <c r="P21" s="39">
        <f t="shared" si="3"/>
        <v>7</v>
      </c>
      <c r="Q21" s="40">
        <f t="shared" si="4"/>
        <v>17</v>
      </c>
      <c r="R21" s="7"/>
      <c r="S21" s="6">
        <v>17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0.29166666666666669</v>
      </c>
      <c r="AD21" s="10">
        <f t="shared" ref="AD21" si="25">AC21*AB21*(1-O21)</f>
        <v>0.29166666666666669</v>
      </c>
      <c r="AE21" s="36">
        <f t="shared" ref="AE21" si="26">$AD$22</f>
        <v>0.54166666666666663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313</v>
      </c>
      <c r="F22" s="12" t="s">
        <v>116</v>
      </c>
      <c r="G22" s="12">
        <v>4</v>
      </c>
      <c r="H22" s="35">
        <v>20</v>
      </c>
      <c r="I22" s="7">
        <v>300000</v>
      </c>
      <c r="J22" s="14">
        <v>40684</v>
      </c>
      <c r="K22" s="15">
        <f>L22+34224+40520+30032+38372+42384+45788+41780</f>
        <v>313784</v>
      </c>
      <c r="L22" s="15">
        <f>10171*4</f>
        <v>40684</v>
      </c>
      <c r="M22" s="15">
        <f t="shared" si="1"/>
        <v>40684</v>
      </c>
      <c r="N22" s="15">
        <v>0</v>
      </c>
      <c r="O22" s="58">
        <f t="shared" si="2"/>
        <v>0</v>
      </c>
      <c r="P22" s="39">
        <f t="shared" si="3"/>
        <v>13</v>
      </c>
      <c r="Q22" s="40">
        <f t="shared" si="4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0.54166666666666663</v>
      </c>
      <c r="AD22" s="10">
        <f t="shared" si="7"/>
        <v>0.54166666666666663</v>
      </c>
      <c r="AE22" s="36">
        <f>$AD$23</f>
        <v>0.56944444444444442</v>
      </c>
      <c r="AF22" s="87">
        <f t="shared" si="9"/>
        <v>15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27">SUM(I6:I22)</f>
        <v>595800</v>
      </c>
      <c r="J23" s="19">
        <f t="shared" si="27"/>
        <v>86324</v>
      </c>
      <c r="K23" s="20">
        <f t="shared" si="27"/>
        <v>498159</v>
      </c>
      <c r="L23" s="21">
        <f t="shared" si="27"/>
        <v>81214</v>
      </c>
      <c r="M23" s="20">
        <f t="shared" si="27"/>
        <v>81214</v>
      </c>
      <c r="N23" s="21">
        <f t="shared" si="27"/>
        <v>0</v>
      </c>
      <c r="O23" s="41">
        <f t="shared" si="2"/>
        <v>0</v>
      </c>
      <c r="P23" s="42">
        <f t="shared" ref="P23:AA23" si="28">SUM(P6:P22)</f>
        <v>205</v>
      </c>
      <c r="Q23" s="43">
        <f t="shared" si="28"/>
        <v>203</v>
      </c>
      <c r="R23" s="23">
        <f t="shared" si="28"/>
        <v>24</v>
      </c>
      <c r="S23" s="24">
        <f t="shared" si="28"/>
        <v>52</v>
      </c>
      <c r="T23" s="24">
        <f t="shared" si="28"/>
        <v>22</v>
      </c>
      <c r="U23" s="24">
        <f t="shared" si="28"/>
        <v>0</v>
      </c>
      <c r="V23" s="25">
        <f t="shared" si="28"/>
        <v>59</v>
      </c>
      <c r="W23" s="26">
        <f t="shared" si="28"/>
        <v>46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0</v>
      </c>
      <c r="AB23" s="28">
        <f>SUM(AB6:AB22)/15</f>
        <v>0.8666666666666667</v>
      </c>
      <c r="AC23" s="4">
        <f>SUM(AC6:AC22)/15</f>
        <v>0.56944444444444442</v>
      </c>
      <c r="AD23" s="4">
        <f>SUM(AD6:AD22)/15</f>
        <v>0.56944444444444442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400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403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278" t="s">
        <v>46</v>
      </c>
      <c r="D52" s="278" t="s">
        <v>47</v>
      </c>
      <c r="E52" s="278" t="s">
        <v>108</v>
      </c>
      <c r="F52" s="448" t="s">
        <v>107</v>
      </c>
      <c r="G52" s="448"/>
      <c r="H52" s="448"/>
      <c r="I52" s="448"/>
      <c r="J52" s="448"/>
      <c r="K52" s="448"/>
      <c r="L52" s="448"/>
      <c r="M52" s="449"/>
      <c r="N52" s="67" t="s">
        <v>112</v>
      </c>
      <c r="O52" s="278" t="s">
        <v>46</v>
      </c>
      <c r="P52" s="450" t="s">
        <v>47</v>
      </c>
      <c r="Q52" s="451"/>
      <c r="R52" s="450" t="s">
        <v>38</v>
      </c>
      <c r="S52" s="452"/>
      <c r="T52" s="452"/>
      <c r="U52" s="451"/>
      <c r="V52" s="450" t="s">
        <v>48</v>
      </c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19" t="s">
        <v>220</v>
      </c>
      <c r="B53" s="420"/>
      <c r="C53" s="276" t="s">
        <v>171</v>
      </c>
      <c r="D53" s="276" t="s">
        <v>117</v>
      </c>
      <c r="E53" s="276" t="s">
        <v>367</v>
      </c>
      <c r="F53" s="421" t="s">
        <v>121</v>
      </c>
      <c r="G53" s="422"/>
      <c r="H53" s="422"/>
      <c r="I53" s="422"/>
      <c r="J53" s="422"/>
      <c r="K53" s="422"/>
      <c r="L53" s="422"/>
      <c r="M53" s="423"/>
      <c r="N53" s="275" t="s">
        <v>125</v>
      </c>
      <c r="O53" s="273" t="s">
        <v>230</v>
      </c>
      <c r="P53" s="433" t="s">
        <v>117</v>
      </c>
      <c r="Q53" s="434"/>
      <c r="R53" s="420" t="s">
        <v>144</v>
      </c>
      <c r="S53" s="420"/>
      <c r="T53" s="420"/>
      <c r="U53" s="420"/>
      <c r="V53" s="410" t="s">
        <v>127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276" t="s">
        <v>230</v>
      </c>
      <c r="D54" s="276" t="s">
        <v>117</v>
      </c>
      <c r="E54" s="276" t="s">
        <v>144</v>
      </c>
      <c r="F54" s="421" t="s">
        <v>401</v>
      </c>
      <c r="G54" s="422"/>
      <c r="H54" s="422"/>
      <c r="I54" s="422"/>
      <c r="J54" s="422"/>
      <c r="K54" s="422"/>
      <c r="L54" s="422"/>
      <c r="M54" s="423"/>
      <c r="N54" s="275" t="s">
        <v>114</v>
      </c>
      <c r="O54" s="273" t="s">
        <v>168</v>
      </c>
      <c r="P54" s="433" t="s">
        <v>117</v>
      </c>
      <c r="Q54" s="434"/>
      <c r="R54" s="420" t="s">
        <v>319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76" t="s">
        <v>168</v>
      </c>
      <c r="D55" s="276" t="s">
        <v>126</v>
      </c>
      <c r="E55" s="276" t="s">
        <v>394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275" t="s">
        <v>220</v>
      </c>
      <c r="O55" s="273" t="s">
        <v>171</v>
      </c>
      <c r="P55" s="433" t="s">
        <v>407</v>
      </c>
      <c r="Q55" s="434"/>
      <c r="R55" s="420" t="s">
        <v>404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76" t="s">
        <v>134</v>
      </c>
      <c r="D56" s="276" t="s">
        <v>117</v>
      </c>
      <c r="E56" s="276" t="s">
        <v>118</v>
      </c>
      <c r="F56" s="421" t="s">
        <v>402</v>
      </c>
      <c r="G56" s="422"/>
      <c r="H56" s="422"/>
      <c r="I56" s="422"/>
      <c r="J56" s="422"/>
      <c r="K56" s="422"/>
      <c r="L56" s="422"/>
      <c r="M56" s="423"/>
      <c r="N56" s="275" t="s">
        <v>114</v>
      </c>
      <c r="O56" s="273" t="s">
        <v>201</v>
      </c>
      <c r="P56" s="433" t="s">
        <v>133</v>
      </c>
      <c r="Q56" s="434"/>
      <c r="R56" s="420" t="s">
        <v>303</v>
      </c>
      <c r="S56" s="420"/>
      <c r="T56" s="420"/>
      <c r="U56" s="420"/>
      <c r="V56" s="410" t="s">
        <v>121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76"/>
      <c r="D57" s="276"/>
      <c r="E57" s="276"/>
      <c r="F57" s="421"/>
      <c r="G57" s="422"/>
      <c r="H57" s="422"/>
      <c r="I57" s="422"/>
      <c r="J57" s="422"/>
      <c r="K57" s="422"/>
      <c r="L57" s="422"/>
      <c r="M57" s="423"/>
      <c r="N57" s="275" t="s">
        <v>114</v>
      </c>
      <c r="O57" s="273" t="s">
        <v>134</v>
      </c>
      <c r="P57" s="433" t="s">
        <v>117</v>
      </c>
      <c r="Q57" s="434"/>
      <c r="R57" s="420" t="s">
        <v>405</v>
      </c>
      <c r="S57" s="420"/>
      <c r="T57" s="420"/>
      <c r="U57" s="420"/>
      <c r="V57" s="410" t="s">
        <v>121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76"/>
      <c r="D58" s="276"/>
      <c r="E58" s="276"/>
      <c r="F58" s="421"/>
      <c r="G58" s="422"/>
      <c r="H58" s="422"/>
      <c r="I58" s="422"/>
      <c r="J58" s="422"/>
      <c r="K58" s="422"/>
      <c r="L58" s="422"/>
      <c r="M58" s="423"/>
      <c r="N58" s="275" t="s">
        <v>114</v>
      </c>
      <c r="O58" s="273" t="s">
        <v>182</v>
      </c>
      <c r="P58" s="433" t="s">
        <v>227</v>
      </c>
      <c r="Q58" s="434"/>
      <c r="R58" s="420" t="s">
        <v>406</v>
      </c>
      <c r="S58" s="420"/>
      <c r="T58" s="420"/>
      <c r="U58" s="420"/>
      <c r="V58" s="410" t="s">
        <v>121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76"/>
      <c r="D59" s="276"/>
      <c r="E59" s="276"/>
      <c r="F59" s="421"/>
      <c r="G59" s="422"/>
      <c r="H59" s="422"/>
      <c r="I59" s="422"/>
      <c r="J59" s="422"/>
      <c r="K59" s="422"/>
      <c r="L59" s="422"/>
      <c r="M59" s="423"/>
      <c r="N59" s="275"/>
      <c r="O59" s="273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276"/>
      <c r="D60" s="276"/>
      <c r="E60" s="276"/>
      <c r="F60" s="421"/>
      <c r="G60" s="422"/>
      <c r="H60" s="422"/>
      <c r="I60" s="422"/>
      <c r="J60" s="422"/>
      <c r="K60" s="422"/>
      <c r="L60" s="422"/>
      <c r="M60" s="423"/>
      <c r="N60" s="275"/>
      <c r="O60" s="273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276"/>
      <c r="D61" s="276"/>
      <c r="E61" s="276"/>
      <c r="F61" s="421"/>
      <c r="G61" s="422"/>
      <c r="H61" s="422"/>
      <c r="I61" s="422"/>
      <c r="J61" s="422"/>
      <c r="K61" s="422"/>
      <c r="L61" s="422"/>
      <c r="M61" s="423"/>
      <c r="N61" s="275"/>
      <c r="O61" s="273"/>
      <c r="P61" s="420"/>
      <c r="Q61" s="420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  <c r="AF61" s="87">
        <f>8*3000</f>
        <v>24000</v>
      </c>
    </row>
    <row r="62" spans="1:32" ht="27" customHeight="1" thickBot="1">
      <c r="A62" s="425"/>
      <c r="B62" s="426"/>
      <c r="C62" s="277"/>
      <c r="D62" s="277"/>
      <c r="E62" s="277"/>
      <c r="F62" s="427"/>
      <c r="G62" s="428"/>
      <c r="H62" s="428"/>
      <c r="I62" s="428"/>
      <c r="J62" s="428"/>
      <c r="K62" s="428"/>
      <c r="L62" s="428"/>
      <c r="M62" s="429"/>
      <c r="N62" s="124"/>
      <c r="O62" s="114"/>
      <c r="P62" s="430"/>
      <c r="Q62" s="430"/>
      <c r="R62" s="430"/>
      <c r="S62" s="430"/>
      <c r="T62" s="430"/>
      <c r="U62" s="430"/>
      <c r="V62" s="431"/>
      <c r="W62" s="431"/>
      <c r="X62" s="431"/>
      <c r="Y62" s="431"/>
      <c r="Z62" s="431"/>
      <c r="AA62" s="431"/>
      <c r="AB62" s="431"/>
      <c r="AC62" s="431"/>
      <c r="AD62" s="432"/>
      <c r="AF62" s="87">
        <f>16*3000</f>
        <v>48000</v>
      </c>
    </row>
    <row r="63" spans="1:32" ht="27.75" thickBot="1">
      <c r="A63" s="417" t="s">
        <v>408</v>
      </c>
      <c r="B63" s="417"/>
      <c r="C63" s="417"/>
      <c r="D63" s="417"/>
      <c r="E63" s="41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8" t="s">
        <v>113</v>
      </c>
      <c r="B64" s="415"/>
      <c r="C64" s="274" t="s">
        <v>2</v>
      </c>
      <c r="D64" s="274" t="s">
        <v>37</v>
      </c>
      <c r="E64" s="274" t="s">
        <v>3</v>
      </c>
      <c r="F64" s="415" t="s">
        <v>110</v>
      </c>
      <c r="G64" s="415"/>
      <c r="H64" s="415"/>
      <c r="I64" s="415"/>
      <c r="J64" s="415"/>
      <c r="K64" s="415" t="s">
        <v>39</v>
      </c>
      <c r="L64" s="415"/>
      <c r="M64" s="274" t="s">
        <v>40</v>
      </c>
      <c r="N64" s="415" t="s">
        <v>41</v>
      </c>
      <c r="O64" s="415"/>
      <c r="P64" s="412" t="s">
        <v>42</v>
      </c>
      <c r="Q64" s="414"/>
      <c r="R64" s="412" t="s">
        <v>43</v>
      </c>
      <c r="S64" s="413"/>
      <c r="T64" s="413"/>
      <c r="U64" s="413"/>
      <c r="V64" s="413"/>
      <c r="W64" s="413"/>
      <c r="X64" s="413"/>
      <c r="Y64" s="413"/>
      <c r="Z64" s="413"/>
      <c r="AA64" s="414"/>
      <c r="AB64" s="415" t="s">
        <v>44</v>
      </c>
      <c r="AC64" s="415"/>
      <c r="AD64" s="416"/>
      <c r="AF64" s="87">
        <f>SUM(AF61:AF63)</f>
        <v>96000</v>
      </c>
    </row>
    <row r="65" spans="1:32" ht="25.5" customHeight="1">
      <c r="A65" s="406">
        <v>1</v>
      </c>
      <c r="B65" s="407"/>
      <c r="C65" s="117"/>
      <c r="D65" s="269"/>
      <c r="E65" s="27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2</v>
      </c>
      <c r="B66" s="407"/>
      <c r="C66" s="117"/>
      <c r="D66" s="269"/>
      <c r="E66" s="27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3</v>
      </c>
      <c r="B67" s="407"/>
      <c r="C67" s="117"/>
      <c r="D67" s="269"/>
      <c r="E67" s="27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4</v>
      </c>
      <c r="B68" s="407"/>
      <c r="C68" s="117"/>
      <c r="D68" s="269"/>
      <c r="E68" s="272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5</v>
      </c>
      <c r="B69" s="407"/>
      <c r="C69" s="117"/>
      <c r="D69" s="269"/>
      <c r="E69" s="272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6</v>
      </c>
      <c r="B70" s="407"/>
      <c r="C70" s="117"/>
      <c r="D70" s="269"/>
      <c r="E70" s="27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7</v>
      </c>
      <c r="B71" s="407"/>
      <c r="C71" s="117"/>
      <c r="D71" s="269"/>
      <c r="E71" s="272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8</v>
      </c>
      <c r="B72" s="407"/>
      <c r="C72" s="117"/>
      <c r="D72" s="269"/>
      <c r="E72" s="272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6.25" customHeight="1" thickBot="1">
      <c r="A73" s="380" t="s">
        <v>409</v>
      </c>
      <c r="B73" s="380"/>
      <c r="C73" s="380"/>
      <c r="D73" s="380"/>
      <c r="E73" s="38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81" t="s">
        <v>113</v>
      </c>
      <c r="B74" s="382"/>
      <c r="C74" s="271" t="s">
        <v>2</v>
      </c>
      <c r="D74" s="271" t="s">
        <v>37</v>
      </c>
      <c r="E74" s="271" t="s">
        <v>3</v>
      </c>
      <c r="F74" s="382" t="s">
        <v>38</v>
      </c>
      <c r="G74" s="382"/>
      <c r="H74" s="382"/>
      <c r="I74" s="382"/>
      <c r="J74" s="382"/>
      <c r="K74" s="402" t="s">
        <v>58</v>
      </c>
      <c r="L74" s="403"/>
      <c r="M74" s="403"/>
      <c r="N74" s="403"/>
      <c r="O74" s="403"/>
      <c r="P74" s="403"/>
      <c r="Q74" s="403"/>
      <c r="R74" s="403"/>
      <c r="S74" s="404"/>
      <c r="T74" s="382" t="s">
        <v>49</v>
      </c>
      <c r="U74" s="382"/>
      <c r="V74" s="402" t="s">
        <v>50</v>
      </c>
      <c r="W74" s="404"/>
      <c r="X74" s="403" t="s">
        <v>51</v>
      </c>
      <c r="Y74" s="403"/>
      <c r="Z74" s="403"/>
      <c r="AA74" s="403"/>
      <c r="AB74" s="403"/>
      <c r="AC74" s="403"/>
      <c r="AD74" s="405"/>
      <c r="AF74" s="50"/>
    </row>
    <row r="75" spans="1:32" ht="33.75" customHeight="1">
      <c r="A75" s="374">
        <v>1</v>
      </c>
      <c r="B75" s="375"/>
      <c r="C75" s="270" t="s">
        <v>114</v>
      </c>
      <c r="D75" s="270"/>
      <c r="E75" s="65" t="s">
        <v>119</v>
      </c>
      <c r="F75" s="389" t="s">
        <v>118</v>
      </c>
      <c r="G75" s="390"/>
      <c r="H75" s="390"/>
      <c r="I75" s="390"/>
      <c r="J75" s="391"/>
      <c r="K75" s="392" t="s">
        <v>120</v>
      </c>
      <c r="L75" s="393"/>
      <c r="M75" s="393"/>
      <c r="N75" s="393"/>
      <c r="O75" s="393"/>
      <c r="P75" s="393"/>
      <c r="Q75" s="393"/>
      <c r="R75" s="393"/>
      <c r="S75" s="394"/>
      <c r="T75" s="395">
        <v>43384</v>
      </c>
      <c r="U75" s="396"/>
      <c r="V75" s="397"/>
      <c r="W75" s="397"/>
      <c r="X75" s="398"/>
      <c r="Y75" s="398"/>
      <c r="Z75" s="398"/>
      <c r="AA75" s="398"/>
      <c r="AB75" s="398"/>
      <c r="AC75" s="398"/>
      <c r="AD75" s="399"/>
      <c r="AF75" s="50"/>
    </row>
    <row r="76" spans="1:32" ht="30" customHeight="1">
      <c r="A76" s="367">
        <f>A75+1</f>
        <v>2</v>
      </c>
      <c r="B76" s="368"/>
      <c r="C76" s="269"/>
      <c r="D76" s="26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ref="A77:A83" si="29">A76+1</f>
        <v>3</v>
      </c>
      <c r="B77" s="368"/>
      <c r="C77" s="269"/>
      <c r="D77" s="26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9"/>
        <v>4</v>
      </c>
      <c r="B78" s="368"/>
      <c r="C78" s="269"/>
      <c r="D78" s="26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9"/>
        <v>5</v>
      </c>
      <c r="B79" s="368"/>
      <c r="C79" s="269"/>
      <c r="D79" s="26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9"/>
        <v>6</v>
      </c>
      <c r="B80" s="368"/>
      <c r="C80" s="269"/>
      <c r="D80" s="26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9"/>
        <v>7</v>
      </c>
      <c r="B81" s="368"/>
      <c r="C81" s="269"/>
      <c r="D81" s="26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9"/>
        <v>8</v>
      </c>
      <c r="B82" s="368"/>
      <c r="C82" s="269"/>
      <c r="D82" s="269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9"/>
        <v>9</v>
      </c>
      <c r="B83" s="368"/>
      <c r="C83" s="269"/>
      <c r="D83" s="269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6" thickBot="1">
      <c r="A84" s="380" t="s">
        <v>410</v>
      </c>
      <c r="B84" s="380"/>
      <c r="C84" s="380"/>
      <c r="D84" s="380"/>
      <c r="E84" s="380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81" t="s">
        <v>113</v>
      </c>
      <c r="B85" s="382"/>
      <c r="C85" s="372" t="s">
        <v>52</v>
      </c>
      <c r="D85" s="372"/>
      <c r="E85" s="372" t="s">
        <v>53</v>
      </c>
      <c r="F85" s="372"/>
      <c r="G85" s="372"/>
      <c r="H85" s="372"/>
      <c r="I85" s="372"/>
      <c r="J85" s="372"/>
      <c r="K85" s="372" t="s">
        <v>54</v>
      </c>
      <c r="L85" s="372"/>
      <c r="M85" s="372"/>
      <c r="N85" s="372"/>
      <c r="O85" s="372"/>
      <c r="P85" s="372"/>
      <c r="Q85" s="372"/>
      <c r="R85" s="372"/>
      <c r="S85" s="372"/>
      <c r="T85" s="372" t="s">
        <v>55</v>
      </c>
      <c r="U85" s="372"/>
      <c r="V85" s="372" t="s">
        <v>56</v>
      </c>
      <c r="W85" s="372"/>
      <c r="X85" s="372"/>
      <c r="Y85" s="372" t="s">
        <v>51</v>
      </c>
      <c r="Z85" s="372"/>
      <c r="AA85" s="372"/>
      <c r="AB85" s="372"/>
      <c r="AC85" s="372"/>
      <c r="AD85" s="373"/>
      <c r="AF85" s="50"/>
    </row>
    <row r="86" spans="1:32" ht="30.75" customHeight="1">
      <c r="A86" s="374">
        <v>1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7"/>
      <c r="W86" s="377"/>
      <c r="X86" s="377"/>
      <c r="Y86" s="378"/>
      <c r="Z86" s="378"/>
      <c r="AA86" s="378"/>
      <c r="AB86" s="378"/>
      <c r="AC86" s="378"/>
      <c r="AD86" s="379"/>
      <c r="AF86" s="50"/>
    </row>
    <row r="87" spans="1:32" ht="30.75" customHeight="1">
      <c r="A87" s="367">
        <v>2</v>
      </c>
      <c r="B87" s="368"/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70"/>
      <c r="U87" s="370"/>
      <c r="V87" s="371"/>
      <c r="W87" s="371"/>
      <c r="X87" s="371"/>
      <c r="Y87" s="360"/>
      <c r="Z87" s="360"/>
      <c r="AA87" s="360"/>
      <c r="AB87" s="360"/>
      <c r="AC87" s="360"/>
      <c r="AD87" s="361"/>
      <c r="AF87" s="50"/>
    </row>
    <row r="88" spans="1:32" ht="30.75" customHeight="1" thickBot="1">
      <c r="A88" s="362">
        <v>3</v>
      </c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5"/>
      <c r="Z88" s="365"/>
      <c r="AA88" s="365"/>
      <c r="AB88" s="365"/>
      <c r="AC88" s="365"/>
      <c r="AD88" s="366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E139-14EA-436D-B9B8-7AC709623712}"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411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80" t="s">
        <v>17</v>
      </c>
      <c r="L5" s="280" t="s">
        <v>18</v>
      </c>
      <c r="M5" s="280" t="s">
        <v>19</v>
      </c>
      <c r="N5" s="28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0" si="8">$AD$23</f>
        <v>0.43411895382395382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0.43411895382395382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5775</v>
      </c>
      <c r="K8" s="15">
        <f>L8+4982+5992+5775</f>
        <v>21681</v>
      </c>
      <c r="L8" s="15">
        <f>2660+2272</f>
        <v>4932</v>
      </c>
      <c r="M8" s="15">
        <f t="shared" si="1"/>
        <v>4932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0.85402597402597402</v>
      </c>
      <c r="AC8" s="9">
        <f t="shared" si="6"/>
        <v>1</v>
      </c>
      <c r="AD8" s="10">
        <f t="shared" si="7"/>
        <v>0.85402597402597402</v>
      </c>
      <c r="AE8" s="36">
        <f t="shared" si="8"/>
        <v>0.43411895382395382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319</v>
      </c>
      <c r="F9" s="30" t="s">
        <v>135</v>
      </c>
      <c r="G9" s="33">
        <v>1</v>
      </c>
      <c r="H9" s="35">
        <v>24</v>
      </c>
      <c r="I9" s="7">
        <v>600</v>
      </c>
      <c r="J9" s="14">
        <v>344</v>
      </c>
      <c r="K9" s="15">
        <f t="shared" ref="K9:K15" si="10">L9</f>
        <v>344</v>
      </c>
      <c r="L9" s="15">
        <v>344</v>
      </c>
      <c r="M9" s="15">
        <f t="shared" si="1"/>
        <v>344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0.43411895382395382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220</v>
      </c>
      <c r="D10" s="52" t="s">
        <v>412</v>
      </c>
      <c r="E10" s="53" t="s">
        <v>404</v>
      </c>
      <c r="F10" s="30" t="s">
        <v>122</v>
      </c>
      <c r="G10" s="33">
        <v>2</v>
      </c>
      <c r="H10" s="35">
        <v>24</v>
      </c>
      <c r="I10" s="7">
        <v>90000</v>
      </c>
      <c r="J10" s="5">
        <v>2346</v>
      </c>
      <c r="K10" s="15">
        <f t="shared" si="10"/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0.43411895382395382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303</v>
      </c>
      <c r="F11" s="30" t="s">
        <v>135</v>
      </c>
      <c r="G11" s="33">
        <v>1</v>
      </c>
      <c r="H11" s="35">
        <v>20</v>
      </c>
      <c r="I11" s="7">
        <v>600</v>
      </c>
      <c r="J11" s="14">
        <v>702</v>
      </c>
      <c r="K11" s="15">
        <f t="shared" si="10"/>
        <v>702</v>
      </c>
      <c r="L11" s="15">
        <f>702</f>
        <v>702</v>
      </c>
      <c r="M11" s="15">
        <f t="shared" si="1"/>
        <v>702</v>
      </c>
      <c r="N11" s="15">
        <v>0</v>
      </c>
      <c r="O11" s="58">
        <f t="shared" si="2"/>
        <v>0</v>
      </c>
      <c r="P11" s="39">
        <f t="shared" si="3"/>
        <v>5</v>
      </c>
      <c r="Q11" s="40">
        <f t="shared" si="4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5"/>
        <v>1</v>
      </c>
      <c r="AC11" s="9">
        <f t="shared" si="6"/>
        <v>0.20833333333333334</v>
      </c>
      <c r="AD11" s="10">
        <f t="shared" si="7"/>
        <v>0.20833333333333334</v>
      </c>
      <c r="AE11" s="36">
        <f t="shared" si="8"/>
        <v>0.43411895382395382</v>
      </c>
      <c r="AF11" s="87">
        <f t="shared" si="9"/>
        <v>6</v>
      </c>
    </row>
    <row r="12" spans="1:32" ht="27" customHeight="1">
      <c r="A12" s="103">
        <v>6</v>
      </c>
      <c r="B12" s="11" t="s">
        <v>57</v>
      </c>
      <c r="C12" s="11" t="s">
        <v>206</v>
      </c>
      <c r="D12" s="52" t="s">
        <v>413</v>
      </c>
      <c r="E12" s="53" t="s">
        <v>414</v>
      </c>
      <c r="F12" s="30" t="s">
        <v>135</v>
      </c>
      <c r="G12" s="33" t="s">
        <v>415</v>
      </c>
      <c r="H12" s="35">
        <v>20</v>
      </c>
      <c r="I12" s="7">
        <v>2000</v>
      </c>
      <c r="J12" s="14">
        <v>2112</v>
      </c>
      <c r="K12" s="15">
        <f t="shared" si="10"/>
        <v>2112</v>
      </c>
      <c r="L12" s="15">
        <f>1505+607</f>
        <v>2112</v>
      </c>
      <c r="M12" s="15">
        <f t="shared" ref="M12" si="11">L12-N12</f>
        <v>2112</v>
      </c>
      <c r="N12" s="15">
        <v>0</v>
      </c>
      <c r="O12" s="58">
        <f t="shared" ref="O12" si="12">IF(L12=0,"0",N12/L12)</f>
        <v>0</v>
      </c>
      <c r="P12" s="39">
        <f t="shared" ref="P12" si="13">IF(L12=0,"0",(24-Q12))</f>
        <v>14</v>
      </c>
      <c r="Q12" s="40">
        <f t="shared" ref="Q12" si="14">SUM(R12:AA12)</f>
        <v>10</v>
      </c>
      <c r="R12" s="7"/>
      <c r="S12" s="6"/>
      <c r="T12" s="16">
        <v>6</v>
      </c>
      <c r="U12" s="16"/>
      <c r="V12" s="17"/>
      <c r="W12" s="5">
        <v>4</v>
      </c>
      <c r="X12" s="16"/>
      <c r="Y12" s="16"/>
      <c r="Z12" s="16"/>
      <c r="AA12" s="18"/>
      <c r="AB12" s="8">
        <f t="shared" ref="AB12" si="15">IF(J12=0,"0",(L12/J12))</f>
        <v>1</v>
      </c>
      <c r="AC12" s="9">
        <f t="shared" ref="AC12" si="16">IF(P12=0,"0",(P12/24))</f>
        <v>0.58333333333333337</v>
      </c>
      <c r="AD12" s="10">
        <f t="shared" ref="AD12" si="17">AC12*AB12*(1-O12)</f>
        <v>0.58333333333333337</v>
      </c>
      <c r="AE12" s="36">
        <f t="shared" si="8"/>
        <v>0.43411895382395382</v>
      </c>
      <c r="AF12" s="87">
        <f t="shared" ref="AF12" si="18">A12</f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405</v>
      </c>
      <c r="F13" s="30" t="s">
        <v>122</v>
      </c>
      <c r="G13" s="33">
        <v>1</v>
      </c>
      <c r="H13" s="35">
        <v>20</v>
      </c>
      <c r="I13" s="7">
        <v>1000</v>
      </c>
      <c r="J13" s="14">
        <v>3045</v>
      </c>
      <c r="K13" s="15">
        <f t="shared" si="10"/>
        <v>3045</v>
      </c>
      <c r="L13" s="15">
        <f>902+2143</f>
        <v>3045</v>
      </c>
      <c r="M13" s="15">
        <f t="shared" si="1"/>
        <v>3045</v>
      </c>
      <c r="N13" s="15">
        <v>0</v>
      </c>
      <c r="O13" s="58">
        <f t="shared" si="2"/>
        <v>0</v>
      </c>
      <c r="P13" s="39">
        <f t="shared" si="3"/>
        <v>20</v>
      </c>
      <c r="Q13" s="40">
        <f t="shared" si="4"/>
        <v>4</v>
      </c>
      <c r="R13" s="7"/>
      <c r="S13" s="6"/>
      <c r="T13" s="16">
        <v>4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0.83333333333333337</v>
      </c>
      <c r="AD13" s="10">
        <f t="shared" si="7"/>
        <v>0.83333333333333337</v>
      </c>
      <c r="AE13" s="36">
        <f t="shared" si="8"/>
        <v>0.43411895382395382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206</v>
      </c>
      <c r="D14" s="52" t="s">
        <v>416</v>
      </c>
      <c r="E14" s="53" t="s">
        <v>417</v>
      </c>
      <c r="F14" s="30" t="s">
        <v>124</v>
      </c>
      <c r="G14" s="33">
        <v>1</v>
      </c>
      <c r="H14" s="35">
        <v>24</v>
      </c>
      <c r="I14" s="7">
        <v>3000</v>
      </c>
      <c r="J14" s="14">
        <v>2821</v>
      </c>
      <c r="K14" s="15">
        <f t="shared" si="10"/>
        <v>2821</v>
      </c>
      <c r="L14" s="15">
        <f>621+2200</f>
        <v>2821</v>
      </c>
      <c r="M14" s="15">
        <f t="shared" si="1"/>
        <v>2821</v>
      </c>
      <c r="N14" s="15">
        <v>0</v>
      </c>
      <c r="O14" s="58">
        <f t="shared" si="2"/>
        <v>0</v>
      </c>
      <c r="P14" s="39">
        <f t="shared" si="3"/>
        <v>19</v>
      </c>
      <c r="Q14" s="40">
        <f t="shared" si="4"/>
        <v>5</v>
      </c>
      <c r="R14" s="7"/>
      <c r="S14" s="6"/>
      <c r="T14" s="16"/>
      <c r="U14" s="16"/>
      <c r="V14" s="17"/>
      <c r="W14" s="5">
        <v>5</v>
      </c>
      <c r="X14" s="16"/>
      <c r="Y14" s="16"/>
      <c r="Z14" s="16"/>
      <c r="AA14" s="18"/>
      <c r="AB14" s="8">
        <f t="shared" si="5"/>
        <v>1</v>
      </c>
      <c r="AC14" s="9">
        <f t="shared" si="6"/>
        <v>0.79166666666666663</v>
      </c>
      <c r="AD14" s="10">
        <f t="shared" si="7"/>
        <v>0.79166666666666663</v>
      </c>
      <c r="AE14" s="36">
        <f t="shared" si="8"/>
        <v>0.43411895382395382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206</v>
      </c>
      <c r="D15" s="52" t="s">
        <v>208</v>
      </c>
      <c r="E15" s="53" t="s">
        <v>205</v>
      </c>
      <c r="F15" s="30" t="s">
        <v>116</v>
      </c>
      <c r="G15" s="12">
        <v>1</v>
      </c>
      <c r="H15" s="13">
        <v>28</v>
      </c>
      <c r="I15" s="7">
        <v>21000</v>
      </c>
      <c r="J15" s="5">
        <v>131</v>
      </c>
      <c r="K15" s="15">
        <f t="shared" si="10"/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0.43411895382395382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220</v>
      </c>
      <c r="D16" s="52"/>
      <c r="E16" s="53" t="s">
        <v>347</v>
      </c>
      <c r="F16" s="12" t="s">
        <v>222</v>
      </c>
      <c r="G16" s="12">
        <v>1</v>
      </c>
      <c r="H16" s="13">
        <v>24</v>
      </c>
      <c r="I16" s="31">
        <v>2000</v>
      </c>
      <c r="J16" s="14">
        <v>2918</v>
      </c>
      <c r="K16" s="15">
        <f>L16+1910+2918</f>
        <v>4828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0.43411895382395382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418</v>
      </c>
      <c r="E17" s="53" t="s">
        <v>406</v>
      </c>
      <c r="F17" s="30" t="s">
        <v>135</v>
      </c>
      <c r="G17" s="12">
        <v>1</v>
      </c>
      <c r="H17" s="13">
        <v>28</v>
      </c>
      <c r="I17" s="7">
        <v>1200</v>
      </c>
      <c r="J17" s="14">
        <v>1435</v>
      </c>
      <c r="K17" s="15">
        <f>L17</f>
        <v>1435</v>
      </c>
      <c r="L17" s="15">
        <v>1435</v>
      </c>
      <c r="M17" s="15">
        <f t="shared" ref="M17" si="19">L17-N17</f>
        <v>1435</v>
      </c>
      <c r="N17" s="15">
        <v>0</v>
      </c>
      <c r="O17" s="58">
        <f t="shared" ref="O17" si="20">IF(L17=0,"0",N17/L17)</f>
        <v>0</v>
      </c>
      <c r="P17" s="39">
        <f t="shared" ref="P17" si="21">IF(L17=0,"0",(24-Q17))</f>
        <v>8</v>
      </c>
      <c r="Q17" s="40">
        <f t="shared" ref="Q17" si="22">SUM(R17:AA17)</f>
        <v>16</v>
      </c>
      <c r="R17" s="7"/>
      <c r="S17" s="6"/>
      <c r="T17" s="16"/>
      <c r="U17" s="16"/>
      <c r="V17" s="17"/>
      <c r="W17" s="5">
        <v>16</v>
      </c>
      <c r="X17" s="16"/>
      <c r="Y17" s="16"/>
      <c r="Z17" s="16"/>
      <c r="AA17" s="18"/>
      <c r="AB17" s="8">
        <f t="shared" ref="AB17" si="23">IF(J17=0,"0",(L17/J17))</f>
        <v>1</v>
      </c>
      <c r="AC17" s="9">
        <f t="shared" ref="AC17" si="24">IF(P17=0,"0",(P17/24))</f>
        <v>0.33333333333333331</v>
      </c>
      <c r="AD17" s="10">
        <f t="shared" ref="AD17" si="25">AC17*AB17*(1-O17)</f>
        <v>0.33333333333333331</v>
      </c>
      <c r="AE17" s="36">
        <f t="shared" si="8"/>
        <v>0.43411895382395382</v>
      </c>
      <c r="AF17" s="87">
        <f t="shared" ref="AF17" si="26">A17</f>
        <v>11</v>
      </c>
    </row>
    <row r="18" spans="1:32" ht="30" customHeight="1">
      <c r="A18" s="102">
        <v>11</v>
      </c>
      <c r="B18" s="11" t="s">
        <v>57</v>
      </c>
      <c r="C18" s="34" t="s">
        <v>206</v>
      </c>
      <c r="D18" s="52" t="s">
        <v>419</v>
      </c>
      <c r="E18" s="53" t="s">
        <v>420</v>
      </c>
      <c r="F18" s="30" t="s">
        <v>128</v>
      </c>
      <c r="G18" s="12">
        <v>1</v>
      </c>
      <c r="H18" s="13">
        <v>28</v>
      </c>
      <c r="I18" s="7">
        <v>2000</v>
      </c>
      <c r="J18" s="14">
        <v>2796</v>
      </c>
      <c r="K18" s="15">
        <f>L18</f>
        <v>2796</v>
      </c>
      <c r="L18" s="15">
        <f>1051*2+347*2</f>
        <v>2796</v>
      </c>
      <c r="M18" s="15">
        <f t="shared" si="1"/>
        <v>2796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 t="shared" si="7"/>
        <v>0.41666666666666669</v>
      </c>
      <c r="AE18" s="36">
        <f t="shared" si="8"/>
        <v>0.43411895382395382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206</v>
      </c>
      <c r="D19" s="52" t="s">
        <v>390</v>
      </c>
      <c r="E19" s="53" t="s">
        <v>384</v>
      </c>
      <c r="F19" s="30" t="s">
        <v>145</v>
      </c>
      <c r="G19" s="33">
        <v>1</v>
      </c>
      <c r="H19" s="35">
        <v>20</v>
      </c>
      <c r="I19" s="7">
        <v>5000</v>
      </c>
      <c r="J19" s="14">
        <v>2167</v>
      </c>
      <c r="K19" s="15">
        <f>L19+3122+2167</f>
        <v>5289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0.43411895382395382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125</v>
      </c>
      <c r="D20" s="52" t="s">
        <v>361</v>
      </c>
      <c r="E20" s="53" t="s">
        <v>362</v>
      </c>
      <c r="F20" s="30" t="s">
        <v>197</v>
      </c>
      <c r="G20" s="33">
        <v>1</v>
      </c>
      <c r="H20" s="35">
        <v>24</v>
      </c>
      <c r="I20" s="7">
        <v>32000</v>
      </c>
      <c r="J20" s="5">
        <v>4838</v>
      </c>
      <c r="K20" s="15">
        <f>L20+3263+5115+1172+2487+4864</f>
        <v>21739</v>
      </c>
      <c r="L20" s="15">
        <f>2597+2241</f>
        <v>4838</v>
      </c>
      <c r="M20" s="15">
        <f t="shared" si="1"/>
        <v>4838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0.43411895382395382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125</v>
      </c>
      <c r="D21" s="52" t="s">
        <v>117</v>
      </c>
      <c r="E21" s="53" t="s">
        <v>144</v>
      </c>
      <c r="F21" s="30" t="s">
        <v>122</v>
      </c>
      <c r="G21" s="33">
        <v>1</v>
      </c>
      <c r="H21" s="35">
        <v>24</v>
      </c>
      <c r="I21" s="7">
        <v>120000</v>
      </c>
      <c r="J21" s="5">
        <v>2915</v>
      </c>
      <c r="K21" s="15">
        <f>L21+4376+4932+3746+2629+4823+3796+4027+5078+3986+4575+4282+4124+5194+424+2663+4223+4771+2984+1155</f>
        <v>74703</v>
      </c>
      <c r="L21" s="15">
        <f>987+1928</f>
        <v>2915</v>
      </c>
      <c r="M21" s="15">
        <f t="shared" si="1"/>
        <v>2915</v>
      </c>
      <c r="N21" s="15">
        <v>0</v>
      </c>
      <c r="O21" s="58">
        <f t="shared" si="2"/>
        <v>0</v>
      </c>
      <c r="P21" s="39">
        <f t="shared" si="3"/>
        <v>17</v>
      </c>
      <c r="Q21" s="40">
        <f t="shared" si="4"/>
        <v>7</v>
      </c>
      <c r="R21" s="7"/>
      <c r="S21" s="6">
        <v>7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0.70833333333333337</v>
      </c>
      <c r="AD21" s="10">
        <f t="shared" ref="AD21" si="27">AC21*AB21*(1-O21)</f>
        <v>0.70833333333333337</v>
      </c>
      <c r="AE21" s="36">
        <f t="shared" ref="AE21" si="28">$AD$22</f>
        <v>0.61609166666666659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421</v>
      </c>
      <c r="F22" s="12" t="s">
        <v>116</v>
      </c>
      <c r="G22" s="12">
        <v>4</v>
      </c>
      <c r="H22" s="35">
        <v>20</v>
      </c>
      <c r="I22" s="7">
        <v>300000</v>
      </c>
      <c r="J22" s="14">
        <v>20000</v>
      </c>
      <c r="K22" s="15">
        <f>L22</f>
        <v>22748</v>
      </c>
      <c r="L22" s="15">
        <f>5687*4</f>
        <v>22748</v>
      </c>
      <c r="M22" s="15">
        <f t="shared" si="1"/>
        <v>22748</v>
      </c>
      <c r="N22" s="15">
        <v>0</v>
      </c>
      <c r="O22" s="58">
        <f t="shared" si="2"/>
        <v>0</v>
      </c>
      <c r="P22" s="39">
        <f t="shared" si="3"/>
        <v>13</v>
      </c>
      <c r="Q22" s="40">
        <f t="shared" si="4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5"/>
        <v>1.1374</v>
      </c>
      <c r="AC22" s="9">
        <f t="shared" si="6"/>
        <v>0.54166666666666663</v>
      </c>
      <c r="AD22" s="10">
        <f t="shared" si="7"/>
        <v>0.61609166666666659</v>
      </c>
      <c r="AE22" s="36">
        <f>$AD$23</f>
        <v>0.43411895382395382</v>
      </c>
      <c r="AF22" s="87">
        <f t="shared" si="9"/>
        <v>15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29">SUM(I6:I22)</f>
        <v>633400</v>
      </c>
      <c r="J23" s="19">
        <f t="shared" si="29"/>
        <v>56406</v>
      </c>
      <c r="K23" s="20">
        <f t="shared" si="29"/>
        <v>175791</v>
      </c>
      <c r="L23" s="21">
        <f t="shared" si="29"/>
        <v>48688</v>
      </c>
      <c r="M23" s="20">
        <f t="shared" si="29"/>
        <v>48688</v>
      </c>
      <c r="N23" s="21">
        <f t="shared" si="29"/>
        <v>0</v>
      </c>
      <c r="O23" s="41">
        <f t="shared" si="2"/>
        <v>0</v>
      </c>
      <c r="P23" s="42">
        <f t="shared" ref="P23:AA23" si="30">SUM(P6:P22)</f>
        <v>158</v>
      </c>
      <c r="Q23" s="43">
        <f t="shared" si="30"/>
        <v>250</v>
      </c>
      <c r="R23" s="23">
        <f t="shared" si="30"/>
        <v>24</v>
      </c>
      <c r="S23" s="24">
        <f t="shared" si="30"/>
        <v>51</v>
      </c>
      <c r="T23" s="24">
        <f t="shared" si="30"/>
        <v>10</v>
      </c>
      <c r="U23" s="24">
        <f t="shared" si="30"/>
        <v>0</v>
      </c>
      <c r="V23" s="25">
        <f t="shared" si="30"/>
        <v>35</v>
      </c>
      <c r="W23" s="26">
        <f t="shared" si="30"/>
        <v>106</v>
      </c>
      <c r="X23" s="27">
        <f t="shared" si="30"/>
        <v>0</v>
      </c>
      <c r="Y23" s="27">
        <f t="shared" si="30"/>
        <v>0</v>
      </c>
      <c r="Z23" s="27">
        <f t="shared" si="30"/>
        <v>0</v>
      </c>
      <c r="AA23" s="27">
        <f t="shared" si="30"/>
        <v>24</v>
      </c>
      <c r="AB23" s="28">
        <f>SUM(AB6:AB22)/15</f>
        <v>0.73276173160173164</v>
      </c>
      <c r="AC23" s="4">
        <f>SUM(AC6:AC22)/15</f>
        <v>0.43888888888888894</v>
      </c>
      <c r="AD23" s="4">
        <f>SUM(AD6:AD22)/15</f>
        <v>0.43411895382395382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422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425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281" t="s">
        <v>46</v>
      </c>
      <c r="D52" s="281" t="s">
        <v>47</v>
      </c>
      <c r="E52" s="281" t="s">
        <v>108</v>
      </c>
      <c r="F52" s="448" t="s">
        <v>107</v>
      </c>
      <c r="G52" s="448"/>
      <c r="H52" s="448"/>
      <c r="I52" s="448"/>
      <c r="J52" s="448"/>
      <c r="K52" s="448"/>
      <c r="L52" s="448"/>
      <c r="M52" s="449"/>
      <c r="N52" s="67" t="s">
        <v>112</v>
      </c>
      <c r="O52" s="281" t="s">
        <v>46</v>
      </c>
      <c r="P52" s="450" t="s">
        <v>47</v>
      </c>
      <c r="Q52" s="451"/>
      <c r="R52" s="450" t="s">
        <v>38</v>
      </c>
      <c r="S52" s="452"/>
      <c r="T52" s="452"/>
      <c r="U52" s="451"/>
      <c r="V52" s="450" t="s">
        <v>48</v>
      </c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19" t="s">
        <v>220</v>
      </c>
      <c r="B53" s="420"/>
      <c r="C53" s="283" t="s">
        <v>171</v>
      </c>
      <c r="D53" s="283" t="s">
        <v>407</v>
      </c>
      <c r="E53" s="283" t="s">
        <v>404</v>
      </c>
      <c r="F53" s="421" t="s">
        <v>423</v>
      </c>
      <c r="G53" s="422"/>
      <c r="H53" s="422"/>
      <c r="I53" s="422"/>
      <c r="J53" s="422"/>
      <c r="K53" s="422"/>
      <c r="L53" s="422"/>
      <c r="M53" s="423"/>
      <c r="N53" s="282" t="s">
        <v>125</v>
      </c>
      <c r="O53" s="287" t="s">
        <v>230</v>
      </c>
      <c r="P53" s="433" t="s">
        <v>117</v>
      </c>
      <c r="Q53" s="434"/>
      <c r="R53" s="420" t="s">
        <v>144</v>
      </c>
      <c r="S53" s="420"/>
      <c r="T53" s="420"/>
      <c r="U53" s="420"/>
      <c r="V53" s="410" t="s">
        <v>127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283" t="s">
        <v>230</v>
      </c>
      <c r="D54" s="283" t="s">
        <v>117</v>
      </c>
      <c r="E54" s="283" t="s">
        <v>144</v>
      </c>
      <c r="F54" s="421" t="s">
        <v>401</v>
      </c>
      <c r="G54" s="422"/>
      <c r="H54" s="422"/>
      <c r="I54" s="422"/>
      <c r="J54" s="422"/>
      <c r="K54" s="422"/>
      <c r="L54" s="422"/>
      <c r="M54" s="423"/>
      <c r="N54" s="282" t="s">
        <v>114</v>
      </c>
      <c r="O54" s="287" t="s">
        <v>168</v>
      </c>
      <c r="P54" s="433" t="s">
        <v>117</v>
      </c>
      <c r="Q54" s="434"/>
      <c r="R54" s="420" t="s">
        <v>319</v>
      </c>
      <c r="S54" s="420"/>
      <c r="T54" s="420"/>
      <c r="U54" s="420"/>
      <c r="V54" s="410" t="s">
        <v>127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83" t="s">
        <v>168</v>
      </c>
      <c r="D55" s="283" t="s">
        <v>117</v>
      </c>
      <c r="E55" s="283" t="s">
        <v>319</v>
      </c>
      <c r="F55" s="421" t="s">
        <v>424</v>
      </c>
      <c r="G55" s="422"/>
      <c r="H55" s="422"/>
      <c r="I55" s="422"/>
      <c r="J55" s="422"/>
      <c r="K55" s="422"/>
      <c r="L55" s="422"/>
      <c r="M55" s="423"/>
      <c r="N55" s="282" t="s">
        <v>220</v>
      </c>
      <c r="O55" s="287" t="s">
        <v>171</v>
      </c>
      <c r="P55" s="433" t="s">
        <v>407</v>
      </c>
      <c r="Q55" s="434"/>
      <c r="R55" s="420" t="s">
        <v>404</v>
      </c>
      <c r="S55" s="420"/>
      <c r="T55" s="420"/>
      <c r="U55" s="420"/>
      <c r="V55" s="410" t="s">
        <v>127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83" t="s">
        <v>201</v>
      </c>
      <c r="D56" s="283" t="s">
        <v>133</v>
      </c>
      <c r="E56" s="283" t="s">
        <v>303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282" t="s">
        <v>220</v>
      </c>
      <c r="O56" s="287" t="s">
        <v>182</v>
      </c>
      <c r="P56" s="433"/>
      <c r="Q56" s="434"/>
      <c r="R56" s="420" t="s">
        <v>426</v>
      </c>
      <c r="S56" s="420"/>
      <c r="T56" s="420"/>
      <c r="U56" s="420"/>
      <c r="V56" s="410" t="s">
        <v>121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206</v>
      </c>
      <c r="B57" s="420"/>
      <c r="C57" s="283" t="s">
        <v>201</v>
      </c>
      <c r="D57" s="283" t="s">
        <v>413</v>
      </c>
      <c r="E57" s="283" t="s">
        <v>414</v>
      </c>
      <c r="F57" s="421" t="s">
        <v>121</v>
      </c>
      <c r="G57" s="422"/>
      <c r="H57" s="422"/>
      <c r="I57" s="422"/>
      <c r="J57" s="422"/>
      <c r="K57" s="422"/>
      <c r="L57" s="422"/>
      <c r="M57" s="423"/>
      <c r="N57" s="282" t="s">
        <v>220</v>
      </c>
      <c r="O57" s="287" t="s">
        <v>201</v>
      </c>
      <c r="P57" s="433" t="s">
        <v>427</v>
      </c>
      <c r="Q57" s="434"/>
      <c r="R57" s="420" t="s">
        <v>428</v>
      </c>
      <c r="S57" s="420"/>
      <c r="T57" s="420"/>
      <c r="U57" s="420"/>
      <c r="V57" s="410" t="s">
        <v>121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114</v>
      </c>
      <c r="B58" s="420"/>
      <c r="C58" s="283" t="s">
        <v>134</v>
      </c>
      <c r="D58" s="283" t="s">
        <v>117</v>
      </c>
      <c r="E58" s="283" t="s">
        <v>405</v>
      </c>
      <c r="F58" s="421" t="s">
        <v>121</v>
      </c>
      <c r="G58" s="422"/>
      <c r="H58" s="422"/>
      <c r="I58" s="422"/>
      <c r="J58" s="422"/>
      <c r="K58" s="422"/>
      <c r="L58" s="422"/>
      <c r="M58" s="423"/>
      <c r="N58" s="282"/>
      <c r="O58" s="287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206</v>
      </c>
      <c r="B59" s="420"/>
      <c r="C59" s="283" t="s">
        <v>129</v>
      </c>
      <c r="D59" s="283" t="s">
        <v>416</v>
      </c>
      <c r="E59" s="283" t="s">
        <v>417</v>
      </c>
      <c r="F59" s="421" t="s">
        <v>121</v>
      </c>
      <c r="G59" s="422"/>
      <c r="H59" s="422"/>
      <c r="I59" s="422"/>
      <c r="J59" s="422"/>
      <c r="K59" s="422"/>
      <c r="L59" s="422"/>
      <c r="M59" s="423"/>
      <c r="N59" s="282"/>
      <c r="O59" s="287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206</v>
      </c>
      <c r="B60" s="420"/>
      <c r="C60" s="283" t="s">
        <v>182</v>
      </c>
      <c r="D60" s="283" t="s">
        <v>419</v>
      </c>
      <c r="E60" s="283" t="s">
        <v>420</v>
      </c>
      <c r="F60" s="421" t="s">
        <v>121</v>
      </c>
      <c r="G60" s="422"/>
      <c r="H60" s="422"/>
      <c r="I60" s="422"/>
      <c r="J60" s="422"/>
      <c r="K60" s="422"/>
      <c r="L60" s="422"/>
      <c r="M60" s="423"/>
      <c r="N60" s="282"/>
      <c r="O60" s="287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283"/>
      <c r="D61" s="283"/>
      <c r="E61" s="283"/>
      <c r="F61" s="421"/>
      <c r="G61" s="422"/>
      <c r="H61" s="422"/>
      <c r="I61" s="422"/>
      <c r="J61" s="422"/>
      <c r="K61" s="422"/>
      <c r="L61" s="422"/>
      <c r="M61" s="423"/>
      <c r="N61" s="282"/>
      <c r="O61" s="287"/>
      <c r="P61" s="420"/>
      <c r="Q61" s="420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  <c r="AF61" s="87">
        <f>8*3000</f>
        <v>24000</v>
      </c>
    </row>
    <row r="62" spans="1:32" ht="27" customHeight="1" thickBot="1">
      <c r="A62" s="425"/>
      <c r="B62" s="426"/>
      <c r="C62" s="284"/>
      <c r="D62" s="284"/>
      <c r="E62" s="284"/>
      <c r="F62" s="427"/>
      <c r="G62" s="428"/>
      <c r="H62" s="428"/>
      <c r="I62" s="428"/>
      <c r="J62" s="428"/>
      <c r="K62" s="428"/>
      <c r="L62" s="428"/>
      <c r="M62" s="429"/>
      <c r="N62" s="124"/>
      <c r="O62" s="114"/>
      <c r="P62" s="430"/>
      <c r="Q62" s="430"/>
      <c r="R62" s="430"/>
      <c r="S62" s="430"/>
      <c r="T62" s="430"/>
      <c r="U62" s="430"/>
      <c r="V62" s="431"/>
      <c r="W62" s="431"/>
      <c r="X62" s="431"/>
      <c r="Y62" s="431"/>
      <c r="Z62" s="431"/>
      <c r="AA62" s="431"/>
      <c r="AB62" s="431"/>
      <c r="AC62" s="431"/>
      <c r="AD62" s="432"/>
      <c r="AF62" s="87">
        <f>16*3000</f>
        <v>48000</v>
      </c>
    </row>
    <row r="63" spans="1:32" ht="27.75" thickBot="1">
      <c r="A63" s="417" t="s">
        <v>429</v>
      </c>
      <c r="B63" s="417"/>
      <c r="C63" s="417"/>
      <c r="D63" s="417"/>
      <c r="E63" s="41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8" t="s">
        <v>113</v>
      </c>
      <c r="B64" s="415"/>
      <c r="C64" s="285" t="s">
        <v>2</v>
      </c>
      <c r="D64" s="285" t="s">
        <v>37</v>
      </c>
      <c r="E64" s="285" t="s">
        <v>3</v>
      </c>
      <c r="F64" s="415" t="s">
        <v>110</v>
      </c>
      <c r="G64" s="415"/>
      <c r="H64" s="415"/>
      <c r="I64" s="415"/>
      <c r="J64" s="415"/>
      <c r="K64" s="415" t="s">
        <v>39</v>
      </c>
      <c r="L64" s="415"/>
      <c r="M64" s="285" t="s">
        <v>40</v>
      </c>
      <c r="N64" s="415" t="s">
        <v>41</v>
      </c>
      <c r="O64" s="415"/>
      <c r="P64" s="412" t="s">
        <v>42</v>
      </c>
      <c r="Q64" s="414"/>
      <c r="R64" s="412" t="s">
        <v>43</v>
      </c>
      <c r="S64" s="413"/>
      <c r="T64" s="413"/>
      <c r="U64" s="413"/>
      <c r="V64" s="413"/>
      <c r="W64" s="413"/>
      <c r="X64" s="413"/>
      <c r="Y64" s="413"/>
      <c r="Z64" s="413"/>
      <c r="AA64" s="414"/>
      <c r="AB64" s="415" t="s">
        <v>44</v>
      </c>
      <c r="AC64" s="415"/>
      <c r="AD64" s="416"/>
      <c r="AF64" s="87">
        <f>SUM(AF61:AF63)</f>
        <v>96000</v>
      </c>
    </row>
    <row r="65" spans="1:32" ht="25.5" customHeight="1">
      <c r="A65" s="406">
        <v>1</v>
      </c>
      <c r="B65" s="407"/>
      <c r="C65" s="117" t="s">
        <v>114</v>
      </c>
      <c r="D65" s="289"/>
      <c r="E65" s="286" t="s">
        <v>165</v>
      </c>
      <c r="F65" s="408" t="s">
        <v>369</v>
      </c>
      <c r="G65" s="400"/>
      <c r="H65" s="400"/>
      <c r="I65" s="400"/>
      <c r="J65" s="400"/>
      <c r="K65" s="400" t="s">
        <v>158</v>
      </c>
      <c r="L65" s="400"/>
      <c r="M65" s="51" t="s">
        <v>332</v>
      </c>
      <c r="N65" s="411" t="s">
        <v>299</v>
      </c>
      <c r="O65" s="411"/>
      <c r="P65" s="409">
        <v>700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2</v>
      </c>
      <c r="B66" s="407"/>
      <c r="C66" s="117"/>
      <c r="D66" s="289"/>
      <c r="E66" s="286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3</v>
      </c>
      <c r="B67" s="407"/>
      <c r="C67" s="117"/>
      <c r="D67" s="289"/>
      <c r="E67" s="286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4</v>
      </c>
      <c r="B68" s="407"/>
      <c r="C68" s="117"/>
      <c r="D68" s="289"/>
      <c r="E68" s="286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5</v>
      </c>
      <c r="B69" s="407"/>
      <c r="C69" s="117"/>
      <c r="D69" s="289"/>
      <c r="E69" s="286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6</v>
      </c>
      <c r="B70" s="407"/>
      <c r="C70" s="117"/>
      <c r="D70" s="289"/>
      <c r="E70" s="286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7</v>
      </c>
      <c r="B71" s="407"/>
      <c r="C71" s="117"/>
      <c r="D71" s="289"/>
      <c r="E71" s="286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8</v>
      </c>
      <c r="B72" s="407"/>
      <c r="C72" s="117"/>
      <c r="D72" s="289"/>
      <c r="E72" s="286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6.25" customHeight="1" thickBot="1">
      <c r="A73" s="380" t="s">
        <v>430</v>
      </c>
      <c r="B73" s="380"/>
      <c r="C73" s="380"/>
      <c r="D73" s="380"/>
      <c r="E73" s="38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81" t="s">
        <v>113</v>
      </c>
      <c r="B74" s="382"/>
      <c r="C74" s="288" t="s">
        <v>2</v>
      </c>
      <c r="D74" s="288" t="s">
        <v>37</v>
      </c>
      <c r="E74" s="288" t="s">
        <v>3</v>
      </c>
      <c r="F74" s="382" t="s">
        <v>38</v>
      </c>
      <c r="G74" s="382"/>
      <c r="H74" s="382"/>
      <c r="I74" s="382"/>
      <c r="J74" s="382"/>
      <c r="K74" s="402" t="s">
        <v>58</v>
      </c>
      <c r="L74" s="403"/>
      <c r="M74" s="403"/>
      <c r="N74" s="403"/>
      <c r="O74" s="403"/>
      <c r="P74" s="403"/>
      <c r="Q74" s="403"/>
      <c r="R74" s="403"/>
      <c r="S74" s="404"/>
      <c r="T74" s="382" t="s">
        <v>49</v>
      </c>
      <c r="U74" s="382"/>
      <c r="V74" s="402" t="s">
        <v>50</v>
      </c>
      <c r="W74" s="404"/>
      <c r="X74" s="403" t="s">
        <v>51</v>
      </c>
      <c r="Y74" s="403"/>
      <c r="Z74" s="403"/>
      <c r="AA74" s="403"/>
      <c r="AB74" s="403"/>
      <c r="AC74" s="403"/>
      <c r="AD74" s="405"/>
      <c r="AF74" s="50"/>
    </row>
    <row r="75" spans="1:32" ht="33.75" customHeight="1">
      <c r="A75" s="374">
        <v>1</v>
      </c>
      <c r="B75" s="375"/>
      <c r="C75" s="290" t="s">
        <v>114</v>
      </c>
      <c r="D75" s="290"/>
      <c r="E75" s="65" t="s">
        <v>119</v>
      </c>
      <c r="F75" s="389" t="s">
        <v>118</v>
      </c>
      <c r="G75" s="390"/>
      <c r="H75" s="390"/>
      <c r="I75" s="390"/>
      <c r="J75" s="391"/>
      <c r="K75" s="392" t="s">
        <v>120</v>
      </c>
      <c r="L75" s="393"/>
      <c r="M75" s="393"/>
      <c r="N75" s="393"/>
      <c r="O75" s="393"/>
      <c r="P75" s="393"/>
      <c r="Q75" s="393"/>
      <c r="R75" s="393"/>
      <c r="S75" s="394"/>
      <c r="T75" s="395">
        <v>43384</v>
      </c>
      <c r="U75" s="396"/>
      <c r="V75" s="397"/>
      <c r="W75" s="397"/>
      <c r="X75" s="398"/>
      <c r="Y75" s="398"/>
      <c r="Z75" s="398"/>
      <c r="AA75" s="398"/>
      <c r="AB75" s="398"/>
      <c r="AC75" s="398"/>
      <c r="AD75" s="399"/>
      <c r="AF75" s="50"/>
    </row>
    <row r="76" spans="1:32" ht="30" customHeight="1">
      <c r="A76" s="367">
        <f>A75+1</f>
        <v>2</v>
      </c>
      <c r="B76" s="368"/>
      <c r="C76" s="289"/>
      <c r="D76" s="28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ref="A77:A83" si="31">A76+1</f>
        <v>3</v>
      </c>
      <c r="B77" s="368"/>
      <c r="C77" s="289"/>
      <c r="D77" s="28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31"/>
        <v>4</v>
      </c>
      <c r="B78" s="368"/>
      <c r="C78" s="289"/>
      <c r="D78" s="28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31"/>
        <v>5</v>
      </c>
      <c r="B79" s="368"/>
      <c r="C79" s="289"/>
      <c r="D79" s="28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31"/>
        <v>6</v>
      </c>
      <c r="B80" s="368"/>
      <c r="C80" s="289"/>
      <c r="D80" s="28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31"/>
        <v>7</v>
      </c>
      <c r="B81" s="368"/>
      <c r="C81" s="289"/>
      <c r="D81" s="28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31"/>
        <v>8</v>
      </c>
      <c r="B82" s="368"/>
      <c r="C82" s="289"/>
      <c r="D82" s="289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31"/>
        <v>9</v>
      </c>
      <c r="B83" s="368"/>
      <c r="C83" s="289"/>
      <c r="D83" s="289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6" thickBot="1">
      <c r="A84" s="380" t="s">
        <v>431</v>
      </c>
      <c r="B84" s="380"/>
      <c r="C84" s="380"/>
      <c r="D84" s="380"/>
      <c r="E84" s="380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81" t="s">
        <v>113</v>
      </c>
      <c r="B85" s="382"/>
      <c r="C85" s="372" t="s">
        <v>52</v>
      </c>
      <c r="D85" s="372"/>
      <c r="E85" s="372" t="s">
        <v>53</v>
      </c>
      <c r="F85" s="372"/>
      <c r="G85" s="372"/>
      <c r="H85" s="372"/>
      <c r="I85" s="372"/>
      <c r="J85" s="372"/>
      <c r="K85" s="372" t="s">
        <v>54</v>
      </c>
      <c r="L85" s="372"/>
      <c r="M85" s="372"/>
      <c r="N85" s="372"/>
      <c r="O85" s="372"/>
      <c r="P85" s="372"/>
      <c r="Q85" s="372"/>
      <c r="R85" s="372"/>
      <c r="S85" s="372"/>
      <c r="T85" s="372" t="s">
        <v>55</v>
      </c>
      <c r="U85" s="372"/>
      <c r="V85" s="372" t="s">
        <v>56</v>
      </c>
      <c r="W85" s="372"/>
      <c r="X85" s="372"/>
      <c r="Y85" s="372" t="s">
        <v>51</v>
      </c>
      <c r="Z85" s="372"/>
      <c r="AA85" s="372"/>
      <c r="AB85" s="372"/>
      <c r="AC85" s="372"/>
      <c r="AD85" s="373"/>
      <c r="AF85" s="50"/>
    </row>
    <row r="86" spans="1:32" ht="30.75" customHeight="1">
      <c r="A86" s="374">
        <v>1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7"/>
      <c r="W86" s="377"/>
      <c r="X86" s="377"/>
      <c r="Y86" s="378"/>
      <c r="Z86" s="378"/>
      <c r="AA86" s="378"/>
      <c r="AB86" s="378"/>
      <c r="AC86" s="378"/>
      <c r="AD86" s="379"/>
      <c r="AF86" s="50"/>
    </row>
    <row r="87" spans="1:32" ht="30.75" customHeight="1">
      <c r="A87" s="367">
        <v>2</v>
      </c>
      <c r="B87" s="368"/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70"/>
      <c r="U87" s="370"/>
      <c r="V87" s="371"/>
      <c r="W87" s="371"/>
      <c r="X87" s="371"/>
      <c r="Y87" s="360"/>
      <c r="Z87" s="360"/>
      <c r="AA87" s="360"/>
      <c r="AB87" s="360"/>
      <c r="AC87" s="360"/>
      <c r="AD87" s="361"/>
      <c r="AF87" s="50"/>
    </row>
    <row r="88" spans="1:32" ht="30.75" customHeight="1" thickBot="1">
      <c r="A88" s="362">
        <v>3</v>
      </c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5"/>
      <c r="Z88" s="365"/>
      <c r="AA88" s="365"/>
      <c r="AB88" s="365"/>
      <c r="AC88" s="365"/>
      <c r="AD88" s="366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8A08-CCDB-4181-96B6-97DE339812F6}"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432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01" t="s">
        <v>17</v>
      </c>
      <c r="L5" s="301" t="s">
        <v>18</v>
      </c>
      <c r="M5" s="301" t="s">
        <v>19</v>
      </c>
      <c r="N5" s="30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0.375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0.375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2901</v>
      </c>
      <c r="K8" s="15">
        <f>L8+4982+5992+5775+4932</f>
        <v>24582</v>
      </c>
      <c r="L8" s="15">
        <f>2051+850</f>
        <v>2901</v>
      </c>
      <c r="M8" s="15">
        <f t="shared" si="1"/>
        <v>2901</v>
      </c>
      <c r="N8" s="15">
        <v>0</v>
      </c>
      <c r="O8" s="58">
        <f t="shared" si="2"/>
        <v>0</v>
      </c>
      <c r="P8" s="39">
        <f t="shared" si="3"/>
        <v>17</v>
      </c>
      <c r="Q8" s="40">
        <f t="shared" si="4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0.70833333333333337</v>
      </c>
      <c r="AD8" s="10">
        <f t="shared" si="7"/>
        <v>0.70833333333333337</v>
      </c>
      <c r="AE8" s="36">
        <f t="shared" si="8"/>
        <v>0.375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319</v>
      </c>
      <c r="F9" s="30" t="s">
        <v>135</v>
      </c>
      <c r="G9" s="33">
        <v>1</v>
      </c>
      <c r="H9" s="35">
        <v>24</v>
      </c>
      <c r="I9" s="7">
        <v>600</v>
      </c>
      <c r="J9" s="14">
        <v>311</v>
      </c>
      <c r="K9" s="15">
        <f>L9+344</f>
        <v>655</v>
      </c>
      <c r="L9" s="15">
        <v>311</v>
      </c>
      <c r="M9" s="15">
        <f t="shared" si="1"/>
        <v>311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/>
      <c r="T9" s="16"/>
      <c r="U9" s="16"/>
      <c r="V9" s="17"/>
      <c r="W9" s="5">
        <v>20</v>
      </c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0.375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220</v>
      </c>
      <c r="D10" s="52" t="s">
        <v>412</v>
      </c>
      <c r="E10" s="53" t="s">
        <v>404</v>
      </c>
      <c r="F10" s="30" t="s">
        <v>122</v>
      </c>
      <c r="G10" s="33">
        <v>2</v>
      </c>
      <c r="H10" s="35">
        <v>24</v>
      </c>
      <c r="I10" s="7">
        <v>90000</v>
      </c>
      <c r="J10" s="5">
        <v>1714</v>
      </c>
      <c r="K10" s="15">
        <f t="shared" ref="K10:K14" si="10">L10</f>
        <v>1714</v>
      </c>
      <c r="L10" s="15">
        <f>857*2</f>
        <v>1714</v>
      </c>
      <c r="M10" s="15">
        <f t="shared" si="1"/>
        <v>1714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>
        <v>20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0.16666666666666666</v>
      </c>
      <c r="AD10" s="10">
        <f>AC10*AB10*(1-O10)</f>
        <v>0.16666666666666666</v>
      </c>
      <c r="AE10" s="36">
        <f t="shared" si="8"/>
        <v>0.375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220</v>
      </c>
      <c r="D11" s="52" t="s">
        <v>427</v>
      </c>
      <c r="E11" s="53" t="s">
        <v>428</v>
      </c>
      <c r="F11" s="30" t="s">
        <v>122</v>
      </c>
      <c r="G11" s="33" t="s">
        <v>415</v>
      </c>
      <c r="H11" s="35">
        <v>20</v>
      </c>
      <c r="I11" s="7">
        <v>30000</v>
      </c>
      <c r="J11" s="14">
        <v>3140</v>
      </c>
      <c r="K11" s="15">
        <f>L11</f>
        <v>3140</v>
      </c>
      <c r="L11" s="15">
        <f>207+2933</f>
        <v>3140</v>
      </c>
      <c r="M11" s="15">
        <f t="shared" si="1"/>
        <v>3140</v>
      </c>
      <c r="N11" s="15">
        <v>0</v>
      </c>
      <c r="O11" s="58">
        <f t="shared" si="2"/>
        <v>0</v>
      </c>
      <c r="P11" s="39">
        <f t="shared" si="3"/>
        <v>18</v>
      </c>
      <c r="Q11" s="40">
        <f t="shared" si="4"/>
        <v>6</v>
      </c>
      <c r="R11" s="7"/>
      <c r="S11" s="6">
        <v>6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0.75</v>
      </c>
      <c r="AD11" s="10">
        <f t="shared" si="7"/>
        <v>0.75</v>
      </c>
      <c r="AE11" s="36">
        <f t="shared" si="8"/>
        <v>0.375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433</v>
      </c>
      <c r="F12" s="30" t="s">
        <v>135</v>
      </c>
      <c r="G12" s="33">
        <v>1</v>
      </c>
      <c r="H12" s="35">
        <v>20</v>
      </c>
      <c r="I12" s="7">
        <v>300</v>
      </c>
      <c r="J12" s="14">
        <v>377</v>
      </c>
      <c r="K12" s="15">
        <f>L12</f>
        <v>377</v>
      </c>
      <c r="L12" s="15">
        <f>377</f>
        <v>377</v>
      </c>
      <c r="M12" s="15">
        <f t="shared" si="1"/>
        <v>377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 t="shared" si="7"/>
        <v>0.16666666666666666</v>
      </c>
      <c r="AE12" s="36">
        <f t="shared" si="8"/>
        <v>0.375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434</v>
      </c>
      <c r="E13" s="53" t="s">
        <v>435</v>
      </c>
      <c r="F13" s="30" t="s">
        <v>124</v>
      </c>
      <c r="G13" s="33">
        <v>1</v>
      </c>
      <c r="H13" s="35">
        <v>24</v>
      </c>
      <c r="I13" s="7">
        <v>3000</v>
      </c>
      <c r="J13" s="14">
        <v>3170</v>
      </c>
      <c r="K13" s="15">
        <f>L13</f>
        <v>3170</v>
      </c>
      <c r="L13" s="15">
        <f>1528+1642</f>
        <v>3170</v>
      </c>
      <c r="M13" s="15">
        <f t="shared" si="1"/>
        <v>3170</v>
      </c>
      <c r="N13" s="15">
        <v>0</v>
      </c>
      <c r="O13" s="58">
        <f t="shared" si="2"/>
        <v>0</v>
      </c>
      <c r="P13" s="39">
        <f t="shared" si="3"/>
        <v>20</v>
      </c>
      <c r="Q13" s="40">
        <f t="shared" si="4"/>
        <v>4</v>
      </c>
      <c r="R13" s="7"/>
      <c r="S13" s="6"/>
      <c r="T13" s="16">
        <v>4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0.83333333333333337</v>
      </c>
      <c r="AD13" s="10">
        <f t="shared" si="7"/>
        <v>0.83333333333333337</v>
      </c>
      <c r="AE13" s="36">
        <f t="shared" si="8"/>
        <v>0.375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 t="shared" si="10"/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0.375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2918</v>
      </c>
      <c r="K15" s="15">
        <f>L15+1910+2918</f>
        <v>4828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0.375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220</v>
      </c>
      <c r="D16" s="52" t="s">
        <v>119</v>
      </c>
      <c r="E16" s="53" t="s">
        <v>426</v>
      </c>
      <c r="F16" s="30" t="s">
        <v>236</v>
      </c>
      <c r="G16" s="12">
        <v>1</v>
      </c>
      <c r="H16" s="13">
        <v>28</v>
      </c>
      <c r="I16" s="7">
        <v>15000</v>
      </c>
      <c r="J16" s="14">
        <v>4781</v>
      </c>
      <c r="K16" s="15">
        <f>L16</f>
        <v>4781</v>
      </c>
      <c r="L16" s="15">
        <f>2094+2687</f>
        <v>4781</v>
      </c>
      <c r="M16" s="15">
        <f t="shared" si="1"/>
        <v>4781</v>
      </c>
      <c r="N16" s="15">
        <v>0</v>
      </c>
      <c r="O16" s="58">
        <f t="shared" si="2"/>
        <v>0</v>
      </c>
      <c r="P16" s="39">
        <f t="shared" si="3"/>
        <v>23</v>
      </c>
      <c r="Q16" s="40">
        <f t="shared" si="4"/>
        <v>1</v>
      </c>
      <c r="R16" s="7"/>
      <c r="S16" s="6"/>
      <c r="T16" s="16">
        <v>1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0.95833333333333337</v>
      </c>
      <c r="AD16" s="10">
        <f t="shared" si="7"/>
        <v>0.95833333333333337</v>
      </c>
      <c r="AE16" s="36">
        <f t="shared" si="8"/>
        <v>0.375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206</v>
      </c>
      <c r="D17" s="52" t="s">
        <v>390</v>
      </c>
      <c r="E17" s="53" t="s">
        <v>384</v>
      </c>
      <c r="F17" s="30" t="s">
        <v>145</v>
      </c>
      <c r="G17" s="33">
        <v>1</v>
      </c>
      <c r="H17" s="35">
        <v>20</v>
      </c>
      <c r="I17" s="7">
        <v>5000</v>
      </c>
      <c r="J17" s="14">
        <v>2167</v>
      </c>
      <c r="K17" s="15">
        <f>L17+3122+2167</f>
        <v>5289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0.375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125</v>
      </c>
      <c r="D18" s="52" t="s">
        <v>361</v>
      </c>
      <c r="E18" s="53" t="s">
        <v>362</v>
      </c>
      <c r="F18" s="30" t="s">
        <v>197</v>
      </c>
      <c r="G18" s="33">
        <v>1</v>
      </c>
      <c r="H18" s="35">
        <v>24</v>
      </c>
      <c r="I18" s="7">
        <v>32000</v>
      </c>
      <c r="J18" s="5">
        <v>891</v>
      </c>
      <c r="K18" s="15">
        <f>L18+3263+5115+1172+2487+4864+4838</f>
        <v>22630</v>
      </c>
      <c r="L18" s="15">
        <f>499+392</f>
        <v>891</v>
      </c>
      <c r="M18" s="15">
        <f t="shared" si="1"/>
        <v>891</v>
      </c>
      <c r="N18" s="15">
        <v>0</v>
      </c>
      <c r="O18" s="58">
        <f t="shared" si="2"/>
        <v>0</v>
      </c>
      <c r="P18" s="39">
        <f t="shared" si="3"/>
        <v>5</v>
      </c>
      <c r="Q18" s="40">
        <f t="shared" si="4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0.20833333333333334</v>
      </c>
      <c r="AD18" s="10">
        <f>AC18*AB18*(1-O18)</f>
        <v>0.20833333333333334</v>
      </c>
      <c r="AE18" s="36">
        <f t="shared" si="8"/>
        <v>0.375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120000</v>
      </c>
      <c r="J19" s="5">
        <v>3402</v>
      </c>
      <c r="K19" s="15">
        <f>L19+4376+4932+3746+2629+4823+3796+4027+5078+3986+4575+4282+4124+5194+424+2663+4223+4771+2984+1155+2915</f>
        <v>78105</v>
      </c>
      <c r="L19" s="15">
        <f>1222+2180</f>
        <v>3402</v>
      </c>
      <c r="M19" s="15">
        <f t="shared" si="1"/>
        <v>3402</v>
      </c>
      <c r="N19" s="15">
        <v>0</v>
      </c>
      <c r="O19" s="58">
        <f t="shared" si="2"/>
        <v>0</v>
      </c>
      <c r="P19" s="39">
        <f t="shared" si="3"/>
        <v>20</v>
      </c>
      <c r="Q19" s="40">
        <f t="shared" si="4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0.83333333333333337</v>
      </c>
      <c r="AD19" s="10">
        <f t="shared" ref="AD19" si="11">AC19*AB19*(1-O19)</f>
        <v>0.83333333333333337</v>
      </c>
      <c r="AE19" s="36">
        <f t="shared" ref="AE19" si="12">$AD$20</f>
        <v>0.83333333333333337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436</v>
      </c>
      <c r="F20" s="12" t="s">
        <v>116</v>
      </c>
      <c r="G20" s="12">
        <v>4</v>
      </c>
      <c r="H20" s="35">
        <v>20</v>
      </c>
      <c r="I20" s="7">
        <v>300000</v>
      </c>
      <c r="J20" s="14">
        <v>59648</v>
      </c>
      <c r="K20" s="15">
        <f>L20</f>
        <v>59648</v>
      </c>
      <c r="L20" s="15">
        <f>10433*4+4479*4</f>
        <v>59648</v>
      </c>
      <c r="M20" s="15">
        <f t="shared" si="1"/>
        <v>59648</v>
      </c>
      <c r="N20" s="15">
        <v>0</v>
      </c>
      <c r="O20" s="58">
        <f t="shared" si="2"/>
        <v>0</v>
      </c>
      <c r="P20" s="39">
        <f t="shared" si="3"/>
        <v>20</v>
      </c>
      <c r="Q20" s="40">
        <f t="shared" si="4"/>
        <v>4</v>
      </c>
      <c r="R20" s="7"/>
      <c r="S20" s="6"/>
      <c r="T20" s="16"/>
      <c r="U20" s="16"/>
      <c r="V20" s="17">
        <v>4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0.83333333333333337</v>
      </c>
      <c r="AD20" s="10">
        <f t="shared" si="7"/>
        <v>0.83333333333333337</v>
      </c>
      <c r="AE20" s="36">
        <f>$AD$21</f>
        <v>0.375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3">SUM(I6:I20)</f>
        <v>671900</v>
      </c>
      <c r="J21" s="19">
        <f t="shared" si="13"/>
        <v>87612</v>
      </c>
      <c r="K21" s="20">
        <f t="shared" si="13"/>
        <v>220467</v>
      </c>
      <c r="L21" s="21">
        <f t="shared" si="13"/>
        <v>80335</v>
      </c>
      <c r="M21" s="20">
        <f t="shared" si="13"/>
        <v>80335</v>
      </c>
      <c r="N21" s="21">
        <f t="shared" si="13"/>
        <v>0</v>
      </c>
      <c r="O21" s="41">
        <f t="shared" si="2"/>
        <v>0</v>
      </c>
      <c r="P21" s="42">
        <f t="shared" ref="P21:AA21" si="14">SUM(P6:P20)</f>
        <v>135</v>
      </c>
      <c r="Q21" s="43">
        <f t="shared" si="14"/>
        <v>225</v>
      </c>
      <c r="R21" s="23">
        <f t="shared" si="14"/>
        <v>44</v>
      </c>
      <c r="S21" s="24">
        <f t="shared" si="14"/>
        <v>36</v>
      </c>
      <c r="T21" s="24">
        <f t="shared" si="14"/>
        <v>5</v>
      </c>
      <c r="U21" s="24">
        <f t="shared" si="14"/>
        <v>0</v>
      </c>
      <c r="V21" s="25">
        <f t="shared" si="14"/>
        <v>28</v>
      </c>
      <c r="W21" s="26">
        <f t="shared" si="14"/>
        <v>88</v>
      </c>
      <c r="X21" s="27">
        <f t="shared" si="14"/>
        <v>0</v>
      </c>
      <c r="Y21" s="27">
        <f t="shared" si="14"/>
        <v>0</v>
      </c>
      <c r="Z21" s="27">
        <f t="shared" si="14"/>
        <v>0</v>
      </c>
      <c r="AA21" s="27">
        <f t="shared" si="14"/>
        <v>24</v>
      </c>
      <c r="AB21" s="28">
        <f>SUM(AB6:AB20)/15</f>
        <v>0.66666666666666663</v>
      </c>
      <c r="AC21" s="4">
        <f>SUM(AC6:AC20)/15</f>
        <v>0.375</v>
      </c>
      <c r="AD21" s="4">
        <f>SUM(AD6:AD20)/15</f>
        <v>0.375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437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440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300" t="s">
        <v>46</v>
      </c>
      <c r="D50" s="300" t="s">
        <v>47</v>
      </c>
      <c r="E50" s="300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300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220</v>
      </c>
      <c r="B51" s="420"/>
      <c r="C51" s="298" t="s">
        <v>171</v>
      </c>
      <c r="D51" s="298" t="s">
        <v>407</v>
      </c>
      <c r="E51" s="298" t="s">
        <v>404</v>
      </c>
      <c r="F51" s="421" t="s">
        <v>438</v>
      </c>
      <c r="G51" s="422"/>
      <c r="H51" s="422"/>
      <c r="I51" s="422"/>
      <c r="J51" s="422"/>
      <c r="K51" s="422"/>
      <c r="L51" s="422"/>
      <c r="M51" s="423"/>
      <c r="N51" s="297" t="s">
        <v>220</v>
      </c>
      <c r="O51" s="295" t="s">
        <v>171</v>
      </c>
      <c r="P51" s="433" t="s">
        <v>407</v>
      </c>
      <c r="Q51" s="434"/>
      <c r="R51" s="420" t="s">
        <v>404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298" t="s">
        <v>230</v>
      </c>
      <c r="D52" s="298" t="s">
        <v>117</v>
      </c>
      <c r="E52" s="298" t="s">
        <v>144</v>
      </c>
      <c r="F52" s="421" t="s">
        <v>402</v>
      </c>
      <c r="G52" s="422"/>
      <c r="H52" s="422"/>
      <c r="I52" s="422"/>
      <c r="J52" s="422"/>
      <c r="K52" s="422"/>
      <c r="L52" s="422"/>
      <c r="M52" s="423"/>
      <c r="N52" s="297" t="s">
        <v>125</v>
      </c>
      <c r="O52" s="295" t="s">
        <v>132</v>
      </c>
      <c r="P52" s="433" t="s">
        <v>361</v>
      </c>
      <c r="Q52" s="434"/>
      <c r="R52" s="420" t="s">
        <v>362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298" t="s">
        <v>168</v>
      </c>
      <c r="D53" s="298" t="s">
        <v>117</v>
      </c>
      <c r="E53" s="298" t="s">
        <v>319</v>
      </c>
      <c r="F53" s="421" t="s">
        <v>127</v>
      </c>
      <c r="G53" s="422"/>
      <c r="H53" s="422"/>
      <c r="I53" s="422"/>
      <c r="J53" s="422"/>
      <c r="K53" s="422"/>
      <c r="L53" s="422"/>
      <c r="M53" s="423"/>
      <c r="N53" s="297" t="s">
        <v>114</v>
      </c>
      <c r="O53" s="295" t="s">
        <v>134</v>
      </c>
      <c r="P53" s="433" t="s">
        <v>117</v>
      </c>
      <c r="Q53" s="434"/>
      <c r="R53" s="420" t="s">
        <v>118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298" t="s">
        <v>292</v>
      </c>
      <c r="D54" s="298" t="s">
        <v>123</v>
      </c>
      <c r="E54" s="298" t="s">
        <v>143</v>
      </c>
      <c r="F54" s="421" t="s">
        <v>402</v>
      </c>
      <c r="G54" s="422"/>
      <c r="H54" s="422"/>
      <c r="I54" s="422"/>
      <c r="J54" s="422"/>
      <c r="K54" s="422"/>
      <c r="L54" s="422"/>
      <c r="M54" s="423"/>
      <c r="N54" s="297"/>
      <c r="O54" s="295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220</v>
      </c>
      <c r="B55" s="420"/>
      <c r="C55" s="298" t="s">
        <v>201</v>
      </c>
      <c r="D55" s="298" t="s">
        <v>427</v>
      </c>
      <c r="E55" s="298" t="s">
        <v>404</v>
      </c>
      <c r="F55" s="421" t="s">
        <v>439</v>
      </c>
      <c r="G55" s="422"/>
      <c r="H55" s="422"/>
      <c r="I55" s="422"/>
      <c r="J55" s="422"/>
      <c r="K55" s="422"/>
      <c r="L55" s="422"/>
      <c r="M55" s="423"/>
      <c r="N55" s="297"/>
      <c r="O55" s="295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98" t="s">
        <v>134</v>
      </c>
      <c r="D56" s="298" t="s">
        <v>117</v>
      </c>
      <c r="E56" s="298" t="s">
        <v>433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297"/>
      <c r="O56" s="295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220</v>
      </c>
      <c r="B57" s="420"/>
      <c r="C57" s="298" t="s">
        <v>182</v>
      </c>
      <c r="D57" s="298" t="s">
        <v>119</v>
      </c>
      <c r="E57" s="298" t="s">
        <v>426</v>
      </c>
      <c r="F57" s="421" t="s">
        <v>121</v>
      </c>
      <c r="G57" s="422"/>
      <c r="H57" s="422"/>
      <c r="I57" s="422"/>
      <c r="J57" s="422"/>
      <c r="K57" s="422"/>
      <c r="L57" s="422"/>
      <c r="M57" s="423"/>
      <c r="N57" s="297"/>
      <c r="O57" s="29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125</v>
      </c>
      <c r="B58" s="420"/>
      <c r="C58" s="298" t="s">
        <v>132</v>
      </c>
      <c r="D58" s="298" t="s">
        <v>361</v>
      </c>
      <c r="E58" s="298" t="s">
        <v>362</v>
      </c>
      <c r="F58" s="421" t="s">
        <v>295</v>
      </c>
      <c r="G58" s="422"/>
      <c r="H58" s="422"/>
      <c r="I58" s="422"/>
      <c r="J58" s="422"/>
      <c r="K58" s="422"/>
      <c r="L58" s="422"/>
      <c r="M58" s="423"/>
      <c r="N58" s="297"/>
      <c r="O58" s="29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98"/>
      <c r="D59" s="298"/>
      <c r="E59" s="298"/>
      <c r="F59" s="421"/>
      <c r="G59" s="422"/>
      <c r="H59" s="422"/>
      <c r="I59" s="422"/>
      <c r="J59" s="422"/>
      <c r="K59" s="422"/>
      <c r="L59" s="422"/>
      <c r="M59" s="423"/>
      <c r="N59" s="297"/>
      <c r="O59" s="295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99"/>
      <c r="D60" s="299"/>
      <c r="E60" s="299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441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96" t="s">
        <v>2</v>
      </c>
      <c r="D62" s="296" t="s">
        <v>37</v>
      </c>
      <c r="E62" s="296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96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91"/>
      <c r="E63" s="294" t="s">
        <v>165</v>
      </c>
      <c r="F63" s="408" t="s">
        <v>304</v>
      </c>
      <c r="G63" s="400"/>
      <c r="H63" s="400"/>
      <c r="I63" s="400"/>
      <c r="J63" s="400"/>
      <c r="K63" s="400" t="s">
        <v>158</v>
      </c>
      <c r="L63" s="400"/>
      <c r="M63" s="51" t="s">
        <v>332</v>
      </c>
      <c r="N63" s="411" t="s">
        <v>228</v>
      </c>
      <c r="O63" s="411"/>
      <c r="P63" s="409"/>
      <c r="Q63" s="409"/>
      <c r="R63" s="410" t="s">
        <v>442</v>
      </c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206</v>
      </c>
      <c r="D64" s="291"/>
      <c r="E64" s="294" t="s">
        <v>133</v>
      </c>
      <c r="F64" s="408" t="s">
        <v>445</v>
      </c>
      <c r="G64" s="400"/>
      <c r="H64" s="400"/>
      <c r="I64" s="400"/>
      <c r="J64" s="400"/>
      <c r="K64" s="400" t="s">
        <v>253</v>
      </c>
      <c r="L64" s="400"/>
      <c r="M64" s="51" t="s">
        <v>136</v>
      </c>
      <c r="N64" s="411" t="s">
        <v>299</v>
      </c>
      <c r="O64" s="411"/>
      <c r="P64" s="409"/>
      <c r="Q64" s="409"/>
      <c r="R64" s="410" t="s">
        <v>446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 t="s">
        <v>114</v>
      </c>
      <c r="D65" s="291"/>
      <c r="E65" s="294" t="s">
        <v>444</v>
      </c>
      <c r="F65" s="408" t="s">
        <v>443</v>
      </c>
      <c r="G65" s="400"/>
      <c r="H65" s="400"/>
      <c r="I65" s="400"/>
      <c r="J65" s="400"/>
      <c r="K65" s="400" t="s">
        <v>236</v>
      </c>
      <c r="L65" s="400"/>
      <c r="M65" s="51" t="s">
        <v>332</v>
      </c>
      <c r="N65" s="411" t="s">
        <v>168</v>
      </c>
      <c r="O65" s="411"/>
      <c r="P65" s="409">
        <v>250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 t="s">
        <v>206</v>
      </c>
      <c r="D66" s="291"/>
      <c r="E66" s="294" t="s">
        <v>123</v>
      </c>
      <c r="F66" s="408" t="s">
        <v>447</v>
      </c>
      <c r="G66" s="400"/>
      <c r="H66" s="400"/>
      <c r="I66" s="400"/>
      <c r="J66" s="400"/>
      <c r="K66" s="400" t="s">
        <v>448</v>
      </c>
      <c r="L66" s="400"/>
      <c r="M66" s="51" t="s">
        <v>136</v>
      </c>
      <c r="N66" s="411" t="s">
        <v>134</v>
      </c>
      <c r="O66" s="411"/>
      <c r="P66" s="409">
        <v>100</v>
      </c>
      <c r="Q66" s="409"/>
      <c r="R66" s="410" t="s">
        <v>449</v>
      </c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91"/>
      <c r="E67" s="294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91"/>
      <c r="E68" s="294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91"/>
      <c r="E69" s="294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91"/>
      <c r="E70" s="294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450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93" t="s">
        <v>2</v>
      </c>
      <c r="D72" s="293" t="s">
        <v>37</v>
      </c>
      <c r="E72" s="293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92" t="s">
        <v>114</v>
      </c>
      <c r="D73" s="292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91"/>
      <c r="D74" s="291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5">A74+1</f>
        <v>3</v>
      </c>
      <c r="B75" s="368"/>
      <c r="C75" s="291"/>
      <c r="D75" s="29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5"/>
        <v>4</v>
      </c>
      <c r="B76" s="368"/>
      <c r="C76" s="291"/>
      <c r="D76" s="29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5"/>
        <v>5</v>
      </c>
      <c r="B77" s="368"/>
      <c r="C77" s="291"/>
      <c r="D77" s="29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5"/>
        <v>6</v>
      </c>
      <c r="B78" s="368"/>
      <c r="C78" s="291"/>
      <c r="D78" s="29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5"/>
        <v>7</v>
      </c>
      <c r="B79" s="368"/>
      <c r="C79" s="291"/>
      <c r="D79" s="29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5"/>
        <v>8</v>
      </c>
      <c r="B80" s="368"/>
      <c r="C80" s="291"/>
      <c r="D80" s="29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5"/>
        <v>9</v>
      </c>
      <c r="B81" s="368"/>
      <c r="C81" s="291"/>
      <c r="D81" s="29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451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B18A-2A17-4653-A3C1-CB9121EB8919}">
  <dimension ref="A1:AF86"/>
  <sheetViews>
    <sheetView topLeftCell="A16"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452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02" t="s">
        <v>17</v>
      </c>
      <c r="L5" s="302" t="s">
        <v>18</v>
      </c>
      <c r="M5" s="302" t="s">
        <v>19</v>
      </c>
      <c r="N5" s="3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0.40833333333333333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0.40833333333333333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5851</v>
      </c>
      <c r="K8" s="15">
        <f>L8+4982+5992+5775+4932+2901</f>
        <v>30433</v>
      </c>
      <c r="L8" s="15">
        <f>3065+2786</f>
        <v>5851</v>
      </c>
      <c r="M8" s="15">
        <f t="shared" si="1"/>
        <v>5851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0.40833333333333333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319</v>
      </c>
      <c r="F9" s="30" t="s">
        <v>135</v>
      </c>
      <c r="G9" s="33">
        <v>1</v>
      </c>
      <c r="H9" s="35">
        <v>24</v>
      </c>
      <c r="I9" s="7">
        <v>600</v>
      </c>
      <c r="J9" s="14">
        <v>311</v>
      </c>
      <c r="K9" s="15">
        <f>L9+344+311</f>
        <v>655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0.40833333333333333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220</v>
      </c>
      <c r="D10" s="52" t="s">
        <v>412</v>
      </c>
      <c r="E10" s="53" t="s">
        <v>404</v>
      </c>
      <c r="F10" s="30" t="s">
        <v>122</v>
      </c>
      <c r="G10" s="33">
        <v>2</v>
      </c>
      <c r="H10" s="35">
        <v>24</v>
      </c>
      <c r="I10" s="7">
        <v>90000</v>
      </c>
      <c r="J10" s="5">
        <v>13656</v>
      </c>
      <c r="K10" s="15">
        <f>L10+1714</f>
        <v>15370</v>
      </c>
      <c r="L10" s="15">
        <f>4313*2+2515*2</f>
        <v>13656</v>
      </c>
      <c r="M10" s="15">
        <f t="shared" si="1"/>
        <v>13656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>
        <v>3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0.40833333333333333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220</v>
      </c>
      <c r="D11" s="52" t="s">
        <v>427</v>
      </c>
      <c r="E11" s="53" t="s">
        <v>428</v>
      </c>
      <c r="F11" s="30" t="s">
        <v>122</v>
      </c>
      <c r="G11" s="33" t="s">
        <v>415</v>
      </c>
      <c r="H11" s="35">
        <v>20</v>
      </c>
      <c r="I11" s="7">
        <v>30000</v>
      </c>
      <c r="J11" s="14">
        <v>4571</v>
      </c>
      <c r="K11" s="15">
        <f>L11+3140</f>
        <v>7711</v>
      </c>
      <c r="L11" s="15">
        <f>3296+1275</f>
        <v>4571</v>
      </c>
      <c r="M11" s="15">
        <f t="shared" si="1"/>
        <v>4571</v>
      </c>
      <c r="N11" s="15">
        <v>0</v>
      </c>
      <c r="O11" s="58">
        <f t="shared" si="2"/>
        <v>0</v>
      </c>
      <c r="P11" s="39">
        <f t="shared" si="3"/>
        <v>20</v>
      </c>
      <c r="Q11" s="40">
        <f t="shared" si="4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0.83333333333333337</v>
      </c>
      <c r="AD11" s="10">
        <f t="shared" si="7"/>
        <v>0.83333333333333337</v>
      </c>
      <c r="AE11" s="36">
        <f t="shared" si="8"/>
        <v>0.40833333333333333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122</v>
      </c>
      <c r="G12" s="33">
        <v>1</v>
      </c>
      <c r="H12" s="35">
        <v>20</v>
      </c>
      <c r="I12" s="7">
        <v>15000</v>
      </c>
      <c r="J12" s="14">
        <v>4890</v>
      </c>
      <c r="K12" s="15">
        <f>L12</f>
        <v>4890</v>
      </c>
      <c r="L12" s="15">
        <f>2196+2694</f>
        <v>4890</v>
      </c>
      <c r="M12" s="15">
        <f t="shared" si="1"/>
        <v>4890</v>
      </c>
      <c r="N12" s="15">
        <v>0</v>
      </c>
      <c r="O12" s="58">
        <f t="shared" si="2"/>
        <v>0</v>
      </c>
      <c r="P12" s="39">
        <f t="shared" si="3"/>
        <v>23</v>
      </c>
      <c r="Q12" s="40">
        <f t="shared" si="4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0.95833333333333337</v>
      </c>
      <c r="AD12" s="10">
        <f t="shared" si="7"/>
        <v>0.95833333333333337</v>
      </c>
      <c r="AE12" s="36">
        <f t="shared" si="8"/>
        <v>0.40833333333333333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434</v>
      </c>
      <c r="E13" s="53" t="s">
        <v>435</v>
      </c>
      <c r="F13" s="30" t="s">
        <v>124</v>
      </c>
      <c r="G13" s="33">
        <v>1</v>
      </c>
      <c r="H13" s="35">
        <v>24</v>
      </c>
      <c r="I13" s="7">
        <v>3000</v>
      </c>
      <c r="J13" s="14">
        <v>3170</v>
      </c>
      <c r="K13" s="15">
        <f>L13+3170</f>
        <v>3170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0.40833333333333333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 t="shared" ref="K14" si="10"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0.40833333333333333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220</v>
      </c>
      <c r="D15" s="52"/>
      <c r="E15" s="53" t="s">
        <v>347</v>
      </c>
      <c r="F15" s="12" t="s">
        <v>222</v>
      </c>
      <c r="G15" s="12">
        <v>1</v>
      </c>
      <c r="H15" s="13">
        <v>24</v>
      </c>
      <c r="I15" s="31">
        <v>2000</v>
      </c>
      <c r="J15" s="14">
        <v>2918</v>
      </c>
      <c r="K15" s="15">
        <f>L15+1910+2918</f>
        <v>4828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0.40833333333333333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220</v>
      </c>
      <c r="D16" s="52" t="s">
        <v>119</v>
      </c>
      <c r="E16" s="53" t="s">
        <v>426</v>
      </c>
      <c r="F16" s="30" t="s">
        <v>236</v>
      </c>
      <c r="G16" s="12">
        <v>1</v>
      </c>
      <c r="H16" s="13">
        <v>28</v>
      </c>
      <c r="I16" s="7">
        <v>15000</v>
      </c>
      <c r="J16" s="14">
        <v>4959</v>
      </c>
      <c r="K16" s="15">
        <f>L16+4781</f>
        <v>9740</v>
      </c>
      <c r="L16" s="15">
        <f>2816+2143</f>
        <v>4959</v>
      </c>
      <c r="M16" s="15">
        <f t="shared" si="1"/>
        <v>4959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0.40833333333333333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206</v>
      </c>
      <c r="D17" s="52" t="s">
        <v>390</v>
      </c>
      <c r="E17" s="53" t="s">
        <v>384</v>
      </c>
      <c r="F17" s="30" t="s">
        <v>145</v>
      </c>
      <c r="G17" s="33">
        <v>1</v>
      </c>
      <c r="H17" s="35">
        <v>20</v>
      </c>
      <c r="I17" s="7">
        <v>5000</v>
      </c>
      <c r="J17" s="14">
        <v>2167</v>
      </c>
      <c r="K17" s="15">
        <f>L17+3122+2167</f>
        <v>5289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0.40833333333333333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125</v>
      </c>
      <c r="D18" s="52" t="s">
        <v>361</v>
      </c>
      <c r="E18" s="53" t="s">
        <v>362</v>
      </c>
      <c r="F18" s="30" t="s">
        <v>197</v>
      </c>
      <c r="G18" s="33">
        <v>1</v>
      </c>
      <c r="H18" s="35">
        <v>24</v>
      </c>
      <c r="I18" s="7">
        <v>32000</v>
      </c>
      <c r="J18" s="5">
        <v>1216</v>
      </c>
      <c r="K18" s="15">
        <f>L18+3263+5115+1172+2487+4864+4838+891</f>
        <v>23846</v>
      </c>
      <c r="L18" s="15">
        <f>1216</f>
        <v>1216</v>
      </c>
      <c r="M18" s="15">
        <f t="shared" si="1"/>
        <v>1216</v>
      </c>
      <c r="N18" s="15">
        <v>0</v>
      </c>
      <c r="O18" s="58">
        <f t="shared" si="2"/>
        <v>0</v>
      </c>
      <c r="P18" s="39">
        <f t="shared" si="3"/>
        <v>8</v>
      </c>
      <c r="Q18" s="40">
        <f t="shared" si="4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0.33333333333333331</v>
      </c>
      <c r="AD18" s="10">
        <f>AC18*AB18*(1-O18)</f>
        <v>0.33333333333333331</v>
      </c>
      <c r="AE18" s="36">
        <f t="shared" si="8"/>
        <v>0.40833333333333333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120000</v>
      </c>
      <c r="J19" s="5">
        <v>2253</v>
      </c>
      <c r="K19" s="15">
        <f>L19+4376+4932+3746+2629+4823+3796+4027+5078+3986+4575+4282+4124+5194+424+2663+4223+4771+2984+1155+2915+3402</f>
        <v>80358</v>
      </c>
      <c r="L19" s="15">
        <f>2253</f>
        <v>2253</v>
      </c>
      <c r="M19" s="15">
        <f t="shared" si="1"/>
        <v>2253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>
        <v>11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 t="shared" ref="AD19" si="11">AC19*AB19*(1-O19)</f>
        <v>0.54166666666666663</v>
      </c>
      <c r="AE19" s="36">
        <f t="shared" ref="AE19" si="12">$AD$20</f>
        <v>0.58333333333333337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41444</v>
      </c>
      <c r="K20" s="15">
        <f>L20</f>
        <v>41444</v>
      </c>
      <c r="L20" s="15">
        <f>10361*4</f>
        <v>41444</v>
      </c>
      <c r="M20" s="15">
        <f t="shared" si="1"/>
        <v>41444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>$AD$21</f>
        <v>0.40833333333333333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3">SUM(I6:I20)</f>
        <v>686600</v>
      </c>
      <c r="J21" s="19">
        <f t="shared" si="13"/>
        <v>89598</v>
      </c>
      <c r="K21" s="20">
        <f t="shared" si="13"/>
        <v>239282</v>
      </c>
      <c r="L21" s="21">
        <f t="shared" si="13"/>
        <v>78840</v>
      </c>
      <c r="M21" s="20">
        <f t="shared" si="13"/>
        <v>78840</v>
      </c>
      <c r="N21" s="21">
        <f t="shared" si="13"/>
        <v>0</v>
      </c>
      <c r="O21" s="41">
        <f t="shared" si="2"/>
        <v>0</v>
      </c>
      <c r="P21" s="42">
        <f t="shared" ref="P21:AA21" si="14">SUM(P6:P20)</f>
        <v>147</v>
      </c>
      <c r="Q21" s="43">
        <f t="shared" si="14"/>
        <v>213</v>
      </c>
      <c r="R21" s="23">
        <f t="shared" si="14"/>
        <v>27</v>
      </c>
      <c r="S21" s="24">
        <f t="shared" si="14"/>
        <v>31</v>
      </c>
      <c r="T21" s="24">
        <f t="shared" si="14"/>
        <v>1</v>
      </c>
      <c r="U21" s="24">
        <f t="shared" si="14"/>
        <v>0</v>
      </c>
      <c r="V21" s="25">
        <f t="shared" si="14"/>
        <v>34</v>
      </c>
      <c r="W21" s="26">
        <f t="shared" si="14"/>
        <v>96</v>
      </c>
      <c r="X21" s="27">
        <f t="shared" si="14"/>
        <v>0</v>
      </c>
      <c r="Y21" s="27">
        <f t="shared" si="14"/>
        <v>0</v>
      </c>
      <c r="Z21" s="27">
        <f t="shared" si="14"/>
        <v>0</v>
      </c>
      <c r="AA21" s="27">
        <f t="shared" si="14"/>
        <v>24</v>
      </c>
      <c r="AB21" s="28">
        <f>SUM(AB6:AB20)/15</f>
        <v>0.53333333333333333</v>
      </c>
      <c r="AC21" s="4">
        <f>SUM(AC6:AC20)/15</f>
        <v>0.40833333333333333</v>
      </c>
      <c r="AD21" s="4">
        <f>SUM(AD6:AD20)/15</f>
        <v>0.40833333333333333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453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457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303" t="s">
        <v>46</v>
      </c>
      <c r="D50" s="303" t="s">
        <v>47</v>
      </c>
      <c r="E50" s="303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303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220</v>
      </c>
      <c r="B51" s="420"/>
      <c r="C51" s="305" t="s">
        <v>171</v>
      </c>
      <c r="D51" s="305" t="s">
        <v>407</v>
      </c>
      <c r="E51" s="305" t="s">
        <v>404</v>
      </c>
      <c r="F51" s="421" t="s">
        <v>127</v>
      </c>
      <c r="G51" s="422"/>
      <c r="H51" s="422"/>
      <c r="I51" s="422"/>
      <c r="J51" s="422"/>
      <c r="K51" s="422"/>
      <c r="L51" s="422"/>
      <c r="M51" s="423"/>
      <c r="N51" s="304" t="s">
        <v>220</v>
      </c>
      <c r="O51" s="309" t="s">
        <v>201</v>
      </c>
      <c r="P51" s="433" t="s">
        <v>427</v>
      </c>
      <c r="Q51" s="434"/>
      <c r="R51" s="420" t="s">
        <v>428</v>
      </c>
      <c r="S51" s="420"/>
      <c r="T51" s="420"/>
      <c r="U51" s="420"/>
      <c r="V51" s="410" t="s">
        <v>458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125</v>
      </c>
      <c r="B52" s="420"/>
      <c r="C52" s="305" t="s">
        <v>230</v>
      </c>
      <c r="D52" s="305" t="s">
        <v>117</v>
      </c>
      <c r="E52" s="305" t="s">
        <v>144</v>
      </c>
      <c r="F52" s="421" t="s">
        <v>454</v>
      </c>
      <c r="G52" s="422"/>
      <c r="H52" s="422"/>
      <c r="I52" s="422"/>
      <c r="J52" s="422"/>
      <c r="K52" s="422"/>
      <c r="L52" s="422"/>
      <c r="M52" s="423"/>
      <c r="N52" s="304" t="s">
        <v>125</v>
      </c>
      <c r="O52" s="309" t="s">
        <v>132</v>
      </c>
      <c r="P52" s="433" t="s">
        <v>361</v>
      </c>
      <c r="Q52" s="434"/>
      <c r="R52" s="420" t="s">
        <v>362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220</v>
      </c>
      <c r="B53" s="420"/>
      <c r="C53" s="305" t="s">
        <v>201</v>
      </c>
      <c r="D53" s="305" t="s">
        <v>427</v>
      </c>
      <c r="E53" s="305" t="s">
        <v>404</v>
      </c>
      <c r="F53" s="421" t="s">
        <v>455</v>
      </c>
      <c r="G53" s="422"/>
      <c r="H53" s="422"/>
      <c r="I53" s="422"/>
      <c r="J53" s="422"/>
      <c r="K53" s="422"/>
      <c r="L53" s="422"/>
      <c r="M53" s="423"/>
      <c r="N53" s="304" t="s">
        <v>125</v>
      </c>
      <c r="O53" s="309" t="s">
        <v>168</v>
      </c>
      <c r="P53" s="433" t="s">
        <v>245</v>
      </c>
      <c r="Q53" s="434"/>
      <c r="R53" s="420" t="s">
        <v>459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305" t="s">
        <v>132</v>
      </c>
      <c r="D54" s="305" t="s">
        <v>361</v>
      </c>
      <c r="E54" s="305" t="s">
        <v>362</v>
      </c>
      <c r="F54" s="421" t="s">
        <v>456</v>
      </c>
      <c r="G54" s="422"/>
      <c r="H54" s="422"/>
      <c r="I54" s="422"/>
      <c r="J54" s="422"/>
      <c r="K54" s="422"/>
      <c r="L54" s="422"/>
      <c r="M54" s="423"/>
      <c r="N54" s="304" t="s">
        <v>114</v>
      </c>
      <c r="O54" s="309" t="s">
        <v>129</v>
      </c>
      <c r="P54" s="433" t="s">
        <v>126</v>
      </c>
      <c r="Q54" s="434"/>
      <c r="R54" s="420" t="s">
        <v>460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115</v>
      </c>
      <c r="B55" s="420"/>
      <c r="C55" s="305" t="s">
        <v>139</v>
      </c>
      <c r="D55" s="305"/>
      <c r="E55" s="305" t="s">
        <v>313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304"/>
      <c r="O55" s="309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305"/>
      <c r="D56" s="305"/>
      <c r="E56" s="305"/>
      <c r="F56" s="421"/>
      <c r="G56" s="422"/>
      <c r="H56" s="422"/>
      <c r="I56" s="422"/>
      <c r="J56" s="422"/>
      <c r="K56" s="422"/>
      <c r="L56" s="422"/>
      <c r="M56" s="423"/>
      <c r="N56" s="304"/>
      <c r="O56" s="309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305"/>
      <c r="D57" s="305"/>
      <c r="E57" s="305"/>
      <c r="F57" s="421"/>
      <c r="G57" s="422"/>
      <c r="H57" s="422"/>
      <c r="I57" s="422"/>
      <c r="J57" s="422"/>
      <c r="K57" s="422"/>
      <c r="L57" s="422"/>
      <c r="M57" s="423"/>
      <c r="N57" s="304"/>
      <c r="O57" s="30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305"/>
      <c r="D58" s="305"/>
      <c r="E58" s="305"/>
      <c r="F58" s="421"/>
      <c r="G58" s="422"/>
      <c r="H58" s="422"/>
      <c r="I58" s="422"/>
      <c r="J58" s="422"/>
      <c r="K58" s="422"/>
      <c r="L58" s="422"/>
      <c r="M58" s="423"/>
      <c r="N58" s="304"/>
      <c r="O58" s="30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305"/>
      <c r="D59" s="305"/>
      <c r="E59" s="305"/>
      <c r="F59" s="421"/>
      <c r="G59" s="422"/>
      <c r="H59" s="422"/>
      <c r="I59" s="422"/>
      <c r="J59" s="422"/>
      <c r="K59" s="422"/>
      <c r="L59" s="422"/>
      <c r="M59" s="423"/>
      <c r="N59" s="304"/>
      <c r="O59" s="309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306"/>
      <c r="D60" s="306"/>
      <c r="E60" s="306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461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307" t="s">
        <v>2</v>
      </c>
      <c r="D62" s="307" t="s">
        <v>37</v>
      </c>
      <c r="E62" s="307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307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311"/>
      <c r="E63" s="308" t="s">
        <v>165</v>
      </c>
      <c r="F63" s="408" t="s">
        <v>304</v>
      </c>
      <c r="G63" s="400"/>
      <c r="H63" s="400"/>
      <c r="I63" s="400"/>
      <c r="J63" s="400"/>
      <c r="K63" s="400" t="s">
        <v>158</v>
      </c>
      <c r="L63" s="400"/>
      <c r="M63" s="51" t="s">
        <v>332</v>
      </c>
      <c r="N63" s="411" t="s">
        <v>228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206</v>
      </c>
      <c r="D64" s="311"/>
      <c r="E64" s="308" t="s">
        <v>195</v>
      </c>
      <c r="F64" s="408" t="s">
        <v>462</v>
      </c>
      <c r="G64" s="400"/>
      <c r="H64" s="400"/>
      <c r="I64" s="400"/>
      <c r="J64" s="400"/>
      <c r="K64" s="400" t="s">
        <v>253</v>
      </c>
      <c r="L64" s="400"/>
      <c r="M64" s="51" t="s">
        <v>136</v>
      </c>
      <c r="N64" s="411" t="s">
        <v>228</v>
      </c>
      <c r="O64" s="411"/>
      <c r="P64" s="409">
        <v>100</v>
      </c>
      <c r="Q64" s="409"/>
      <c r="R64" s="410" t="s">
        <v>464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311"/>
      <c r="E65" s="308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311"/>
      <c r="E66" s="30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311"/>
      <c r="E67" s="30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311"/>
      <c r="E68" s="308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311"/>
      <c r="E69" s="308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311"/>
      <c r="E70" s="30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463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310" t="s">
        <v>2</v>
      </c>
      <c r="D72" s="310" t="s">
        <v>37</v>
      </c>
      <c r="E72" s="310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312" t="s">
        <v>114</v>
      </c>
      <c r="D73" s="312"/>
      <c r="E73" s="65" t="s">
        <v>119</v>
      </c>
      <c r="F73" s="389" t="s">
        <v>118</v>
      </c>
      <c r="G73" s="390"/>
      <c r="H73" s="390"/>
      <c r="I73" s="390"/>
      <c r="J73" s="391"/>
      <c r="K73" s="392" t="s">
        <v>120</v>
      </c>
      <c r="L73" s="393"/>
      <c r="M73" s="393"/>
      <c r="N73" s="393"/>
      <c r="O73" s="393"/>
      <c r="P73" s="393"/>
      <c r="Q73" s="393"/>
      <c r="R73" s="393"/>
      <c r="S73" s="394"/>
      <c r="T73" s="395">
        <v>43384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311"/>
      <c r="D74" s="311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5">A74+1</f>
        <v>3</v>
      </c>
      <c r="B75" s="368"/>
      <c r="C75" s="311"/>
      <c r="D75" s="31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5"/>
        <v>4</v>
      </c>
      <c r="B76" s="368"/>
      <c r="C76" s="311"/>
      <c r="D76" s="31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5"/>
        <v>5</v>
      </c>
      <c r="B77" s="368"/>
      <c r="C77" s="311"/>
      <c r="D77" s="31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5"/>
        <v>6</v>
      </c>
      <c r="B78" s="368"/>
      <c r="C78" s="311"/>
      <c r="D78" s="31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5"/>
        <v>7</v>
      </c>
      <c r="B79" s="368"/>
      <c r="C79" s="311"/>
      <c r="D79" s="31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5"/>
        <v>8</v>
      </c>
      <c r="B80" s="368"/>
      <c r="C80" s="311"/>
      <c r="D80" s="31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5"/>
        <v>9</v>
      </c>
      <c r="B81" s="368"/>
      <c r="C81" s="311"/>
      <c r="D81" s="31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465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B732-6193-45C8-90E5-88205263217A}">
  <dimension ref="A1:AF87"/>
  <sheetViews>
    <sheetView zoomScale="72" zoomScaleNormal="72" zoomScaleSheetLayoutView="70" workbookViewId="0">
      <selection activeCell="A12" sqref="A12:XFD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466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02" t="s">
        <v>17</v>
      </c>
      <c r="L5" s="302" t="s">
        <v>18</v>
      </c>
      <c r="M5" s="302" t="s">
        <v>19</v>
      </c>
      <c r="N5" s="3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9" si="8">$AD$22</f>
        <v>0.46944444444444439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0.46944444444444439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5827</v>
      </c>
      <c r="K8" s="15">
        <f>L8+4982+5992+5775+4932+2901+5851</f>
        <v>36260</v>
      </c>
      <c r="L8" s="15">
        <v>5827</v>
      </c>
      <c r="M8" s="15">
        <f t="shared" si="1"/>
        <v>5827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0.46944444444444439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125</v>
      </c>
      <c r="D9" s="52" t="s">
        <v>245</v>
      </c>
      <c r="E9" s="53" t="s">
        <v>459</v>
      </c>
      <c r="F9" s="30" t="s">
        <v>124</v>
      </c>
      <c r="G9" s="33">
        <v>24</v>
      </c>
      <c r="H9" s="35">
        <v>24</v>
      </c>
      <c r="I9" s="7">
        <v>3000</v>
      </c>
      <c r="J9" s="14">
        <v>39024</v>
      </c>
      <c r="K9" s="15">
        <f>L9</f>
        <v>39024</v>
      </c>
      <c r="L9" s="15">
        <f>1626*24</f>
        <v>39024</v>
      </c>
      <c r="M9" s="15">
        <f t="shared" si="1"/>
        <v>39024</v>
      </c>
      <c r="N9" s="15">
        <v>0</v>
      </c>
      <c r="O9" s="58">
        <f t="shared" si="2"/>
        <v>0</v>
      </c>
      <c r="P9" s="39">
        <f t="shared" si="3"/>
        <v>6</v>
      </c>
      <c r="Q9" s="40">
        <f t="shared" si="4"/>
        <v>18</v>
      </c>
      <c r="R9" s="7"/>
      <c r="S9" s="6"/>
      <c r="T9" s="16"/>
      <c r="U9" s="16"/>
      <c r="V9" s="17"/>
      <c r="W9" s="5">
        <v>18</v>
      </c>
      <c r="X9" s="16"/>
      <c r="Y9" s="16"/>
      <c r="Z9" s="16"/>
      <c r="AA9" s="18"/>
      <c r="AB9" s="8">
        <f t="shared" si="5"/>
        <v>1</v>
      </c>
      <c r="AC9" s="9">
        <f t="shared" si="6"/>
        <v>0.25</v>
      </c>
      <c r="AD9" s="10">
        <f t="shared" si="7"/>
        <v>0.25</v>
      </c>
      <c r="AE9" s="36">
        <f t="shared" si="8"/>
        <v>0.46944444444444439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126</v>
      </c>
      <c r="E10" s="53" t="s">
        <v>467</v>
      </c>
      <c r="F10" s="30" t="s">
        <v>128</v>
      </c>
      <c r="G10" s="33">
        <v>1</v>
      </c>
      <c r="H10" s="35">
        <v>24</v>
      </c>
      <c r="I10" s="7">
        <v>1000</v>
      </c>
      <c r="J10" s="14">
        <v>2704</v>
      </c>
      <c r="K10" s="15">
        <f>L10</f>
        <v>2704</v>
      </c>
      <c r="L10" s="15">
        <f>2218+486</f>
        <v>2704</v>
      </c>
      <c r="M10" s="15">
        <f t="shared" ref="M10" si="10">L10-N10</f>
        <v>2704</v>
      </c>
      <c r="N10" s="15">
        <v>0</v>
      </c>
      <c r="O10" s="58">
        <f t="shared" ref="O10" si="11">IF(L10=0,"0",N10/L10)</f>
        <v>0</v>
      </c>
      <c r="P10" s="39">
        <f t="shared" ref="P10" si="12">IF(L10=0,"0",(24-Q10))</f>
        <v>16</v>
      </c>
      <c r="Q10" s="40">
        <f t="shared" ref="Q10" si="13">SUM(R10:AA10)</f>
        <v>8</v>
      </c>
      <c r="R10" s="7"/>
      <c r="S10" s="6"/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ref="AB10" si="14">IF(J10=0,"0",(L10/J10))</f>
        <v>1</v>
      </c>
      <c r="AC10" s="9">
        <f t="shared" ref="AC10" si="15">IF(P10=0,"0",(P10/24))</f>
        <v>0.66666666666666663</v>
      </c>
      <c r="AD10" s="10">
        <f t="shared" ref="AD10" si="16">AC10*AB10*(1-O10)</f>
        <v>0.66666666666666663</v>
      </c>
      <c r="AE10" s="36">
        <f t="shared" si="8"/>
        <v>0.46944444444444439</v>
      </c>
      <c r="AF10" s="87">
        <f t="shared" ref="AF10" si="17">A10</f>
        <v>4</v>
      </c>
    </row>
    <row r="11" spans="1:32" ht="27" customHeight="1">
      <c r="A11" s="103">
        <v>5</v>
      </c>
      <c r="B11" s="11" t="s">
        <v>57</v>
      </c>
      <c r="C11" s="34" t="s">
        <v>220</v>
      </c>
      <c r="D11" s="52" t="s">
        <v>412</v>
      </c>
      <c r="E11" s="53" t="s">
        <v>404</v>
      </c>
      <c r="F11" s="30" t="s">
        <v>122</v>
      </c>
      <c r="G11" s="33">
        <v>2</v>
      </c>
      <c r="H11" s="35">
        <v>24</v>
      </c>
      <c r="I11" s="7">
        <v>90000</v>
      </c>
      <c r="J11" s="5">
        <v>15988</v>
      </c>
      <c r="K11" s="15">
        <f>L11+1714+13656</f>
        <v>31358</v>
      </c>
      <c r="L11" s="15">
        <f>3884*2+4110*2</f>
        <v>15988</v>
      </c>
      <c r="M11" s="15">
        <f t="shared" si="1"/>
        <v>15988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0.46944444444444439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220</v>
      </c>
      <c r="D12" s="52" t="s">
        <v>427</v>
      </c>
      <c r="E12" s="53" t="s">
        <v>428</v>
      </c>
      <c r="F12" s="30" t="s">
        <v>122</v>
      </c>
      <c r="G12" s="33" t="s">
        <v>415</v>
      </c>
      <c r="H12" s="35">
        <v>20</v>
      </c>
      <c r="I12" s="7">
        <v>30000</v>
      </c>
      <c r="J12" s="14">
        <v>411</v>
      </c>
      <c r="K12" s="15">
        <f>L12+3140+4571</f>
        <v>8122</v>
      </c>
      <c r="L12" s="15">
        <f>411</f>
        <v>411</v>
      </c>
      <c r="M12" s="15">
        <f t="shared" si="1"/>
        <v>411</v>
      </c>
      <c r="N12" s="15">
        <v>0</v>
      </c>
      <c r="O12" s="58">
        <f t="shared" si="2"/>
        <v>0</v>
      </c>
      <c r="P12" s="39">
        <f t="shared" si="3"/>
        <v>3</v>
      </c>
      <c r="Q12" s="40">
        <f t="shared" si="4"/>
        <v>21</v>
      </c>
      <c r="R12" s="7"/>
      <c r="S12" s="6">
        <v>21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0.125</v>
      </c>
      <c r="AD12" s="10">
        <f t="shared" si="7"/>
        <v>0.125</v>
      </c>
      <c r="AE12" s="36">
        <f t="shared" si="8"/>
        <v>0.46944444444444439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118</v>
      </c>
      <c r="F13" s="30" t="s">
        <v>122</v>
      </c>
      <c r="G13" s="33">
        <v>1</v>
      </c>
      <c r="H13" s="35">
        <v>20</v>
      </c>
      <c r="I13" s="7">
        <v>15000</v>
      </c>
      <c r="J13" s="14">
        <v>5161</v>
      </c>
      <c r="K13" s="15">
        <f>L13+4890</f>
        <v>10051</v>
      </c>
      <c r="L13" s="15">
        <f>2516+2645</f>
        <v>5161</v>
      </c>
      <c r="M13" s="15">
        <f t="shared" si="1"/>
        <v>5161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0.46944444444444439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434</v>
      </c>
      <c r="E14" s="53" t="s">
        <v>435</v>
      </c>
      <c r="F14" s="30" t="s">
        <v>124</v>
      </c>
      <c r="G14" s="33">
        <v>1</v>
      </c>
      <c r="H14" s="35">
        <v>24</v>
      </c>
      <c r="I14" s="7">
        <v>3000</v>
      </c>
      <c r="J14" s="14">
        <v>3170</v>
      </c>
      <c r="K14" s="15">
        <f>L14+3170</f>
        <v>3170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0.46944444444444439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206</v>
      </c>
      <c r="D15" s="52" t="s">
        <v>208</v>
      </c>
      <c r="E15" s="53" t="s">
        <v>205</v>
      </c>
      <c r="F15" s="30" t="s">
        <v>116</v>
      </c>
      <c r="G15" s="12">
        <v>1</v>
      </c>
      <c r="H15" s="13">
        <v>28</v>
      </c>
      <c r="I15" s="7">
        <v>21000</v>
      </c>
      <c r="J15" s="5">
        <v>131</v>
      </c>
      <c r="K15" s="15">
        <f t="shared" ref="K15" si="18"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0.46944444444444439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220</v>
      </c>
      <c r="D16" s="52"/>
      <c r="E16" s="53" t="s">
        <v>347</v>
      </c>
      <c r="F16" s="12" t="s">
        <v>222</v>
      </c>
      <c r="G16" s="12">
        <v>1</v>
      </c>
      <c r="H16" s="13">
        <v>24</v>
      </c>
      <c r="I16" s="31">
        <v>2000</v>
      </c>
      <c r="J16" s="14">
        <v>2918</v>
      </c>
      <c r="K16" s="15">
        <f>L16+1910+2918</f>
        <v>4828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0.46944444444444439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220</v>
      </c>
      <c r="D17" s="52" t="s">
        <v>119</v>
      </c>
      <c r="E17" s="53" t="s">
        <v>426</v>
      </c>
      <c r="F17" s="30" t="s">
        <v>236</v>
      </c>
      <c r="G17" s="12">
        <v>1</v>
      </c>
      <c r="H17" s="13">
        <v>28</v>
      </c>
      <c r="I17" s="7">
        <v>15000</v>
      </c>
      <c r="J17" s="14">
        <v>5517</v>
      </c>
      <c r="K17" s="15">
        <f>L17+4781+4959</f>
        <v>15257</v>
      </c>
      <c r="L17" s="15">
        <f>2669+2848</f>
        <v>5517</v>
      </c>
      <c r="M17" s="15">
        <f t="shared" si="1"/>
        <v>5517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0.46944444444444439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206</v>
      </c>
      <c r="D18" s="52" t="s">
        <v>390</v>
      </c>
      <c r="E18" s="53" t="s">
        <v>384</v>
      </c>
      <c r="F18" s="30" t="s">
        <v>145</v>
      </c>
      <c r="G18" s="33">
        <v>1</v>
      </c>
      <c r="H18" s="35">
        <v>20</v>
      </c>
      <c r="I18" s="7">
        <v>5000</v>
      </c>
      <c r="J18" s="14">
        <v>2167</v>
      </c>
      <c r="K18" s="15">
        <f>L18+3122+2167</f>
        <v>5289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0.46944444444444439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125</v>
      </c>
      <c r="D19" s="52" t="s">
        <v>361</v>
      </c>
      <c r="E19" s="53" t="s">
        <v>362</v>
      </c>
      <c r="F19" s="30" t="s">
        <v>197</v>
      </c>
      <c r="G19" s="33">
        <v>1</v>
      </c>
      <c r="H19" s="35">
        <v>24</v>
      </c>
      <c r="I19" s="7">
        <v>32000</v>
      </c>
      <c r="J19" s="5">
        <v>3725</v>
      </c>
      <c r="K19" s="15">
        <f>L19+3263+5115+1172+2487+4864+4838+891+1216</f>
        <v>27571</v>
      </c>
      <c r="L19" s="15">
        <f>1144+2581</f>
        <v>3725</v>
      </c>
      <c r="M19" s="15">
        <f t="shared" si="1"/>
        <v>3725</v>
      </c>
      <c r="N19" s="15">
        <v>0</v>
      </c>
      <c r="O19" s="58">
        <f t="shared" si="2"/>
        <v>0</v>
      </c>
      <c r="P19" s="39">
        <f t="shared" si="3"/>
        <v>20</v>
      </c>
      <c r="Q19" s="40">
        <f t="shared" si="4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0.83333333333333337</v>
      </c>
      <c r="AD19" s="10">
        <f>AC19*AB19*(1-O19)</f>
        <v>0.83333333333333337</v>
      </c>
      <c r="AE19" s="36">
        <f t="shared" si="8"/>
        <v>0.46944444444444439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144</v>
      </c>
      <c r="F20" s="30" t="s">
        <v>122</v>
      </c>
      <c r="G20" s="33">
        <v>1</v>
      </c>
      <c r="H20" s="35">
        <v>24</v>
      </c>
      <c r="I20" s="7">
        <v>120000</v>
      </c>
      <c r="J20" s="5">
        <v>3699</v>
      </c>
      <c r="K20" s="15">
        <f>L20+4376+4932+3746+2629+4823+3796+4027+5078+3986+4575+4282+4124+5194+424+2663+4223+4771+2984+1155+2915+3402+2253</f>
        <v>84057</v>
      </c>
      <c r="L20" s="15">
        <f>1108+2591</f>
        <v>3699</v>
      </c>
      <c r="M20" s="15">
        <f t="shared" si="1"/>
        <v>3699</v>
      </c>
      <c r="N20" s="15">
        <v>0</v>
      </c>
      <c r="O20" s="58">
        <f t="shared" si="2"/>
        <v>0</v>
      </c>
      <c r="P20" s="39">
        <f t="shared" si="3"/>
        <v>19</v>
      </c>
      <c r="Q20" s="40">
        <f t="shared" si="4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0.79166666666666663</v>
      </c>
      <c r="AD20" s="10">
        <f t="shared" ref="AD20" si="19">AC20*AB20*(1-O20)</f>
        <v>0.79166666666666663</v>
      </c>
      <c r="AE20" s="36">
        <f t="shared" ref="AE20" si="20">$AD$21</f>
        <v>0.375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313</v>
      </c>
      <c r="F21" s="12" t="s">
        <v>116</v>
      </c>
      <c r="G21" s="12">
        <v>4</v>
      </c>
      <c r="H21" s="35">
        <v>20</v>
      </c>
      <c r="I21" s="7">
        <v>300000</v>
      </c>
      <c r="J21" s="14">
        <v>25380</v>
      </c>
      <c r="K21" s="15">
        <f>L21+41444</f>
        <v>66824</v>
      </c>
      <c r="L21" s="15">
        <f>6345*4</f>
        <v>25380</v>
      </c>
      <c r="M21" s="15">
        <f t="shared" si="1"/>
        <v>25380</v>
      </c>
      <c r="N21" s="15">
        <v>0</v>
      </c>
      <c r="O21" s="58">
        <f t="shared" si="2"/>
        <v>0</v>
      </c>
      <c r="P21" s="39">
        <f t="shared" si="3"/>
        <v>9</v>
      </c>
      <c r="Q21" s="40">
        <f t="shared" si="4"/>
        <v>15</v>
      </c>
      <c r="R21" s="7"/>
      <c r="S21" s="6">
        <v>15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0.375</v>
      </c>
      <c r="AD21" s="10">
        <f t="shared" si="7"/>
        <v>0.375</v>
      </c>
      <c r="AE21" s="36">
        <f>$AD$22</f>
        <v>0.46944444444444439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21">SUM(I6:I21)</f>
        <v>690000</v>
      </c>
      <c r="J22" s="19">
        <f t="shared" si="21"/>
        <v>117883</v>
      </c>
      <c r="K22" s="20">
        <f t="shared" si="21"/>
        <v>346063</v>
      </c>
      <c r="L22" s="21">
        <f t="shared" si="21"/>
        <v>107436</v>
      </c>
      <c r="M22" s="20">
        <f t="shared" si="21"/>
        <v>107436</v>
      </c>
      <c r="N22" s="21">
        <f t="shared" si="21"/>
        <v>0</v>
      </c>
      <c r="O22" s="41">
        <f t="shared" si="2"/>
        <v>0</v>
      </c>
      <c r="P22" s="42">
        <f t="shared" ref="P22:AA22" si="22">SUM(P6:P21)</f>
        <v>169</v>
      </c>
      <c r="Q22" s="43">
        <f t="shared" si="22"/>
        <v>215</v>
      </c>
      <c r="R22" s="23">
        <f t="shared" si="22"/>
        <v>24</v>
      </c>
      <c r="S22" s="24">
        <f t="shared" si="22"/>
        <v>45</v>
      </c>
      <c r="T22" s="24">
        <f t="shared" si="22"/>
        <v>8</v>
      </c>
      <c r="U22" s="24">
        <f t="shared" si="22"/>
        <v>0</v>
      </c>
      <c r="V22" s="25">
        <f t="shared" si="22"/>
        <v>24</v>
      </c>
      <c r="W22" s="26">
        <f t="shared" si="22"/>
        <v>90</v>
      </c>
      <c r="X22" s="27">
        <f t="shared" si="22"/>
        <v>0</v>
      </c>
      <c r="Y22" s="27">
        <f t="shared" si="22"/>
        <v>0</v>
      </c>
      <c r="Z22" s="27">
        <f t="shared" si="22"/>
        <v>0</v>
      </c>
      <c r="AA22" s="27">
        <f t="shared" si="22"/>
        <v>24</v>
      </c>
      <c r="AB22" s="28">
        <f>SUM(AB6:AB21)/15</f>
        <v>0.66666666666666663</v>
      </c>
      <c r="AC22" s="4">
        <f>SUM(AC6:AC21)/15</f>
        <v>0.46944444444444439</v>
      </c>
      <c r="AD22" s="4">
        <f>SUM(AD6:AD21)/15</f>
        <v>0.46944444444444439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468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479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303" t="s">
        <v>46</v>
      </c>
      <c r="D51" s="303" t="s">
        <v>47</v>
      </c>
      <c r="E51" s="303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303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125</v>
      </c>
      <c r="B52" s="420"/>
      <c r="C52" s="305" t="s">
        <v>168</v>
      </c>
      <c r="D52" s="305" t="s">
        <v>245</v>
      </c>
      <c r="E52" s="305" t="s">
        <v>459</v>
      </c>
      <c r="F52" s="421" t="s">
        <v>121</v>
      </c>
      <c r="G52" s="422"/>
      <c r="H52" s="422"/>
      <c r="I52" s="422"/>
      <c r="J52" s="422"/>
      <c r="K52" s="422"/>
      <c r="L52" s="422"/>
      <c r="M52" s="423"/>
      <c r="N52" s="304" t="s">
        <v>220</v>
      </c>
      <c r="O52" s="309" t="s">
        <v>201</v>
      </c>
      <c r="P52" s="433" t="s">
        <v>427</v>
      </c>
      <c r="Q52" s="434"/>
      <c r="R52" s="420" t="s">
        <v>428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125</v>
      </c>
      <c r="B53" s="420"/>
      <c r="C53" s="305" t="s">
        <v>230</v>
      </c>
      <c r="D53" s="305" t="s">
        <v>117</v>
      </c>
      <c r="E53" s="305" t="s">
        <v>144</v>
      </c>
      <c r="F53" s="421" t="s">
        <v>127</v>
      </c>
      <c r="G53" s="422"/>
      <c r="H53" s="422"/>
      <c r="I53" s="422"/>
      <c r="J53" s="422"/>
      <c r="K53" s="422"/>
      <c r="L53" s="422"/>
      <c r="M53" s="423"/>
      <c r="N53" s="304" t="s">
        <v>114</v>
      </c>
      <c r="O53" s="309" t="s">
        <v>472</v>
      </c>
      <c r="P53" s="433" t="s">
        <v>480</v>
      </c>
      <c r="Q53" s="434"/>
      <c r="R53" s="420" t="s">
        <v>481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220</v>
      </c>
      <c r="B54" s="420"/>
      <c r="C54" s="305" t="s">
        <v>201</v>
      </c>
      <c r="D54" s="305" t="s">
        <v>427</v>
      </c>
      <c r="E54" s="305" t="s">
        <v>404</v>
      </c>
      <c r="F54" s="421" t="s">
        <v>469</v>
      </c>
      <c r="G54" s="422"/>
      <c r="H54" s="422"/>
      <c r="I54" s="422"/>
      <c r="J54" s="422"/>
      <c r="K54" s="422"/>
      <c r="L54" s="422"/>
      <c r="M54" s="423"/>
      <c r="N54" s="304" t="s">
        <v>125</v>
      </c>
      <c r="O54" s="309" t="s">
        <v>168</v>
      </c>
      <c r="P54" s="433" t="s">
        <v>165</v>
      </c>
      <c r="Q54" s="434"/>
      <c r="R54" s="420" t="s">
        <v>482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305" t="s">
        <v>132</v>
      </c>
      <c r="D55" s="305" t="s">
        <v>361</v>
      </c>
      <c r="E55" s="305" t="s">
        <v>362</v>
      </c>
      <c r="F55" s="421" t="s">
        <v>127</v>
      </c>
      <c r="G55" s="422"/>
      <c r="H55" s="422"/>
      <c r="I55" s="422"/>
      <c r="J55" s="422"/>
      <c r="K55" s="422"/>
      <c r="L55" s="422"/>
      <c r="M55" s="423"/>
      <c r="N55" s="304" t="s">
        <v>114</v>
      </c>
      <c r="O55" s="309" t="s">
        <v>129</v>
      </c>
      <c r="P55" s="433" t="s">
        <v>123</v>
      </c>
      <c r="Q55" s="434"/>
      <c r="R55" s="420" t="s">
        <v>483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115</v>
      </c>
      <c r="B56" s="420"/>
      <c r="C56" s="305" t="s">
        <v>139</v>
      </c>
      <c r="D56" s="305"/>
      <c r="E56" s="305" t="s">
        <v>313</v>
      </c>
      <c r="F56" s="421" t="s">
        <v>470</v>
      </c>
      <c r="G56" s="422"/>
      <c r="H56" s="422"/>
      <c r="I56" s="422"/>
      <c r="J56" s="422"/>
      <c r="K56" s="422"/>
      <c r="L56" s="422"/>
      <c r="M56" s="423"/>
      <c r="N56" s="304" t="s">
        <v>114</v>
      </c>
      <c r="O56" s="309" t="s">
        <v>485</v>
      </c>
      <c r="P56" s="433" t="s">
        <v>486</v>
      </c>
      <c r="Q56" s="434"/>
      <c r="R56" s="420" t="s">
        <v>484</v>
      </c>
      <c r="S56" s="420"/>
      <c r="T56" s="420"/>
      <c r="U56" s="420"/>
      <c r="V56" s="410" t="s">
        <v>121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471</v>
      </c>
      <c r="B57" s="420"/>
      <c r="C57" s="305" t="s">
        <v>472</v>
      </c>
      <c r="D57" s="305" t="s">
        <v>473</v>
      </c>
      <c r="E57" s="305" t="s">
        <v>474</v>
      </c>
      <c r="F57" s="421" t="s">
        <v>121</v>
      </c>
      <c r="G57" s="422"/>
      <c r="H57" s="422"/>
      <c r="I57" s="422"/>
      <c r="J57" s="422"/>
      <c r="K57" s="422"/>
      <c r="L57" s="422"/>
      <c r="M57" s="423"/>
      <c r="N57" s="304"/>
      <c r="O57" s="30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471</v>
      </c>
      <c r="B58" s="420"/>
      <c r="C58" s="305" t="s">
        <v>475</v>
      </c>
      <c r="D58" s="305" t="s">
        <v>473</v>
      </c>
      <c r="E58" s="305" t="s">
        <v>476</v>
      </c>
      <c r="F58" s="421" t="s">
        <v>382</v>
      </c>
      <c r="G58" s="422"/>
      <c r="H58" s="422"/>
      <c r="I58" s="422"/>
      <c r="J58" s="422"/>
      <c r="K58" s="422"/>
      <c r="L58" s="422"/>
      <c r="M58" s="423"/>
      <c r="N58" s="304"/>
      <c r="O58" s="30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471</v>
      </c>
      <c r="B59" s="420"/>
      <c r="C59" s="305" t="s">
        <v>475</v>
      </c>
      <c r="D59" s="305" t="s">
        <v>477</v>
      </c>
      <c r="E59" s="305" t="s">
        <v>478</v>
      </c>
      <c r="F59" s="421" t="s">
        <v>382</v>
      </c>
      <c r="G59" s="422"/>
      <c r="H59" s="422"/>
      <c r="I59" s="422"/>
      <c r="J59" s="422"/>
      <c r="K59" s="422"/>
      <c r="L59" s="422"/>
      <c r="M59" s="423"/>
      <c r="N59" s="304"/>
      <c r="O59" s="309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05"/>
      <c r="D60" s="305"/>
      <c r="E60" s="305"/>
      <c r="F60" s="421"/>
      <c r="G60" s="422"/>
      <c r="H60" s="422"/>
      <c r="I60" s="422"/>
      <c r="J60" s="422"/>
      <c r="K60" s="422"/>
      <c r="L60" s="422"/>
      <c r="M60" s="423"/>
      <c r="N60" s="304"/>
      <c r="O60" s="309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306"/>
      <c r="D61" s="306"/>
      <c r="E61" s="306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487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307" t="s">
        <v>2</v>
      </c>
      <c r="D63" s="307" t="s">
        <v>37</v>
      </c>
      <c r="E63" s="307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307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114</v>
      </c>
      <c r="D64" s="311"/>
      <c r="E64" s="308" t="s">
        <v>165</v>
      </c>
      <c r="F64" s="408" t="s">
        <v>369</v>
      </c>
      <c r="G64" s="400"/>
      <c r="H64" s="400"/>
      <c r="I64" s="400"/>
      <c r="J64" s="400"/>
      <c r="K64" s="400" t="s">
        <v>158</v>
      </c>
      <c r="L64" s="400"/>
      <c r="M64" s="51" t="s">
        <v>332</v>
      </c>
      <c r="N64" s="411" t="s">
        <v>299</v>
      </c>
      <c r="O64" s="411"/>
      <c r="P64" s="409">
        <v>50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206</v>
      </c>
      <c r="D65" s="311"/>
      <c r="E65" s="308" t="s">
        <v>117</v>
      </c>
      <c r="F65" s="408" t="s">
        <v>488</v>
      </c>
      <c r="G65" s="400"/>
      <c r="H65" s="400"/>
      <c r="I65" s="400"/>
      <c r="J65" s="400"/>
      <c r="K65" s="400" t="s">
        <v>218</v>
      </c>
      <c r="L65" s="400"/>
      <c r="M65" s="51" t="s">
        <v>136</v>
      </c>
      <c r="N65" s="411" t="s">
        <v>129</v>
      </c>
      <c r="O65" s="411"/>
      <c r="P65" s="409">
        <v>100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 t="s">
        <v>114</v>
      </c>
      <c r="D66" s="311"/>
      <c r="E66" s="308" t="s">
        <v>165</v>
      </c>
      <c r="F66" s="408" t="s">
        <v>489</v>
      </c>
      <c r="G66" s="400"/>
      <c r="H66" s="400"/>
      <c r="I66" s="400"/>
      <c r="J66" s="400"/>
      <c r="K66" s="400" t="s">
        <v>158</v>
      </c>
      <c r="L66" s="400"/>
      <c r="M66" s="51" t="s">
        <v>332</v>
      </c>
      <c r="N66" s="411" t="s">
        <v>228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311"/>
      <c r="E67" s="30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311"/>
      <c r="E68" s="308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311"/>
      <c r="E69" s="308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311"/>
      <c r="E70" s="30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311"/>
      <c r="E71" s="308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490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310" t="s">
        <v>2</v>
      </c>
      <c r="D73" s="310" t="s">
        <v>37</v>
      </c>
      <c r="E73" s="310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312" t="s">
        <v>114</v>
      </c>
      <c r="D74" s="312"/>
      <c r="E74" s="65" t="s">
        <v>119</v>
      </c>
      <c r="F74" s="389" t="s">
        <v>118</v>
      </c>
      <c r="G74" s="390"/>
      <c r="H74" s="390"/>
      <c r="I74" s="390"/>
      <c r="J74" s="391"/>
      <c r="K74" s="392" t="s">
        <v>120</v>
      </c>
      <c r="L74" s="393"/>
      <c r="M74" s="393"/>
      <c r="N74" s="393"/>
      <c r="O74" s="393"/>
      <c r="P74" s="393"/>
      <c r="Q74" s="393"/>
      <c r="R74" s="393"/>
      <c r="S74" s="394"/>
      <c r="T74" s="395">
        <v>43384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311"/>
      <c r="D75" s="31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3">A75+1</f>
        <v>3</v>
      </c>
      <c r="B76" s="368"/>
      <c r="C76" s="311"/>
      <c r="D76" s="31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3"/>
        <v>4</v>
      </c>
      <c r="B77" s="368"/>
      <c r="C77" s="311"/>
      <c r="D77" s="31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3"/>
        <v>5</v>
      </c>
      <c r="B78" s="368"/>
      <c r="C78" s="311"/>
      <c r="D78" s="31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3"/>
        <v>6</v>
      </c>
      <c r="B79" s="368"/>
      <c r="C79" s="311"/>
      <c r="D79" s="31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3"/>
        <v>7</v>
      </c>
      <c r="B80" s="368"/>
      <c r="C80" s="311"/>
      <c r="D80" s="31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3"/>
        <v>8</v>
      </c>
      <c r="B81" s="368"/>
      <c r="C81" s="311"/>
      <c r="D81" s="31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3"/>
        <v>9</v>
      </c>
      <c r="B82" s="368"/>
      <c r="C82" s="311"/>
      <c r="D82" s="311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491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BC47-A527-402F-9B2C-310B38C0D1B0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492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9" si="8">$AD$22</f>
        <v>0.50000000000000011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0.50000000000000011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5884</v>
      </c>
      <c r="K8" s="15">
        <f>L8+4982+5992+5775+4932+2901+5851+5827</f>
        <v>42144</v>
      </c>
      <c r="L8" s="15">
        <f>2875+3009</f>
        <v>5884</v>
      </c>
      <c r="M8" s="15">
        <f t="shared" si="1"/>
        <v>5884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0.50000000000000011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125</v>
      </c>
      <c r="D9" s="52" t="s">
        <v>165</v>
      </c>
      <c r="E9" s="53" t="s">
        <v>482</v>
      </c>
      <c r="F9" s="30" t="s">
        <v>128</v>
      </c>
      <c r="G9" s="33">
        <v>1</v>
      </c>
      <c r="H9" s="35">
        <v>24</v>
      </c>
      <c r="I9" s="7">
        <v>1000</v>
      </c>
      <c r="J9" s="14">
        <v>1127</v>
      </c>
      <c r="K9" s="15">
        <f>L9</f>
        <v>1127</v>
      </c>
      <c r="L9" s="15">
        <v>1127</v>
      </c>
      <c r="M9" s="15">
        <f t="shared" si="1"/>
        <v>1127</v>
      </c>
      <c r="N9" s="15">
        <v>0</v>
      </c>
      <c r="O9" s="58">
        <f t="shared" si="2"/>
        <v>0</v>
      </c>
      <c r="P9" s="39">
        <f t="shared" si="3"/>
        <v>7</v>
      </c>
      <c r="Q9" s="40">
        <f t="shared" si="4"/>
        <v>17</v>
      </c>
      <c r="R9" s="7"/>
      <c r="S9" s="6"/>
      <c r="T9" s="16"/>
      <c r="U9" s="16"/>
      <c r="V9" s="17"/>
      <c r="W9" s="5">
        <v>17</v>
      </c>
      <c r="X9" s="16"/>
      <c r="Y9" s="16"/>
      <c r="Z9" s="16"/>
      <c r="AA9" s="18"/>
      <c r="AB9" s="8">
        <f t="shared" si="5"/>
        <v>1</v>
      </c>
      <c r="AC9" s="9">
        <f t="shared" si="6"/>
        <v>0.29166666666666669</v>
      </c>
      <c r="AD9" s="10">
        <f t="shared" si="7"/>
        <v>0.29166666666666669</v>
      </c>
      <c r="AE9" s="36">
        <f t="shared" si="8"/>
        <v>0.50000000000000011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151</v>
      </c>
      <c r="E10" s="53" t="s">
        <v>481</v>
      </c>
      <c r="F10" s="30" t="s">
        <v>124</v>
      </c>
      <c r="G10" s="33">
        <v>1</v>
      </c>
      <c r="H10" s="35">
        <v>24</v>
      </c>
      <c r="I10" s="7">
        <v>1000</v>
      </c>
      <c r="J10" s="14">
        <v>1292</v>
      </c>
      <c r="K10" s="15">
        <f>L10</f>
        <v>1292</v>
      </c>
      <c r="L10" s="15">
        <f>1011+281</f>
        <v>1292</v>
      </c>
      <c r="M10" s="15">
        <f t="shared" si="1"/>
        <v>1292</v>
      </c>
      <c r="N10" s="15">
        <v>0</v>
      </c>
      <c r="O10" s="58">
        <f t="shared" si="2"/>
        <v>0</v>
      </c>
      <c r="P10" s="39">
        <f t="shared" si="3"/>
        <v>8</v>
      </c>
      <c r="Q10" s="40">
        <f t="shared" si="4"/>
        <v>16</v>
      </c>
      <c r="R10" s="7"/>
      <c r="S10" s="6"/>
      <c r="T10" s="16"/>
      <c r="U10" s="16"/>
      <c r="V10" s="17"/>
      <c r="W10" s="5">
        <v>16</v>
      </c>
      <c r="X10" s="16"/>
      <c r="Y10" s="16"/>
      <c r="Z10" s="16"/>
      <c r="AA10" s="18"/>
      <c r="AB10" s="8">
        <f t="shared" si="5"/>
        <v>1</v>
      </c>
      <c r="AC10" s="9">
        <f t="shared" si="6"/>
        <v>0.33333333333333331</v>
      </c>
      <c r="AD10" s="10">
        <f t="shared" si="7"/>
        <v>0.33333333333333331</v>
      </c>
      <c r="AE10" s="36">
        <f t="shared" si="8"/>
        <v>0.50000000000000011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34" t="s">
        <v>220</v>
      </c>
      <c r="D11" s="52" t="s">
        <v>412</v>
      </c>
      <c r="E11" s="53" t="s">
        <v>404</v>
      </c>
      <c r="F11" s="30" t="s">
        <v>122</v>
      </c>
      <c r="G11" s="33">
        <v>2</v>
      </c>
      <c r="H11" s="35">
        <v>24</v>
      </c>
      <c r="I11" s="7">
        <v>90000</v>
      </c>
      <c r="J11" s="5">
        <v>16420</v>
      </c>
      <c r="K11" s="15">
        <f>L11+1714+13656+15988</f>
        <v>47778</v>
      </c>
      <c r="L11" s="15">
        <f>4156*2+4054*2</f>
        <v>16420</v>
      </c>
      <c r="M11" s="15">
        <f t="shared" si="1"/>
        <v>16420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0.50000000000000011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117</v>
      </c>
      <c r="E12" s="53" t="s">
        <v>484</v>
      </c>
      <c r="F12" s="30" t="s">
        <v>128</v>
      </c>
      <c r="G12" s="33">
        <v>1</v>
      </c>
      <c r="H12" s="35">
        <v>20</v>
      </c>
      <c r="I12" s="7">
        <v>2500</v>
      </c>
      <c r="J12" s="14">
        <v>2583</v>
      </c>
      <c r="K12" s="15">
        <f>L12</f>
        <v>2583</v>
      </c>
      <c r="L12" s="15">
        <f>2583</f>
        <v>2583</v>
      </c>
      <c r="M12" s="15">
        <f t="shared" si="1"/>
        <v>2583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10</v>
      </c>
      <c r="AB12" s="8">
        <f t="shared" si="5"/>
        <v>1</v>
      </c>
      <c r="AC12" s="9">
        <f t="shared" si="6"/>
        <v>0.58333333333333337</v>
      </c>
      <c r="AD12" s="10">
        <f t="shared" si="7"/>
        <v>0.58333333333333337</v>
      </c>
      <c r="AE12" s="36">
        <f t="shared" si="8"/>
        <v>0.50000000000000011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118</v>
      </c>
      <c r="F13" s="30" t="s">
        <v>122</v>
      </c>
      <c r="G13" s="33">
        <v>1</v>
      </c>
      <c r="H13" s="35">
        <v>20</v>
      </c>
      <c r="I13" s="7">
        <v>15000</v>
      </c>
      <c r="J13" s="14">
        <v>4192</v>
      </c>
      <c r="K13" s="15">
        <f>L13+4890+5161</f>
        <v>14243</v>
      </c>
      <c r="L13" s="15">
        <f>2483+1709</f>
        <v>4192</v>
      </c>
      <c r="M13" s="15">
        <f t="shared" si="1"/>
        <v>4192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7"/>
        <v>0.875</v>
      </c>
      <c r="AE13" s="36">
        <f t="shared" si="8"/>
        <v>0.50000000000000011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123</v>
      </c>
      <c r="E14" s="53" t="s">
        <v>478</v>
      </c>
      <c r="F14" s="30" t="s">
        <v>124</v>
      </c>
      <c r="G14" s="33">
        <v>1</v>
      </c>
      <c r="H14" s="35">
        <v>24</v>
      </c>
      <c r="I14" s="7">
        <v>1000</v>
      </c>
      <c r="J14" s="14">
        <v>1458</v>
      </c>
      <c r="K14" s="15">
        <f>L14</f>
        <v>1458</v>
      </c>
      <c r="L14" s="15">
        <v>1458</v>
      </c>
      <c r="M14" s="15">
        <f t="shared" si="1"/>
        <v>1458</v>
      </c>
      <c r="N14" s="15">
        <v>0</v>
      </c>
      <c r="O14" s="58">
        <f t="shared" si="2"/>
        <v>0</v>
      </c>
      <c r="P14" s="39">
        <f t="shared" si="3"/>
        <v>10</v>
      </c>
      <c r="Q14" s="40">
        <f t="shared" si="4"/>
        <v>14</v>
      </c>
      <c r="R14" s="7"/>
      <c r="S14" s="6">
        <v>10</v>
      </c>
      <c r="T14" s="16"/>
      <c r="U14" s="16"/>
      <c r="V14" s="17"/>
      <c r="W14" s="5">
        <v>4</v>
      </c>
      <c r="X14" s="16"/>
      <c r="Y14" s="16"/>
      <c r="Z14" s="16"/>
      <c r="AA14" s="18"/>
      <c r="AB14" s="8">
        <f t="shared" si="5"/>
        <v>1</v>
      </c>
      <c r="AC14" s="9">
        <f t="shared" si="6"/>
        <v>0.41666666666666669</v>
      </c>
      <c r="AD14" s="10">
        <f t="shared" si="7"/>
        <v>0.41666666666666669</v>
      </c>
      <c r="AE14" s="36">
        <f t="shared" si="8"/>
        <v>0.50000000000000011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206</v>
      </c>
      <c r="D15" s="52" t="s">
        <v>208</v>
      </c>
      <c r="E15" s="53" t="s">
        <v>205</v>
      </c>
      <c r="F15" s="30" t="s">
        <v>116</v>
      </c>
      <c r="G15" s="12">
        <v>1</v>
      </c>
      <c r="H15" s="13">
        <v>28</v>
      </c>
      <c r="I15" s="7">
        <v>21000</v>
      </c>
      <c r="J15" s="5">
        <v>131</v>
      </c>
      <c r="K15" s="15">
        <f t="shared" ref="K15" si="10"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0.50000000000000011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114</v>
      </c>
      <c r="D16" s="52" t="s">
        <v>165</v>
      </c>
      <c r="E16" s="53" t="s">
        <v>369</v>
      </c>
      <c r="F16" s="12" t="s">
        <v>158</v>
      </c>
      <c r="G16" s="12">
        <v>1</v>
      </c>
      <c r="H16" s="13">
        <v>24</v>
      </c>
      <c r="I16" s="31">
        <v>1700</v>
      </c>
      <c r="J16" s="14">
        <v>878</v>
      </c>
      <c r="K16" s="15">
        <f>L16</f>
        <v>878</v>
      </c>
      <c r="L16" s="15">
        <v>878</v>
      </c>
      <c r="M16" s="15">
        <f t="shared" si="1"/>
        <v>878</v>
      </c>
      <c r="N16" s="15">
        <v>0</v>
      </c>
      <c r="O16" s="58">
        <f t="shared" si="2"/>
        <v>0</v>
      </c>
      <c r="P16" s="39">
        <f t="shared" si="3"/>
        <v>5</v>
      </c>
      <c r="Q16" s="40">
        <f t="shared" si="4"/>
        <v>19</v>
      </c>
      <c r="R16" s="7"/>
      <c r="S16" s="6">
        <v>19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0.20833333333333334</v>
      </c>
      <c r="AD16" s="10">
        <f t="shared" si="7"/>
        <v>0.20833333333333334</v>
      </c>
      <c r="AE16" s="36">
        <f t="shared" si="8"/>
        <v>0.50000000000000011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220</v>
      </c>
      <c r="D17" s="52" t="s">
        <v>119</v>
      </c>
      <c r="E17" s="53" t="s">
        <v>426</v>
      </c>
      <c r="F17" s="30" t="s">
        <v>236</v>
      </c>
      <c r="G17" s="12">
        <v>1</v>
      </c>
      <c r="H17" s="13">
        <v>28</v>
      </c>
      <c r="I17" s="7">
        <v>15000</v>
      </c>
      <c r="J17" s="14">
        <v>3360</v>
      </c>
      <c r="K17" s="15">
        <f>L17+4781+4959+5517</f>
        <v>18617</v>
      </c>
      <c r="L17" s="15">
        <f>521+2839</f>
        <v>3360</v>
      </c>
      <c r="M17" s="15">
        <f t="shared" si="1"/>
        <v>3360</v>
      </c>
      <c r="N17" s="15">
        <v>0</v>
      </c>
      <c r="O17" s="58">
        <f t="shared" si="2"/>
        <v>0</v>
      </c>
      <c r="P17" s="39">
        <f t="shared" si="3"/>
        <v>15</v>
      </c>
      <c r="Q17" s="40">
        <f t="shared" si="4"/>
        <v>9</v>
      </c>
      <c r="R17" s="7"/>
      <c r="S17" s="6"/>
      <c r="T17" s="16"/>
      <c r="U17" s="16"/>
      <c r="V17" s="17"/>
      <c r="W17" s="5">
        <v>9</v>
      </c>
      <c r="X17" s="16"/>
      <c r="Y17" s="16"/>
      <c r="Z17" s="16"/>
      <c r="AA17" s="18"/>
      <c r="AB17" s="8">
        <f t="shared" si="5"/>
        <v>1</v>
      </c>
      <c r="AC17" s="9">
        <f t="shared" si="6"/>
        <v>0.625</v>
      </c>
      <c r="AD17" s="10">
        <f t="shared" si="7"/>
        <v>0.625</v>
      </c>
      <c r="AE17" s="36">
        <f t="shared" si="8"/>
        <v>0.50000000000000011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114</v>
      </c>
      <c r="D18" s="52" t="s">
        <v>165</v>
      </c>
      <c r="E18" s="53" t="s">
        <v>493</v>
      </c>
      <c r="F18" s="30" t="s">
        <v>158</v>
      </c>
      <c r="G18" s="33">
        <v>1</v>
      </c>
      <c r="H18" s="35">
        <v>20</v>
      </c>
      <c r="I18" s="7">
        <v>500</v>
      </c>
      <c r="J18" s="14">
        <v>533</v>
      </c>
      <c r="K18" s="15">
        <f>L18</f>
        <v>533</v>
      </c>
      <c r="L18" s="15">
        <v>533</v>
      </c>
      <c r="M18" s="15">
        <f t="shared" si="1"/>
        <v>533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 t="shared" si="7"/>
        <v>0.16666666666666666</v>
      </c>
      <c r="AE18" s="36">
        <f t="shared" si="8"/>
        <v>0.50000000000000011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125</v>
      </c>
      <c r="D19" s="52" t="s">
        <v>361</v>
      </c>
      <c r="E19" s="53" t="s">
        <v>362</v>
      </c>
      <c r="F19" s="30" t="s">
        <v>197</v>
      </c>
      <c r="G19" s="33">
        <v>1</v>
      </c>
      <c r="H19" s="35">
        <v>24</v>
      </c>
      <c r="I19" s="7">
        <v>32000</v>
      </c>
      <c r="J19" s="5">
        <v>4962</v>
      </c>
      <c r="K19" s="15">
        <f>L19+3263+5115+1172+2487+4864+4838+891+1216+3725</f>
        <v>32533</v>
      </c>
      <c r="L19" s="15">
        <f>2595+2367</f>
        <v>4962</v>
      </c>
      <c r="M19" s="15">
        <f t="shared" si="1"/>
        <v>4962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0.50000000000000011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144</v>
      </c>
      <c r="F20" s="30" t="s">
        <v>122</v>
      </c>
      <c r="G20" s="33">
        <v>1</v>
      </c>
      <c r="H20" s="35">
        <v>24</v>
      </c>
      <c r="I20" s="7">
        <v>120000</v>
      </c>
      <c r="J20" s="5">
        <v>5027</v>
      </c>
      <c r="K20" s="15">
        <f>L20+4376+4932+3746+2629+4823+3796+4027+5078+3986+4575+4282+4124+5194+424+2663+4223+4771+2984+1155+2915+3402+2253+3699</f>
        <v>89084</v>
      </c>
      <c r="L20" s="15">
        <f>2615+2412</f>
        <v>5027</v>
      </c>
      <c r="M20" s="15">
        <f t="shared" si="1"/>
        <v>5027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" si="11">AC20*AB20*(1-O20)</f>
        <v>1</v>
      </c>
      <c r="AE20" s="36">
        <f t="shared" ref="AE20" si="12">$AD$21</f>
        <v>0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313</v>
      </c>
      <c r="F21" s="12" t="s">
        <v>116</v>
      </c>
      <c r="G21" s="12">
        <v>4</v>
      </c>
      <c r="H21" s="35">
        <v>20</v>
      </c>
      <c r="I21" s="7">
        <v>300000</v>
      </c>
      <c r="J21" s="14">
        <v>25380</v>
      </c>
      <c r="K21" s="15">
        <f>L21+41444+25380</f>
        <v>66824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>$AD$22</f>
        <v>0.50000000000000011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3">SUM(I6:I21)</f>
        <v>653700</v>
      </c>
      <c r="J22" s="19">
        <f t="shared" si="13"/>
        <v>75288</v>
      </c>
      <c r="K22" s="20">
        <f t="shared" si="13"/>
        <v>330642</v>
      </c>
      <c r="L22" s="21">
        <f t="shared" si="13"/>
        <v>47716</v>
      </c>
      <c r="M22" s="20">
        <f t="shared" si="13"/>
        <v>47716</v>
      </c>
      <c r="N22" s="21">
        <f t="shared" si="13"/>
        <v>0</v>
      </c>
      <c r="O22" s="41">
        <f t="shared" si="2"/>
        <v>0</v>
      </c>
      <c r="P22" s="42">
        <f t="shared" ref="P22:AA22" si="14">SUM(P6:P21)</f>
        <v>180</v>
      </c>
      <c r="Q22" s="43">
        <f t="shared" si="14"/>
        <v>204</v>
      </c>
      <c r="R22" s="23">
        <f t="shared" si="14"/>
        <v>24</v>
      </c>
      <c r="S22" s="24">
        <f t="shared" si="14"/>
        <v>56</v>
      </c>
      <c r="T22" s="24">
        <f t="shared" si="14"/>
        <v>0</v>
      </c>
      <c r="U22" s="24">
        <f t="shared" si="14"/>
        <v>0</v>
      </c>
      <c r="V22" s="25">
        <f t="shared" si="14"/>
        <v>24</v>
      </c>
      <c r="W22" s="26">
        <f t="shared" si="14"/>
        <v>90</v>
      </c>
      <c r="X22" s="27">
        <f t="shared" si="14"/>
        <v>0</v>
      </c>
      <c r="Y22" s="27">
        <f t="shared" si="14"/>
        <v>0</v>
      </c>
      <c r="Z22" s="27">
        <f t="shared" si="14"/>
        <v>0</v>
      </c>
      <c r="AA22" s="27">
        <f t="shared" si="14"/>
        <v>10</v>
      </c>
      <c r="AB22" s="28">
        <f>SUM(AB6:AB21)/15</f>
        <v>0.8</v>
      </c>
      <c r="AC22" s="4">
        <f>SUM(AC6:AC21)/15</f>
        <v>0.50000000000000011</v>
      </c>
      <c r="AD22" s="4">
        <f>SUM(AD6:AD21)/15</f>
        <v>0.50000000000000011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494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497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314" t="s">
        <v>46</v>
      </c>
      <c r="D51" s="314" t="s">
        <v>47</v>
      </c>
      <c r="E51" s="314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314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125</v>
      </c>
      <c r="B52" s="420"/>
      <c r="C52" s="316" t="s">
        <v>168</v>
      </c>
      <c r="D52" s="316" t="s">
        <v>165</v>
      </c>
      <c r="E52" s="316" t="s">
        <v>482</v>
      </c>
      <c r="F52" s="421" t="s">
        <v>121</v>
      </c>
      <c r="G52" s="422"/>
      <c r="H52" s="422"/>
      <c r="I52" s="422"/>
      <c r="J52" s="422"/>
      <c r="K52" s="422"/>
      <c r="L52" s="422"/>
      <c r="M52" s="423"/>
      <c r="N52" s="315" t="s">
        <v>220</v>
      </c>
      <c r="O52" s="320" t="s">
        <v>201</v>
      </c>
      <c r="P52" s="433" t="s">
        <v>427</v>
      </c>
      <c r="Q52" s="434"/>
      <c r="R52" s="420" t="s">
        <v>428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316" t="s">
        <v>168</v>
      </c>
      <c r="D53" s="316" t="s">
        <v>151</v>
      </c>
      <c r="E53" s="316" t="s">
        <v>481</v>
      </c>
      <c r="F53" s="421" t="s">
        <v>121</v>
      </c>
      <c r="G53" s="422"/>
      <c r="H53" s="422"/>
      <c r="I53" s="422"/>
      <c r="J53" s="422"/>
      <c r="K53" s="422"/>
      <c r="L53" s="422"/>
      <c r="M53" s="423"/>
      <c r="N53" s="315" t="s">
        <v>114</v>
      </c>
      <c r="O53" s="320" t="s">
        <v>168</v>
      </c>
      <c r="P53" s="433" t="s">
        <v>133</v>
      </c>
      <c r="Q53" s="434"/>
      <c r="R53" s="420" t="s">
        <v>309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316" t="s">
        <v>201</v>
      </c>
      <c r="D54" s="316" t="s">
        <v>117</v>
      </c>
      <c r="E54" s="316" t="s">
        <v>484</v>
      </c>
      <c r="F54" s="421" t="s">
        <v>121</v>
      </c>
      <c r="G54" s="422"/>
      <c r="H54" s="422"/>
      <c r="I54" s="422"/>
      <c r="J54" s="422"/>
      <c r="K54" s="422"/>
      <c r="L54" s="422"/>
      <c r="M54" s="423"/>
      <c r="N54" s="315" t="s">
        <v>114</v>
      </c>
      <c r="O54" s="320" t="s">
        <v>129</v>
      </c>
      <c r="P54" s="433" t="s">
        <v>126</v>
      </c>
      <c r="Q54" s="434"/>
      <c r="R54" s="420" t="s">
        <v>460</v>
      </c>
      <c r="S54" s="420"/>
      <c r="T54" s="420"/>
      <c r="U54" s="420"/>
      <c r="V54" s="410" t="s">
        <v>127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316" t="s">
        <v>129</v>
      </c>
      <c r="D55" s="316" t="s">
        <v>123</v>
      </c>
      <c r="E55" s="316" t="s">
        <v>478</v>
      </c>
      <c r="F55" s="421" t="s">
        <v>495</v>
      </c>
      <c r="G55" s="422"/>
      <c r="H55" s="422"/>
      <c r="I55" s="422"/>
      <c r="J55" s="422"/>
      <c r="K55" s="422"/>
      <c r="L55" s="422"/>
      <c r="M55" s="423"/>
      <c r="N55" s="315" t="s">
        <v>114</v>
      </c>
      <c r="O55" s="320" t="s">
        <v>132</v>
      </c>
      <c r="P55" s="433" t="s">
        <v>126</v>
      </c>
      <c r="Q55" s="434"/>
      <c r="R55" s="420" t="s">
        <v>188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316" t="s">
        <v>299</v>
      </c>
      <c r="D56" s="316" t="s">
        <v>165</v>
      </c>
      <c r="E56" s="316" t="s">
        <v>369</v>
      </c>
      <c r="F56" s="421" t="s">
        <v>496</v>
      </c>
      <c r="G56" s="422"/>
      <c r="H56" s="422"/>
      <c r="I56" s="422"/>
      <c r="J56" s="422"/>
      <c r="K56" s="422"/>
      <c r="L56" s="422"/>
      <c r="M56" s="423"/>
      <c r="N56" s="315" t="s">
        <v>114</v>
      </c>
      <c r="O56" s="320" t="s">
        <v>299</v>
      </c>
      <c r="P56" s="433" t="s">
        <v>165</v>
      </c>
      <c r="Q56" s="434"/>
      <c r="R56" s="420" t="s">
        <v>369</v>
      </c>
      <c r="S56" s="420"/>
      <c r="T56" s="420"/>
      <c r="U56" s="420"/>
      <c r="V56" s="410" t="s">
        <v>127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316"/>
      <c r="D57" s="316"/>
      <c r="E57" s="316"/>
      <c r="F57" s="421"/>
      <c r="G57" s="422"/>
      <c r="H57" s="422"/>
      <c r="I57" s="422"/>
      <c r="J57" s="422"/>
      <c r="K57" s="422"/>
      <c r="L57" s="422"/>
      <c r="M57" s="423"/>
      <c r="N57" s="315"/>
      <c r="O57" s="320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316"/>
      <c r="D58" s="316"/>
      <c r="E58" s="316"/>
      <c r="F58" s="421"/>
      <c r="G58" s="422"/>
      <c r="H58" s="422"/>
      <c r="I58" s="422"/>
      <c r="J58" s="422"/>
      <c r="K58" s="422"/>
      <c r="L58" s="422"/>
      <c r="M58" s="423"/>
      <c r="N58" s="315"/>
      <c r="O58" s="320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316"/>
      <c r="D59" s="316"/>
      <c r="E59" s="316"/>
      <c r="F59" s="421"/>
      <c r="G59" s="422"/>
      <c r="H59" s="422"/>
      <c r="I59" s="422"/>
      <c r="J59" s="422"/>
      <c r="K59" s="422"/>
      <c r="L59" s="422"/>
      <c r="M59" s="423"/>
      <c r="N59" s="315"/>
      <c r="O59" s="320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16"/>
      <c r="D60" s="316"/>
      <c r="E60" s="316"/>
      <c r="F60" s="421"/>
      <c r="G60" s="422"/>
      <c r="H60" s="422"/>
      <c r="I60" s="422"/>
      <c r="J60" s="422"/>
      <c r="K60" s="422"/>
      <c r="L60" s="422"/>
      <c r="M60" s="423"/>
      <c r="N60" s="315"/>
      <c r="O60" s="320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317"/>
      <c r="D61" s="317"/>
      <c r="E61" s="317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498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318" t="s">
        <v>2</v>
      </c>
      <c r="D63" s="318" t="s">
        <v>37</v>
      </c>
      <c r="E63" s="318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318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114</v>
      </c>
      <c r="D64" s="322"/>
      <c r="E64" s="319"/>
      <c r="F64" s="408" t="s">
        <v>499</v>
      </c>
      <c r="G64" s="400"/>
      <c r="H64" s="400"/>
      <c r="I64" s="400"/>
      <c r="J64" s="400"/>
      <c r="K64" s="400" t="s">
        <v>128</v>
      </c>
      <c r="L64" s="400"/>
      <c r="M64" s="51" t="s">
        <v>136</v>
      </c>
      <c r="N64" s="411" t="s">
        <v>201</v>
      </c>
      <c r="O64" s="411"/>
      <c r="P64" s="409">
        <v>40</v>
      </c>
      <c r="Q64" s="409"/>
      <c r="R64" s="410" t="s">
        <v>505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114</v>
      </c>
      <c r="D65" s="322"/>
      <c r="E65" s="319"/>
      <c r="F65" s="408" t="s">
        <v>500</v>
      </c>
      <c r="G65" s="400"/>
      <c r="H65" s="400"/>
      <c r="I65" s="400"/>
      <c r="J65" s="400"/>
      <c r="K65" s="400" t="s">
        <v>128</v>
      </c>
      <c r="L65" s="400"/>
      <c r="M65" s="51" t="s">
        <v>136</v>
      </c>
      <c r="N65" s="411" t="s">
        <v>129</v>
      </c>
      <c r="O65" s="411"/>
      <c r="P65" s="409">
        <v>50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 t="s">
        <v>503</v>
      </c>
      <c r="D66" s="322"/>
      <c r="E66" s="319"/>
      <c r="F66" s="408" t="s">
        <v>501</v>
      </c>
      <c r="G66" s="400"/>
      <c r="H66" s="400"/>
      <c r="I66" s="400"/>
      <c r="J66" s="400"/>
      <c r="K66" s="400" t="s">
        <v>504</v>
      </c>
      <c r="L66" s="400"/>
      <c r="M66" s="51" t="s">
        <v>332</v>
      </c>
      <c r="N66" s="411" t="s">
        <v>129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 t="s">
        <v>131</v>
      </c>
      <c r="D67" s="322"/>
      <c r="E67" s="319"/>
      <c r="F67" s="408" t="s">
        <v>502</v>
      </c>
      <c r="G67" s="400"/>
      <c r="H67" s="400"/>
      <c r="I67" s="400"/>
      <c r="J67" s="400"/>
      <c r="K67" s="400">
        <v>8301</v>
      </c>
      <c r="L67" s="400"/>
      <c r="M67" s="51" t="s">
        <v>332</v>
      </c>
      <c r="N67" s="411" t="s">
        <v>228</v>
      </c>
      <c r="O67" s="411"/>
      <c r="P67" s="409">
        <v>50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322"/>
      <c r="E68" s="319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322"/>
      <c r="E69" s="319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322"/>
      <c r="E70" s="319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322"/>
      <c r="E71" s="319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506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321" t="s">
        <v>2</v>
      </c>
      <c r="D73" s="321" t="s">
        <v>37</v>
      </c>
      <c r="E73" s="321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323" t="s">
        <v>114</v>
      </c>
      <c r="D74" s="323"/>
      <c r="E74" s="65" t="s">
        <v>119</v>
      </c>
      <c r="F74" s="389" t="s">
        <v>118</v>
      </c>
      <c r="G74" s="390"/>
      <c r="H74" s="390"/>
      <c r="I74" s="390"/>
      <c r="J74" s="391"/>
      <c r="K74" s="392" t="s">
        <v>120</v>
      </c>
      <c r="L74" s="393"/>
      <c r="M74" s="393"/>
      <c r="N74" s="393"/>
      <c r="O74" s="393"/>
      <c r="P74" s="393"/>
      <c r="Q74" s="393"/>
      <c r="R74" s="393"/>
      <c r="S74" s="394"/>
      <c r="T74" s="395">
        <v>43384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322"/>
      <c r="D75" s="322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15">A75+1</f>
        <v>3</v>
      </c>
      <c r="B76" s="368"/>
      <c r="C76" s="322"/>
      <c r="D76" s="322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5"/>
        <v>4</v>
      </c>
      <c r="B77" s="368"/>
      <c r="C77" s="322"/>
      <c r="D77" s="322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5"/>
        <v>5</v>
      </c>
      <c r="B78" s="368"/>
      <c r="C78" s="322"/>
      <c r="D78" s="322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5"/>
        <v>6</v>
      </c>
      <c r="B79" s="368"/>
      <c r="C79" s="322"/>
      <c r="D79" s="322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5"/>
        <v>7</v>
      </c>
      <c r="B80" s="368"/>
      <c r="C80" s="322"/>
      <c r="D80" s="322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5"/>
        <v>8</v>
      </c>
      <c r="B81" s="368"/>
      <c r="C81" s="322"/>
      <c r="D81" s="322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15"/>
        <v>9</v>
      </c>
      <c r="B82" s="368"/>
      <c r="C82" s="322"/>
      <c r="D82" s="322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507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17E0-4ECC-48FA-83AC-0B18E34BF503}">
  <dimension ref="A1:AF86"/>
  <sheetViews>
    <sheetView zoomScale="72" zoomScaleNormal="72" zoomScaleSheetLayoutView="70" workbookViewId="0">
      <selection activeCell="F76" sqref="F76:J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508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34" t="s">
        <v>17</v>
      </c>
      <c r="L5" s="334" t="s">
        <v>18</v>
      </c>
      <c r="M5" s="334" t="s">
        <v>19</v>
      </c>
      <c r="N5" s="3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18" si="8">$AD$21</f>
        <v>0.37777777777777782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0.37777777777777782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5367</v>
      </c>
      <c r="K8" s="15">
        <f>L8+4982+5992+5775+4932+2901+5851+5827+5884</f>
        <v>47511</v>
      </c>
      <c r="L8" s="15">
        <f>2850+2517</f>
        <v>5367</v>
      </c>
      <c r="M8" s="15">
        <f t="shared" si="1"/>
        <v>5367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0.37777777777777782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309</v>
      </c>
      <c r="F9" s="30" t="s">
        <v>135</v>
      </c>
      <c r="G9" s="33">
        <v>1</v>
      </c>
      <c r="H9" s="35">
        <v>24</v>
      </c>
      <c r="I9" s="7">
        <v>2400</v>
      </c>
      <c r="J9" s="14">
        <v>2448</v>
      </c>
      <c r="K9" s="15">
        <f>L9</f>
        <v>2448</v>
      </c>
      <c r="L9" s="15">
        <f>651+1797</f>
        <v>2448</v>
      </c>
      <c r="M9" s="15">
        <f t="shared" si="1"/>
        <v>2448</v>
      </c>
      <c r="N9" s="15">
        <v>0</v>
      </c>
      <c r="O9" s="58">
        <f t="shared" si="2"/>
        <v>0</v>
      </c>
      <c r="P9" s="39">
        <f t="shared" si="3"/>
        <v>14</v>
      </c>
      <c r="Q9" s="40">
        <f t="shared" si="4"/>
        <v>10</v>
      </c>
      <c r="R9" s="7"/>
      <c r="S9" s="6"/>
      <c r="T9" s="16">
        <v>10</v>
      </c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0.58333333333333337</v>
      </c>
      <c r="AD9" s="10">
        <f t="shared" si="7"/>
        <v>0.58333333333333337</v>
      </c>
      <c r="AE9" s="36">
        <f t="shared" si="8"/>
        <v>0.37777777777777782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220</v>
      </c>
      <c r="D10" s="52" t="s">
        <v>412</v>
      </c>
      <c r="E10" s="53" t="s">
        <v>404</v>
      </c>
      <c r="F10" s="30" t="s">
        <v>122</v>
      </c>
      <c r="G10" s="33">
        <v>2</v>
      </c>
      <c r="H10" s="35">
        <v>24</v>
      </c>
      <c r="I10" s="7">
        <v>90000</v>
      </c>
      <c r="J10" s="5">
        <v>5830</v>
      </c>
      <c r="K10" s="15">
        <f>L10+1714+13656+15988+16420</f>
        <v>53608</v>
      </c>
      <c r="L10" s="15">
        <f>2915*2</f>
        <v>5830</v>
      </c>
      <c r="M10" s="15">
        <f t="shared" si="1"/>
        <v>5830</v>
      </c>
      <c r="N10" s="15">
        <v>0</v>
      </c>
      <c r="O10" s="58">
        <f t="shared" si="2"/>
        <v>0</v>
      </c>
      <c r="P10" s="39">
        <f t="shared" si="3"/>
        <v>9</v>
      </c>
      <c r="Q10" s="40">
        <f t="shared" si="4"/>
        <v>15</v>
      </c>
      <c r="R10" s="7"/>
      <c r="S10" s="6">
        <v>15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0.375</v>
      </c>
      <c r="AD10" s="10">
        <f>AC10*AB10*(1-O10)</f>
        <v>0.375</v>
      </c>
      <c r="AE10" s="36">
        <f t="shared" si="8"/>
        <v>0.37777777777777782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220</v>
      </c>
      <c r="D11" s="52" t="s">
        <v>427</v>
      </c>
      <c r="E11" s="53" t="s">
        <v>428</v>
      </c>
      <c r="F11" s="30" t="s">
        <v>122</v>
      </c>
      <c r="G11" s="33" t="s">
        <v>415</v>
      </c>
      <c r="H11" s="35">
        <v>20</v>
      </c>
      <c r="I11" s="7">
        <v>30000</v>
      </c>
      <c r="J11" s="14">
        <v>3680</v>
      </c>
      <c r="K11" s="15">
        <f>L11+3140+4571+411</f>
        <v>11802</v>
      </c>
      <c r="L11" s="15">
        <f>1976+1704</f>
        <v>3680</v>
      </c>
      <c r="M11" s="15">
        <f t="shared" si="1"/>
        <v>3680</v>
      </c>
      <c r="N11" s="15">
        <v>0</v>
      </c>
      <c r="O11" s="58">
        <f t="shared" si="2"/>
        <v>0</v>
      </c>
      <c r="P11" s="39">
        <f t="shared" si="3"/>
        <v>18</v>
      </c>
      <c r="Q11" s="40">
        <f t="shared" si="4"/>
        <v>6</v>
      </c>
      <c r="R11" s="7"/>
      <c r="S11" s="6">
        <v>6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0.75</v>
      </c>
      <c r="AD11" s="10">
        <f t="shared" ref="AD11" si="10">AC11*AB11*(1-O11)</f>
        <v>0.75</v>
      </c>
      <c r="AE11" s="36">
        <f t="shared" si="8"/>
        <v>0.37777777777777782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122</v>
      </c>
      <c r="G12" s="33">
        <v>1</v>
      </c>
      <c r="H12" s="35">
        <v>20</v>
      </c>
      <c r="I12" s="7">
        <v>15000</v>
      </c>
      <c r="J12" s="14">
        <v>351</v>
      </c>
      <c r="K12" s="15">
        <f>L12+4890+5161+4192</f>
        <v>14594</v>
      </c>
      <c r="L12" s="15">
        <v>351</v>
      </c>
      <c r="M12" s="15">
        <f t="shared" si="1"/>
        <v>351</v>
      </c>
      <c r="N12" s="15">
        <v>0</v>
      </c>
      <c r="O12" s="58">
        <f t="shared" si="2"/>
        <v>0</v>
      </c>
      <c r="P12" s="39">
        <f t="shared" si="3"/>
        <v>3</v>
      </c>
      <c r="Q12" s="40">
        <f t="shared" si="4"/>
        <v>21</v>
      </c>
      <c r="R12" s="7"/>
      <c r="S12" s="6">
        <v>21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0.125</v>
      </c>
      <c r="AD12" s="10">
        <f t="shared" si="7"/>
        <v>0.125</v>
      </c>
      <c r="AE12" s="36">
        <f t="shared" si="8"/>
        <v>0.37777777777777782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126</v>
      </c>
      <c r="E13" s="53" t="s">
        <v>460</v>
      </c>
      <c r="F13" s="30" t="s">
        <v>122</v>
      </c>
      <c r="G13" s="33">
        <v>1</v>
      </c>
      <c r="H13" s="35">
        <v>24</v>
      </c>
      <c r="I13" s="7">
        <v>2000</v>
      </c>
      <c r="J13" s="14">
        <v>4609</v>
      </c>
      <c r="K13" s="15">
        <f>L13</f>
        <v>4609</v>
      </c>
      <c r="L13" s="15">
        <f>2358+2251</f>
        <v>4609</v>
      </c>
      <c r="M13" s="15">
        <f t="shared" si="1"/>
        <v>4609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0.37777777777777782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206</v>
      </c>
      <c r="D14" s="52" t="s">
        <v>208</v>
      </c>
      <c r="E14" s="53" t="s">
        <v>205</v>
      </c>
      <c r="F14" s="30" t="s">
        <v>116</v>
      </c>
      <c r="G14" s="12">
        <v>1</v>
      </c>
      <c r="H14" s="13">
        <v>28</v>
      </c>
      <c r="I14" s="7">
        <v>21000</v>
      </c>
      <c r="J14" s="5">
        <v>131</v>
      </c>
      <c r="K14" s="15">
        <f t="shared" ref="K14" si="11"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0.37777777777777782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114</v>
      </c>
      <c r="D15" s="52" t="s">
        <v>165</v>
      </c>
      <c r="E15" s="53" t="s">
        <v>369</v>
      </c>
      <c r="F15" s="12" t="s">
        <v>158</v>
      </c>
      <c r="G15" s="12">
        <v>1</v>
      </c>
      <c r="H15" s="13">
        <v>24</v>
      </c>
      <c r="I15" s="31">
        <v>1700</v>
      </c>
      <c r="J15" s="14">
        <v>878</v>
      </c>
      <c r="K15" s="15">
        <f>L15+878</f>
        <v>878</v>
      </c>
      <c r="L15" s="15">
        <v>0</v>
      </c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0.37777777777777782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119</v>
      </c>
      <c r="E16" s="53" t="s">
        <v>319</v>
      </c>
      <c r="F16" s="30" t="s">
        <v>135</v>
      </c>
      <c r="G16" s="12">
        <v>1</v>
      </c>
      <c r="H16" s="13">
        <v>28</v>
      </c>
      <c r="I16" s="7">
        <v>690</v>
      </c>
      <c r="J16" s="14">
        <v>829</v>
      </c>
      <c r="K16" s="15">
        <f>L16</f>
        <v>829</v>
      </c>
      <c r="L16" s="15">
        <f>829</f>
        <v>829</v>
      </c>
      <c r="M16" s="15">
        <f t="shared" si="1"/>
        <v>829</v>
      </c>
      <c r="N16" s="15">
        <v>0</v>
      </c>
      <c r="O16" s="58">
        <f t="shared" si="2"/>
        <v>0</v>
      </c>
      <c r="P16" s="39">
        <f t="shared" si="3"/>
        <v>6</v>
      </c>
      <c r="Q16" s="40">
        <f t="shared" si="4"/>
        <v>18</v>
      </c>
      <c r="R16" s="7"/>
      <c r="S16" s="6">
        <v>18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0.25</v>
      </c>
      <c r="AD16" s="10">
        <f t="shared" si="7"/>
        <v>0.25</v>
      </c>
      <c r="AE16" s="36">
        <f t="shared" si="8"/>
        <v>0.37777777777777782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114</v>
      </c>
      <c r="D17" s="52" t="s">
        <v>165</v>
      </c>
      <c r="E17" s="53" t="s">
        <v>493</v>
      </c>
      <c r="F17" s="30" t="s">
        <v>158</v>
      </c>
      <c r="G17" s="33">
        <v>1</v>
      </c>
      <c r="H17" s="35">
        <v>20</v>
      </c>
      <c r="I17" s="7">
        <v>500</v>
      </c>
      <c r="J17" s="14">
        <v>533</v>
      </c>
      <c r="K17" s="15">
        <f>L17+533</f>
        <v>533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0.37777777777777782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126</v>
      </c>
      <c r="E18" s="53" t="s">
        <v>188</v>
      </c>
      <c r="F18" s="30" t="s">
        <v>128</v>
      </c>
      <c r="G18" s="33">
        <v>1</v>
      </c>
      <c r="H18" s="35">
        <v>24</v>
      </c>
      <c r="I18" s="7">
        <v>15000</v>
      </c>
      <c r="J18" s="5">
        <v>2483</v>
      </c>
      <c r="K18" s="15">
        <f>L18</f>
        <v>2483</v>
      </c>
      <c r="L18" s="15">
        <v>2483</v>
      </c>
      <c r="M18" s="15">
        <f t="shared" si="1"/>
        <v>2483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>AC18*AB18*(1-O18)</f>
        <v>0.58333333333333337</v>
      </c>
      <c r="AE18" s="36">
        <f t="shared" si="8"/>
        <v>0.37777777777777782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125</v>
      </c>
      <c r="D19" s="52" t="s">
        <v>117</v>
      </c>
      <c r="E19" s="53" t="s">
        <v>144</v>
      </c>
      <c r="F19" s="30" t="s">
        <v>122</v>
      </c>
      <c r="G19" s="33">
        <v>1</v>
      </c>
      <c r="H19" s="35">
        <v>24</v>
      </c>
      <c r="I19" s="7">
        <v>120000</v>
      </c>
      <c r="J19" s="5">
        <v>5326</v>
      </c>
      <c r="K19" s="15">
        <f>L19+4376+4932+3746+2629+4823+3796+4027+5078+3986+4575+4282+4124+5194+424+2663+4223+4771+2984+1155+2915+3402+2253+3699+5027</f>
        <v>94410</v>
      </c>
      <c r="L19" s="15">
        <f>2367+2472+487</f>
        <v>5326</v>
      </c>
      <c r="M19" s="15">
        <f t="shared" si="1"/>
        <v>5326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2">AC19*AB19*(1-O19)</f>
        <v>1</v>
      </c>
      <c r="AE19" s="36">
        <f t="shared" ref="AE19" si="13">$AD$20</f>
        <v>0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313</v>
      </c>
      <c r="F20" s="12" t="s">
        <v>116</v>
      </c>
      <c r="G20" s="12">
        <v>4</v>
      </c>
      <c r="H20" s="35">
        <v>20</v>
      </c>
      <c r="I20" s="7">
        <v>300000</v>
      </c>
      <c r="J20" s="14">
        <v>25380</v>
      </c>
      <c r="K20" s="15">
        <f>L20+41444+25380</f>
        <v>66824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>$AD$21</f>
        <v>0.37777777777777782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4">SUM(I6:I20)</f>
        <v>651290</v>
      </c>
      <c r="J21" s="19">
        <f t="shared" si="14"/>
        <v>59906</v>
      </c>
      <c r="K21" s="20">
        <f t="shared" si="14"/>
        <v>312077</v>
      </c>
      <c r="L21" s="21">
        <f t="shared" si="14"/>
        <v>30923</v>
      </c>
      <c r="M21" s="20">
        <f t="shared" si="14"/>
        <v>30923</v>
      </c>
      <c r="N21" s="21">
        <f t="shared" si="14"/>
        <v>0</v>
      </c>
      <c r="O21" s="41">
        <f t="shared" si="2"/>
        <v>0</v>
      </c>
      <c r="P21" s="42">
        <f t="shared" ref="P21:AA21" si="15">SUM(P6:P20)</f>
        <v>136</v>
      </c>
      <c r="Q21" s="43">
        <f t="shared" si="15"/>
        <v>224</v>
      </c>
      <c r="R21" s="23">
        <f t="shared" si="15"/>
        <v>24</v>
      </c>
      <c r="S21" s="24">
        <f t="shared" si="15"/>
        <v>118</v>
      </c>
      <c r="T21" s="24">
        <f t="shared" si="15"/>
        <v>10</v>
      </c>
      <c r="U21" s="24">
        <f t="shared" si="15"/>
        <v>0</v>
      </c>
      <c r="V21" s="25">
        <f t="shared" si="15"/>
        <v>24</v>
      </c>
      <c r="W21" s="26">
        <f t="shared" si="15"/>
        <v>48</v>
      </c>
      <c r="X21" s="27">
        <f t="shared" si="15"/>
        <v>0</v>
      </c>
      <c r="Y21" s="27">
        <f t="shared" si="15"/>
        <v>0</v>
      </c>
      <c r="Z21" s="27">
        <f t="shared" si="15"/>
        <v>0</v>
      </c>
      <c r="AA21" s="27">
        <f t="shared" si="15"/>
        <v>0</v>
      </c>
      <c r="AB21" s="28">
        <f>SUM(AB6:AB20)/15</f>
        <v>0.6</v>
      </c>
      <c r="AC21" s="4">
        <f>SUM(AC6:AC20)/15</f>
        <v>0.37777777777777782</v>
      </c>
      <c r="AD21" s="4">
        <f>SUM(AD6:AD20)/15</f>
        <v>0.37777777777777782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509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513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333" t="s">
        <v>46</v>
      </c>
      <c r="D50" s="333" t="s">
        <v>47</v>
      </c>
      <c r="E50" s="333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333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114</v>
      </c>
      <c r="B51" s="420"/>
      <c r="C51" s="331" t="s">
        <v>168</v>
      </c>
      <c r="D51" s="331" t="s">
        <v>133</v>
      </c>
      <c r="E51" s="331" t="s">
        <v>309</v>
      </c>
      <c r="F51" s="421" t="s">
        <v>121</v>
      </c>
      <c r="G51" s="422"/>
      <c r="H51" s="422"/>
      <c r="I51" s="422"/>
      <c r="J51" s="422"/>
      <c r="K51" s="422"/>
      <c r="L51" s="422"/>
      <c r="M51" s="423"/>
      <c r="N51" s="330" t="s">
        <v>220</v>
      </c>
      <c r="O51" s="328" t="s">
        <v>201</v>
      </c>
      <c r="P51" s="433" t="s">
        <v>427</v>
      </c>
      <c r="Q51" s="434"/>
      <c r="R51" s="420" t="s">
        <v>428</v>
      </c>
      <c r="S51" s="420"/>
      <c r="T51" s="420"/>
      <c r="U51" s="420"/>
      <c r="V51" s="410" t="s">
        <v>127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220</v>
      </c>
      <c r="B52" s="420"/>
      <c r="C52" s="331" t="s">
        <v>171</v>
      </c>
      <c r="D52" s="331" t="s">
        <v>407</v>
      </c>
      <c r="E52" s="331" t="s">
        <v>404</v>
      </c>
      <c r="F52" s="421" t="s">
        <v>295</v>
      </c>
      <c r="G52" s="422"/>
      <c r="H52" s="422"/>
      <c r="I52" s="422"/>
      <c r="J52" s="422"/>
      <c r="K52" s="422"/>
      <c r="L52" s="422"/>
      <c r="M52" s="423"/>
      <c r="N52" s="330" t="s">
        <v>220</v>
      </c>
      <c r="O52" s="328" t="s">
        <v>171</v>
      </c>
      <c r="P52" s="433" t="s">
        <v>407</v>
      </c>
      <c r="Q52" s="434"/>
      <c r="R52" s="420" t="s">
        <v>404</v>
      </c>
      <c r="S52" s="420"/>
      <c r="T52" s="420"/>
      <c r="U52" s="420"/>
      <c r="V52" s="410" t="s">
        <v>127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220</v>
      </c>
      <c r="B53" s="420"/>
      <c r="C53" s="331" t="s">
        <v>201</v>
      </c>
      <c r="D53" s="331" t="s">
        <v>427</v>
      </c>
      <c r="E53" s="331" t="s">
        <v>428</v>
      </c>
      <c r="F53" s="421" t="s">
        <v>510</v>
      </c>
      <c r="G53" s="422"/>
      <c r="H53" s="422"/>
      <c r="I53" s="422"/>
      <c r="J53" s="422"/>
      <c r="K53" s="422"/>
      <c r="L53" s="422"/>
      <c r="M53" s="423"/>
      <c r="N53" s="330" t="s">
        <v>125</v>
      </c>
      <c r="O53" s="328" t="s">
        <v>134</v>
      </c>
      <c r="P53" s="433" t="s">
        <v>195</v>
      </c>
      <c r="Q53" s="434"/>
      <c r="R53" s="420" t="s">
        <v>196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331" t="s">
        <v>129</v>
      </c>
      <c r="D54" s="331" t="s">
        <v>126</v>
      </c>
      <c r="E54" s="331" t="s">
        <v>460</v>
      </c>
      <c r="F54" s="421" t="s">
        <v>127</v>
      </c>
      <c r="G54" s="422"/>
      <c r="H54" s="422"/>
      <c r="I54" s="422"/>
      <c r="J54" s="422"/>
      <c r="K54" s="422"/>
      <c r="L54" s="422"/>
      <c r="M54" s="423"/>
      <c r="N54" s="330" t="s">
        <v>125</v>
      </c>
      <c r="O54" s="328" t="s">
        <v>182</v>
      </c>
      <c r="P54" s="433" t="s">
        <v>123</v>
      </c>
      <c r="Q54" s="434"/>
      <c r="R54" s="420" t="s">
        <v>515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331" t="s">
        <v>132</v>
      </c>
      <c r="D55" s="331" t="s">
        <v>126</v>
      </c>
      <c r="E55" s="331" t="s">
        <v>188</v>
      </c>
      <c r="F55" s="421" t="s">
        <v>511</v>
      </c>
      <c r="G55" s="422"/>
      <c r="H55" s="422"/>
      <c r="I55" s="422"/>
      <c r="J55" s="422"/>
      <c r="K55" s="422"/>
      <c r="L55" s="422"/>
      <c r="M55" s="423"/>
      <c r="N55" s="330" t="s">
        <v>125</v>
      </c>
      <c r="O55" s="328" t="s">
        <v>230</v>
      </c>
      <c r="P55" s="433" t="s">
        <v>117</v>
      </c>
      <c r="Q55" s="434"/>
      <c r="R55" s="420" t="s">
        <v>285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331" t="s">
        <v>299</v>
      </c>
      <c r="D56" s="331" t="s">
        <v>165</v>
      </c>
      <c r="E56" s="331" t="s">
        <v>369</v>
      </c>
      <c r="F56" s="421" t="s">
        <v>512</v>
      </c>
      <c r="G56" s="422"/>
      <c r="H56" s="422"/>
      <c r="I56" s="422"/>
      <c r="J56" s="422"/>
      <c r="K56" s="422"/>
      <c r="L56" s="422"/>
      <c r="M56" s="423"/>
      <c r="N56" s="330"/>
      <c r="O56" s="328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331" t="s">
        <v>134</v>
      </c>
      <c r="D57" s="331" t="s">
        <v>117</v>
      </c>
      <c r="E57" s="331" t="s">
        <v>118</v>
      </c>
      <c r="F57" s="421" t="s">
        <v>469</v>
      </c>
      <c r="G57" s="422"/>
      <c r="H57" s="422"/>
      <c r="I57" s="422"/>
      <c r="J57" s="422"/>
      <c r="K57" s="422"/>
      <c r="L57" s="422"/>
      <c r="M57" s="423"/>
      <c r="N57" s="330"/>
      <c r="O57" s="328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114</v>
      </c>
      <c r="B58" s="420"/>
      <c r="C58" s="331" t="s">
        <v>182</v>
      </c>
      <c r="D58" s="331" t="s">
        <v>117</v>
      </c>
      <c r="E58" s="331" t="s">
        <v>319</v>
      </c>
      <c r="F58" s="421" t="s">
        <v>514</v>
      </c>
      <c r="G58" s="422"/>
      <c r="H58" s="422"/>
      <c r="I58" s="422"/>
      <c r="J58" s="422"/>
      <c r="K58" s="422"/>
      <c r="L58" s="422"/>
      <c r="M58" s="423"/>
      <c r="N58" s="330"/>
      <c r="O58" s="328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331"/>
      <c r="D59" s="331"/>
      <c r="E59" s="331"/>
      <c r="F59" s="421"/>
      <c r="G59" s="422"/>
      <c r="H59" s="422"/>
      <c r="I59" s="422"/>
      <c r="J59" s="422"/>
      <c r="K59" s="422"/>
      <c r="L59" s="422"/>
      <c r="M59" s="423"/>
      <c r="N59" s="330"/>
      <c r="O59" s="328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332"/>
      <c r="D60" s="332"/>
      <c r="E60" s="332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516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329" t="s">
        <v>2</v>
      </c>
      <c r="D62" s="329" t="s">
        <v>37</v>
      </c>
      <c r="E62" s="329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329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324"/>
      <c r="E63" s="327" t="s">
        <v>117</v>
      </c>
      <c r="F63" s="408" t="s">
        <v>517</v>
      </c>
      <c r="G63" s="400"/>
      <c r="H63" s="400"/>
      <c r="I63" s="400"/>
      <c r="J63" s="400"/>
      <c r="K63" s="400" t="s">
        <v>124</v>
      </c>
      <c r="L63" s="400"/>
      <c r="M63" s="51" t="s">
        <v>136</v>
      </c>
      <c r="N63" s="411" t="s">
        <v>168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114</v>
      </c>
      <c r="D64" s="324"/>
      <c r="E64" s="327" t="s">
        <v>518</v>
      </c>
      <c r="F64" s="408" t="s">
        <v>519</v>
      </c>
      <c r="G64" s="400"/>
      <c r="H64" s="400"/>
      <c r="I64" s="400"/>
      <c r="J64" s="400"/>
      <c r="K64" s="400">
        <v>7301</v>
      </c>
      <c r="L64" s="400"/>
      <c r="M64" s="51" t="s">
        <v>520</v>
      </c>
      <c r="N64" s="411" t="s">
        <v>182</v>
      </c>
      <c r="O64" s="411"/>
      <c r="P64" s="409">
        <v>10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324"/>
      <c r="E65" s="327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324"/>
      <c r="E66" s="327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324"/>
      <c r="E67" s="327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324"/>
      <c r="E68" s="327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324"/>
      <c r="E69" s="327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324"/>
      <c r="E70" s="327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521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326" t="s">
        <v>2</v>
      </c>
      <c r="D72" s="326" t="s">
        <v>37</v>
      </c>
      <c r="E72" s="326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325" t="s">
        <v>114</v>
      </c>
      <c r="D73" s="325"/>
      <c r="E73" s="65" t="s">
        <v>119</v>
      </c>
      <c r="F73" s="389" t="s">
        <v>118</v>
      </c>
      <c r="G73" s="390"/>
      <c r="H73" s="390"/>
      <c r="I73" s="390"/>
      <c r="J73" s="391"/>
      <c r="K73" s="392" t="s">
        <v>522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324"/>
      <c r="D74" s="324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6">A74+1</f>
        <v>3</v>
      </c>
      <c r="B75" s="368"/>
      <c r="C75" s="324"/>
      <c r="D75" s="324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6"/>
        <v>4</v>
      </c>
      <c r="B76" s="368"/>
      <c r="C76" s="324"/>
      <c r="D76" s="324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6"/>
        <v>5</v>
      </c>
      <c r="B77" s="368"/>
      <c r="C77" s="324"/>
      <c r="D77" s="324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6"/>
        <v>6</v>
      </c>
      <c r="B78" s="368"/>
      <c r="C78" s="324"/>
      <c r="D78" s="324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6"/>
        <v>7</v>
      </c>
      <c r="B79" s="368"/>
      <c r="C79" s="324"/>
      <c r="D79" s="324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6"/>
        <v>8</v>
      </c>
      <c r="B80" s="368"/>
      <c r="C80" s="324"/>
      <c r="D80" s="324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6"/>
        <v>9</v>
      </c>
      <c r="B81" s="368"/>
      <c r="C81" s="324"/>
      <c r="D81" s="324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523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7"/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36D4-7282-4ED5-87BD-BD8A0EA9E44C}">
  <dimension ref="A1:AF87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524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35" t="s">
        <v>17</v>
      </c>
      <c r="L5" s="335" t="s">
        <v>18</v>
      </c>
      <c r="M5" s="335" t="s">
        <v>19</v>
      </c>
      <c r="N5" s="3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9" si="8">$AD$22</f>
        <v>0.48611111111111105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0.48611111111111105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143</v>
      </c>
      <c r="F8" s="30" t="s">
        <v>124</v>
      </c>
      <c r="G8" s="33">
        <v>1</v>
      </c>
      <c r="H8" s="35">
        <v>24</v>
      </c>
      <c r="I8" s="7">
        <v>32000</v>
      </c>
      <c r="J8" s="14">
        <v>5809</v>
      </c>
      <c r="K8" s="15">
        <f>L8+4982+5992+5775+4932+2901+5851+5827+5884+5367</f>
        <v>53320</v>
      </c>
      <c r="L8" s="15">
        <f>2755+3054</f>
        <v>5809</v>
      </c>
      <c r="M8" s="15">
        <f t="shared" si="1"/>
        <v>5809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0.48611111111111105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309</v>
      </c>
      <c r="F9" s="30" t="s">
        <v>135</v>
      </c>
      <c r="G9" s="33">
        <v>1</v>
      </c>
      <c r="H9" s="35">
        <v>24</v>
      </c>
      <c r="I9" s="7">
        <v>2400</v>
      </c>
      <c r="J9" s="14">
        <v>2448</v>
      </c>
      <c r="K9" s="15">
        <f>L9+2448</f>
        <v>2448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0.48611111111111105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220</v>
      </c>
      <c r="D10" s="52" t="s">
        <v>412</v>
      </c>
      <c r="E10" s="53" t="s">
        <v>404</v>
      </c>
      <c r="F10" s="30" t="s">
        <v>122</v>
      </c>
      <c r="G10" s="33">
        <v>2</v>
      </c>
      <c r="H10" s="35">
        <v>24</v>
      </c>
      <c r="I10" s="7">
        <v>90000</v>
      </c>
      <c r="J10" s="5">
        <v>12022</v>
      </c>
      <c r="K10" s="15">
        <f>L10+1714+13656+15988+16420+5830</f>
        <v>65630</v>
      </c>
      <c r="L10" s="15">
        <f>3786*2+2225*2</f>
        <v>12022</v>
      </c>
      <c r="M10" s="15">
        <f t="shared" si="1"/>
        <v>12022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0.48611111111111105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220</v>
      </c>
      <c r="D11" s="52" t="s">
        <v>427</v>
      </c>
      <c r="E11" s="53" t="s">
        <v>428</v>
      </c>
      <c r="F11" s="30" t="s">
        <v>122</v>
      </c>
      <c r="G11" s="33" t="s">
        <v>415</v>
      </c>
      <c r="H11" s="35">
        <v>20</v>
      </c>
      <c r="I11" s="7">
        <v>30000</v>
      </c>
      <c r="J11" s="14">
        <v>4703</v>
      </c>
      <c r="K11" s="15">
        <f>L11+3140+4571+411+3680</f>
        <v>16505</v>
      </c>
      <c r="L11" s="15">
        <f>3048+1655</f>
        <v>4703</v>
      </c>
      <c r="M11" s="15">
        <f t="shared" si="1"/>
        <v>4703</v>
      </c>
      <c r="N11" s="15">
        <v>0</v>
      </c>
      <c r="O11" s="58">
        <f t="shared" si="2"/>
        <v>0</v>
      </c>
      <c r="P11" s="39">
        <f t="shared" si="3"/>
        <v>19</v>
      </c>
      <c r="Q11" s="40">
        <f t="shared" si="4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0.79166666666666663</v>
      </c>
      <c r="AD11" s="10">
        <f t="shared" ref="AD11" si="10">AC11*AB11*(1-O11)</f>
        <v>0.79166666666666663</v>
      </c>
      <c r="AE11" s="36">
        <f t="shared" si="8"/>
        <v>0.48611111111111105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125</v>
      </c>
      <c r="D12" s="52" t="s">
        <v>195</v>
      </c>
      <c r="E12" s="53" t="s">
        <v>196</v>
      </c>
      <c r="F12" s="30" t="s">
        <v>150</v>
      </c>
      <c r="G12" s="33">
        <v>1</v>
      </c>
      <c r="H12" s="35">
        <v>20</v>
      </c>
      <c r="I12" s="7">
        <v>4000</v>
      </c>
      <c r="J12" s="14">
        <v>2578</v>
      </c>
      <c r="K12" s="15">
        <f>L12</f>
        <v>2578</v>
      </c>
      <c r="L12" s="15">
        <f>2145+433</f>
        <v>2578</v>
      </c>
      <c r="M12" s="15">
        <f t="shared" si="1"/>
        <v>2578</v>
      </c>
      <c r="N12" s="15">
        <v>0</v>
      </c>
      <c r="O12" s="58">
        <f t="shared" si="2"/>
        <v>0</v>
      </c>
      <c r="P12" s="39">
        <f t="shared" si="3"/>
        <v>16</v>
      </c>
      <c r="Q12" s="40">
        <f t="shared" si="4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0.66666666666666663</v>
      </c>
      <c r="AD12" s="10">
        <f t="shared" si="7"/>
        <v>0.66666666666666663</v>
      </c>
      <c r="AE12" s="36">
        <f t="shared" si="8"/>
        <v>0.48611111111111105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126</v>
      </c>
      <c r="E13" s="53" t="s">
        <v>460</v>
      </c>
      <c r="F13" s="30" t="s">
        <v>122</v>
      </c>
      <c r="G13" s="33">
        <v>1</v>
      </c>
      <c r="H13" s="35">
        <v>24</v>
      </c>
      <c r="I13" s="7">
        <v>2000</v>
      </c>
      <c r="J13" s="14">
        <v>813</v>
      </c>
      <c r="K13" s="15">
        <f>L13+4609</f>
        <v>5422</v>
      </c>
      <c r="L13" s="15">
        <v>813</v>
      </c>
      <c r="M13" s="15">
        <f t="shared" si="1"/>
        <v>813</v>
      </c>
      <c r="N13" s="15">
        <v>0</v>
      </c>
      <c r="O13" s="58">
        <f t="shared" si="2"/>
        <v>0</v>
      </c>
      <c r="P13" s="39">
        <f t="shared" si="3"/>
        <v>5</v>
      </c>
      <c r="Q13" s="40">
        <f t="shared" si="4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5"/>
        <v>1</v>
      </c>
      <c r="AC13" s="9">
        <f t="shared" si="6"/>
        <v>0.20833333333333334</v>
      </c>
      <c r="AD13" s="10">
        <f t="shared" si="7"/>
        <v>0.20833333333333334</v>
      </c>
      <c r="AE13" s="36">
        <f t="shared" si="8"/>
        <v>0.48611111111111105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125</v>
      </c>
      <c r="D14" s="52" t="s">
        <v>117</v>
      </c>
      <c r="E14" s="53" t="s">
        <v>525</v>
      </c>
      <c r="F14" s="30" t="s">
        <v>197</v>
      </c>
      <c r="G14" s="33">
        <v>1</v>
      </c>
      <c r="H14" s="35">
        <v>24</v>
      </c>
      <c r="I14" s="7">
        <v>1000</v>
      </c>
      <c r="J14" s="14">
        <v>2012</v>
      </c>
      <c r="K14" s="15">
        <f>L14</f>
        <v>2012</v>
      </c>
      <c r="L14" s="15">
        <f>681+1331</f>
        <v>2012</v>
      </c>
      <c r="M14" s="15">
        <f t="shared" ref="M14" si="11">L14-N14</f>
        <v>2012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16</v>
      </c>
      <c r="Q14" s="40">
        <f t="shared" ref="Q14" si="14">SUM(R14:AA14)</f>
        <v>8</v>
      </c>
      <c r="R14" s="7"/>
      <c r="S14" s="6"/>
      <c r="T14" s="16">
        <v>8</v>
      </c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0.66666666666666663</v>
      </c>
      <c r="AD14" s="10">
        <f t="shared" ref="AD14" si="17">AC14*AB14*(1-O14)</f>
        <v>0.66666666666666663</v>
      </c>
      <c r="AE14" s="36">
        <f t="shared" si="8"/>
        <v>0.48611111111111105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206</v>
      </c>
      <c r="D15" s="52" t="s">
        <v>208</v>
      </c>
      <c r="E15" s="53" t="s">
        <v>205</v>
      </c>
      <c r="F15" s="30" t="s">
        <v>116</v>
      </c>
      <c r="G15" s="12">
        <v>1</v>
      </c>
      <c r="H15" s="13">
        <v>28</v>
      </c>
      <c r="I15" s="7">
        <v>21000</v>
      </c>
      <c r="J15" s="5">
        <v>131</v>
      </c>
      <c r="K15" s="15">
        <f t="shared" ref="K15" si="19"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0.48611111111111105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114</v>
      </c>
      <c r="D16" s="52" t="s">
        <v>165</v>
      </c>
      <c r="E16" s="53" t="s">
        <v>369</v>
      </c>
      <c r="F16" s="12" t="s">
        <v>158</v>
      </c>
      <c r="G16" s="12">
        <v>1</v>
      </c>
      <c r="H16" s="13">
        <v>24</v>
      </c>
      <c r="I16" s="31">
        <v>1700</v>
      </c>
      <c r="J16" s="14">
        <v>878</v>
      </c>
      <c r="K16" s="15">
        <f>L16+878</f>
        <v>878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0.48611111111111105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125</v>
      </c>
      <c r="D17" s="52" t="s">
        <v>123</v>
      </c>
      <c r="E17" s="53" t="s">
        <v>515</v>
      </c>
      <c r="F17" s="30" t="s">
        <v>124</v>
      </c>
      <c r="G17" s="12">
        <v>1</v>
      </c>
      <c r="H17" s="13">
        <v>28</v>
      </c>
      <c r="I17" s="7">
        <v>7000</v>
      </c>
      <c r="J17" s="14">
        <v>5524</v>
      </c>
      <c r="K17" s="15">
        <f>L17</f>
        <v>5524</v>
      </c>
      <c r="L17" s="15">
        <f>2531+2993</f>
        <v>5524</v>
      </c>
      <c r="M17" s="15">
        <f t="shared" si="1"/>
        <v>5524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0.48611111111111105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114</v>
      </c>
      <c r="D18" s="52" t="s">
        <v>165</v>
      </c>
      <c r="E18" s="53" t="s">
        <v>493</v>
      </c>
      <c r="F18" s="30" t="s">
        <v>158</v>
      </c>
      <c r="G18" s="33">
        <v>1</v>
      </c>
      <c r="H18" s="35">
        <v>20</v>
      </c>
      <c r="I18" s="7">
        <v>500</v>
      </c>
      <c r="J18" s="14">
        <v>533</v>
      </c>
      <c r="K18" s="15">
        <f>L18+533</f>
        <v>533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0.48611111111111105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126</v>
      </c>
      <c r="E19" s="53" t="s">
        <v>188</v>
      </c>
      <c r="F19" s="30" t="s">
        <v>128</v>
      </c>
      <c r="G19" s="33">
        <v>1</v>
      </c>
      <c r="H19" s="35">
        <v>24</v>
      </c>
      <c r="I19" s="7">
        <v>15000</v>
      </c>
      <c r="J19" s="5">
        <v>3339</v>
      </c>
      <c r="K19" s="15">
        <f>L19+2483</f>
        <v>5822</v>
      </c>
      <c r="L19" s="15">
        <f>2802+537</f>
        <v>3339</v>
      </c>
      <c r="M19" s="15">
        <f t="shared" si="1"/>
        <v>3339</v>
      </c>
      <c r="N19" s="15">
        <v>0</v>
      </c>
      <c r="O19" s="58">
        <f t="shared" si="2"/>
        <v>0</v>
      </c>
      <c r="P19" s="39">
        <f t="shared" si="3"/>
        <v>18</v>
      </c>
      <c r="Q19" s="40">
        <f t="shared" si="4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0.75</v>
      </c>
      <c r="AD19" s="10">
        <f>AC19*AB19*(1-O19)</f>
        <v>0.75</v>
      </c>
      <c r="AE19" s="36">
        <f t="shared" si="8"/>
        <v>0.48611111111111105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285</v>
      </c>
      <c r="F20" s="30" t="s">
        <v>122</v>
      </c>
      <c r="G20" s="33">
        <v>1</v>
      </c>
      <c r="H20" s="35">
        <v>24</v>
      </c>
      <c r="I20" s="7">
        <v>4000</v>
      </c>
      <c r="J20" s="5">
        <v>3908</v>
      </c>
      <c r="K20" s="15">
        <f>L20</f>
        <v>3908</v>
      </c>
      <c r="L20" s="15">
        <f>1474+2434</f>
        <v>3908</v>
      </c>
      <c r="M20" s="15">
        <f t="shared" si="1"/>
        <v>3908</v>
      </c>
      <c r="N20" s="15">
        <v>0</v>
      </c>
      <c r="O20" s="58">
        <f t="shared" si="2"/>
        <v>0</v>
      </c>
      <c r="P20" s="39">
        <f t="shared" si="3"/>
        <v>21</v>
      </c>
      <c r="Q20" s="40">
        <f t="shared" si="4"/>
        <v>3</v>
      </c>
      <c r="R20" s="7"/>
      <c r="S20" s="6"/>
      <c r="T20" s="16">
        <v>3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0.875</v>
      </c>
      <c r="AD20" s="10">
        <f t="shared" ref="AD20" si="20">AC20*AB20*(1-O20)</f>
        <v>0.875</v>
      </c>
      <c r="AE20" s="36">
        <f t="shared" ref="AE20" si="21">$AD$21</f>
        <v>0.45833333333333331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138</v>
      </c>
      <c r="F21" s="12" t="s">
        <v>116</v>
      </c>
      <c r="G21" s="12">
        <v>4</v>
      </c>
      <c r="H21" s="35">
        <v>20</v>
      </c>
      <c r="I21" s="7">
        <v>100000</v>
      </c>
      <c r="J21" s="14">
        <v>37344</v>
      </c>
      <c r="K21" s="15">
        <f>L21</f>
        <v>37344</v>
      </c>
      <c r="L21" s="15">
        <f>9336*4</f>
        <v>37344</v>
      </c>
      <c r="M21" s="15">
        <f t="shared" si="1"/>
        <v>37344</v>
      </c>
      <c r="N21" s="15">
        <v>0</v>
      </c>
      <c r="O21" s="58">
        <f t="shared" si="2"/>
        <v>0</v>
      </c>
      <c r="P21" s="39">
        <f t="shared" si="3"/>
        <v>11</v>
      </c>
      <c r="Q21" s="40">
        <f t="shared" si="4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0.45833333333333331</v>
      </c>
      <c r="AD21" s="10">
        <f t="shared" si="7"/>
        <v>0.45833333333333331</v>
      </c>
      <c r="AE21" s="36">
        <f>$AD$22</f>
        <v>0.48611111111111105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22">SUM(I6:I21)</f>
        <v>331600</v>
      </c>
      <c r="J22" s="19">
        <f t="shared" si="22"/>
        <v>84103</v>
      </c>
      <c r="K22" s="20">
        <f t="shared" si="22"/>
        <v>213472</v>
      </c>
      <c r="L22" s="21">
        <f t="shared" si="22"/>
        <v>78052</v>
      </c>
      <c r="M22" s="20">
        <f t="shared" si="22"/>
        <v>78052</v>
      </c>
      <c r="N22" s="21">
        <f t="shared" si="22"/>
        <v>0</v>
      </c>
      <c r="O22" s="41">
        <f t="shared" si="2"/>
        <v>0</v>
      </c>
      <c r="P22" s="42">
        <f t="shared" ref="P22:AA22" si="23">SUM(P6:P21)</f>
        <v>175</v>
      </c>
      <c r="Q22" s="43">
        <f t="shared" si="23"/>
        <v>209</v>
      </c>
      <c r="R22" s="23">
        <f t="shared" si="23"/>
        <v>24</v>
      </c>
      <c r="S22" s="24">
        <f t="shared" si="23"/>
        <v>46</v>
      </c>
      <c r="T22" s="24">
        <f t="shared" si="23"/>
        <v>11</v>
      </c>
      <c r="U22" s="24">
        <f t="shared" si="23"/>
        <v>0</v>
      </c>
      <c r="V22" s="25">
        <f t="shared" si="23"/>
        <v>37</v>
      </c>
      <c r="W22" s="26">
        <f t="shared" si="23"/>
        <v>91</v>
      </c>
      <c r="X22" s="27">
        <f t="shared" si="23"/>
        <v>0</v>
      </c>
      <c r="Y22" s="27">
        <f t="shared" si="23"/>
        <v>0</v>
      </c>
      <c r="Z22" s="27">
        <f t="shared" si="23"/>
        <v>0</v>
      </c>
      <c r="AA22" s="27">
        <f t="shared" si="23"/>
        <v>0</v>
      </c>
      <c r="AB22" s="28">
        <f>SUM(AB6:AB21)/15</f>
        <v>0.66666666666666663</v>
      </c>
      <c r="AC22" s="4">
        <f>SUM(AC6:AC21)/15</f>
        <v>0.48611111111111105</v>
      </c>
      <c r="AD22" s="4">
        <f>SUM(AD6:AD21)/15</f>
        <v>0.48611111111111105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526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530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336" t="s">
        <v>46</v>
      </c>
      <c r="D51" s="336" t="s">
        <v>47</v>
      </c>
      <c r="E51" s="336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336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220</v>
      </c>
      <c r="B52" s="420"/>
      <c r="C52" s="338" t="s">
        <v>171</v>
      </c>
      <c r="D52" s="338" t="s">
        <v>407</v>
      </c>
      <c r="E52" s="338" t="s">
        <v>404</v>
      </c>
      <c r="F52" s="421" t="s">
        <v>527</v>
      </c>
      <c r="G52" s="422"/>
      <c r="H52" s="422"/>
      <c r="I52" s="422"/>
      <c r="J52" s="422"/>
      <c r="K52" s="422"/>
      <c r="L52" s="422"/>
      <c r="M52" s="423"/>
      <c r="N52" s="337" t="s">
        <v>114</v>
      </c>
      <c r="O52" s="342" t="s">
        <v>168</v>
      </c>
      <c r="P52" s="433" t="s">
        <v>117</v>
      </c>
      <c r="Q52" s="434"/>
      <c r="R52" s="420" t="s">
        <v>500</v>
      </c>
      <c r="S52" s="420"/>
      <c r="T52" s="420"/>
      <c r="U52" s="420"/>
      <c r="V52" s="410" t="s">
        <v>121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220</v>
      </c>
      <c r="B53" s="420"/>
      <c r="C53" s="338" t="s">
        <v>201</v>
      </c>
      <c r="D53" s="338" t="s">
        <v>427</v>
      </c>
      <c r="E53" s="338" t="s">
        <v>428</v>
      </c>
      <c r="F53" s="421" t="s">
        <v>528</v>
      </c>
      <c r="G53" s="422"/>
      <c r="H53" s="422"/>
      <c r="I53" s="422"/>
      <c r="J53" s="422"/>
      <c r="K53" s="422"/>
      <c r="L53" s="422"/>
      <c r="M53" s="423"/>
      <c r="N53" s="337" t="s">
        <v>114</v>
      </c>
      <c r="O53" s="342" t="s">
        <v>168</v>
      </c>
      <c r="P53" s="433" t="s">
        <v>133</v>
      </c>
      <c r="Q53" s="434"/>
      <c r="R53" s="420" t="s">
        <v>499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125</v>
      </c>
      <c r="B54" s="420"/>
      <c r="C54" s="338" t="s">
        <v>134</v>
      </c>
      <c r="D54" s="338" t="s">
        <v>195</v>
      </c>
      <c r="E54" s="338" t="s">
        <v>196</v>
      </c>
      <c r="F54" s="421" t="s">
        <v>382</v>
      </c>
      <c r="G54" s="422"/>
      <c r="H54" s="422"/>
      <c r="I54" s="422"/>
      <c r="J54" s="422"/>
      <c r="K54" s="422"/>
      <c r="L54" s="422"/>
      <c r="M54" s="423"/>
      <c r="N54" s="337" t="s">
        <v>125</v>
      </c>
      <c r="O54" s="342" t="s">
        <v>134</v>
      </c>
      <c r="P54" s="433" t="s">
        <v>195</v>
      </c>
      <c r="Q54" s="434"/>
      <c r="R54" s="420" t="s">
        <v>196</v>
      </c>
      <c r="S54" s="420"/>
      <c r="T54" s="420"/>
      <c r="U54" s="420"/>
      <c r="V54" s="410" t="s">
        <v>127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338" t="s">
        <v>129</v>
      </c>
      <c r="D55" s="338" t="s">
        <v>117</v>
      </c>
      <c r="E55" s="338" t="s">
        <v>529</v>
      </c>
      <c r="F55" s="421" t="s">
        <v>121</v>
      </c>
      <c r="G55" s="422"/>
      <c r="H55" s="422"/>
      <c r="I55" s="422"/>
      <c r="J55" s="422"/>
      <c r="K55" s="422"/>
      <c r="L55" s="422"/>
      <c r="M55" s="423"/>
      <c r="N55" s="337" t="s">
        <v>125</v>
      </c>
      <c r="O55" s="342" t="s">
        <v>292</v>
      </c>
      <c r="P55" s="433" t="s">
        <v>123</v>
      </c>
      <c r="Q55" s="434"/>
      <c r="R55" s="420" t="s">
        <v>291</v>
      </c>
      <c r="S55" s="420"/>
      <c r="T55" s="420"/>
      <c r="U55" s="420"/>
      <c r="V55" s="410" t="s">
        <v>121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338" t="s">
        <v>132</v>
      </c>
      <c r="D56" s="338" t="s">
        <v>126</v>
      </c>
      <c r="E56" s="338" t="s">
        <v>188</v>
      </c>
      <c r="F56" s="421" t="s">
        <v>295</v>
      </c>
      <c r="G56" s="422"/>
      <c r="H56" s="422"/>
      <c r="I56" s="422"/>
      <c r="J56" s="422"/>
      <c r="K56" s="422"/>
      <c r="L56" s="422"/>
      <c r="M56" s="423"/>
      <c r="N56" s="337" t="s">
        <v>114</v>
      </c>
      <c r="O56" s="342" t="s">
        <v>228</v>
      </c>
      <c r="P56" s="433" t="s">
        <v>165</v>
      </c>
      <c r="Q56" s="434"/>
      <c r="R56" s="420" t="s">
        <v>369</v>
      </c>
      <c r="S56" s="420"/>
      <c r="T56" s="420"/>
      <c r="U56" s="420"/>
      <c r="V56" s="410" t="s">
        <v>127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125</v>
      </c>
      <c r="B57" s="420"/>
      <c r="C57" s="338" t="s">
        <v>230</v>
      </c>
      <c r="D57" s="338" t="s">
        <v>117</v>
      </c>
      <c r="E57" s="338" t="s">
        <v>285</v>
      </c>
      <c r="F57" s="421" t="s">
        <v>121</v>
      </c>
      <c r="G57" s="422"/>
      <c r="H57" s="422"/>
      <c r="I57" s="422"/>
      <c r="J57" s="422"/>
      <c r="K57" s="422"/>
      <c r="L57" s="422"/>
      <c r="M57" s="423"/>
      <c r="N57" s="337" t="s">
        <v>114</v>
      </c>
      <c r="O57" s="342" t="s">
        <v>132</v>
      </c>
      <c r="P57" s="433" t="s">
        <v>126</v>
      </c>
      <c r="Q57" s="434"/>
      <c r="R57" s="420" t="s">
        <v>199</v>
      </c>
      <c r="S57" s="420"/>
      <c r="T57" s="420"/>
      <c r="U57" s="420"/>
      <c r="V57" s="410" t="s">
        <v>127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338"/>
      <c r="D58" s="338"/>
      <c r="E58" s="338"/>
      <c r="F58" s="421"/>
      <c r="G58" s="422"/>
      <c r="H58" s="422"/>
      <c r="I58" s="422"/>
      <c r="J58" s="422"/>
      <c r="K58" s="422"/>
      <c r="L58" s="422"/>
      <c r="M58" s="423"/>
      <c r="N58" s="337"/>
      <c r="O58" s="342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338"/>
      <c r="D59" s="338"/>
      <c r="E59" s="338"/>
      <c r="F59" s="421"/>
      <c r="G59" s="422"/>
      <c r="H59" s="422"/>
      <c r="I59" s="422"/>
      <c r="J59" s="422"/>
      <c r="K59" s="422"/>
      <c r="L59" s="422"/>
      <c r="M59" s="423"/>
      <c r="N59" s="337"/>
      <c r="O59" s="342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38"/>
      <c r="D60" s="338"/>
      <c r="E60" s="338"/>
      <c r="F60" s="421"/>
      <c r="G60" s="422"/>
      <c r="H60" s="422"/>
      <c r="I60" s="422"/>
      <c r="J60" s="422"/>
      <c r="K60" s="422"/>
      <c r="L60" s="422"/>
      <c r="M60" s="423"/>
      <c r="N60" s="337"/>
      <c r="O60" s="342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339"/>
      <c r="D61" s="339"/>
      <c r="E61" s="339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531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340" t="s">
        <v>2</v>
      </c>
      <c r="D63" s="340" t="s">
        <v>37</v>
      </c>
      <c r="E63" s="340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340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125</v>
      </c>
      <c r="D64" s="344"/>
      <c r="E64" s="341" t="s">
        <v>154</v>
      </c>
      <c r="F64" s="408" t="s">
        <v>532</v>
      </c>
      <c r="G64" s="400"/>
      <c r="H64" s="400"/>
      <c r="I64" s="400"/>
      <c r="J64" s="400"/>
      <c r="K64" s="400" t="s">
        <v>135</v>
      </c>
      <c r="L64" s="400"/>
      <c r="M64" s="51" t="s">
        <v>136</v>
      </c>
      <c r="N64" s="411" t="s">
        <v>168</v>
      </c>
      <c r="O64" s="411"/>
      <c r="P64" s="409">
        <v>100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125</v>
      </c>
      <c r="D65" s="344"/>
      <c r="E65" s="341" t="s">
        <v>165</v>
      </c>
      <c r="F65" s="408" t="s">
        <v>533</v>
      </c>
      <c r="G65" s="400"/>
      <c r="H65" s="400"/>
      <c r="I65" s="400"/>
      <c r="J65" s="400"/>
      <c r="K65" s="400" t="s">
        <v>158</v>
      </c>
      <c r="L65" s="400"/>
      <c r="M65" s="51" t="s">
        <v>136</v>
      </c>
      <c r="N65" s="411" t="s">
        <v>228</v>
      </c>
      <c r="O65" s="411"/>
      <c r="P65" s="409">
        <v>50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 t="s">
        <v>125</v>
      </c>
      <c r="D66" s="344"/>
      <c r="E66" s="341" t="s">
        <v>165</v>
      </c>
      <c r="F66" s="408" t="s">
        <v>534</v>
      </c>
      <c r="G66" s="400"/>
      <c r="H66" s="400"/>
      <c r="I66" s="400"/>
      <c r="J66" s="400"/>
      <c r="K66" s="400" t="s">
        <v>158</v>
      </c>
      <c r="L66" s="400"/>
      <c r="M66" s="51" t="s">
        <v>136</v>
      </c>
      <c r="N66" s="411" t="s">
        <v>299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344"/>
      <c r="E67" s="341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344"/>
      <c r="E68" s="341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344"/>
      <c r="E69" s="341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344"/>
      <c r="E70" s="341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344"/>
      <c r="E71" s="341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535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343" t="s">
        <v>2</v>
      </c>
      <c r="D73" s="343" t="s">
        <v>37</v>
      </c>
      <c r="E73" s="343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345" t="s">
        <v>114</v>
      </c>
      <c r="D74" s="345"/>
      <c r="E74" s="65" t="s">
        <v>119</v>
      </c>
      <c r="F74" s="389" t="s">
        <v>118</v>
      </c>
      <c r="G74" s="390"/>
      <c r="H74" s="390"/>
      <c r="I74" s="390"/>
      <c r="J74" s="391"/>
      <c r="K74" s="392" t="s">
        <v>522</v>
      </c>
      <c r="L74" s="393"/>
      <c r="M74" s="393"/>
      <c r="N74" s="393"/>
      <c r="O74" s="393"/>
      <c r="P74" s="393"/>
      <c r="Q74" s="393"/>
      <c r="R74" s="393"/>
      <c r="S74" s="394"/>
      <c r="T74" s="395">
        <v>43675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344"/>
      <c r="D75" s="344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4">A75+1</f>
        <v>3</v>
      </c>
      <c r="B76" s="368"/>
      <c r="C76" s="344"/>
      <c r="D76" s="344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4"/>
        <v>4</v>
      </c>
      <c r="B77" s="368"/>
      <c r="C77" s="344"/>
      <c r="D77" s="344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4"/>
        <v>5</v>
      </c>
      <c r="B78" s="368"/>
      <c r="C78" s="344"/>
      <c r="D78" s="344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4"/>
        <v>6</v>
      </c>
      <c r="B79" s="368"/>
      <c r="C79" s="344"/>
      <c r="D79" s="344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4"/>
        <v>7</v>
      </c>
      <c r="B80" s="368"/>
      <c r="C80" s="344"/>
      <c r="D80" s="344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4"/>
        <v>8</v>
      </c>
      <c r="B81" s="368"/>
      <c r="C81" s="344"/>
      <c r="D81" s="344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4"/>
        <v>9</v>
      </c>
      <c r="B82" s="368"/>
      <c r="C82" s="344"/>
      <c r="D82" s="344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536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5F-7C7B-469B-BACA-F14A08D57F97}">
  <dimension ref="A1:AF88"/>
  <sheetViews>
    <sheetView tabSelected="1"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18.87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537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56" t="s">
        <v>17</v>
      </c>
      <c r="L5" s="356" t="s">
        <v>18</v>
      </c>
      <c r="M5" s="356" t="s">
        <v>19</v>
      </c>
      <c r="N5" s="3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>$AD$23</f>
        <v>0.41944444444444445</v>
      </c>
      <c r="AF6" s="87">
        <f t="shared" ref="AF6:AF22" si="8">A6</f>
        <v>1</v>
      </c>
    </row>
    <row r="7" spans="1:32" ht="27" customHeight="1">
      <c r="A7" s="101">
        <v>2</v>
      </c>
      <c r="B7" s="11" t="s">
        <v>57</v>
      </c>
      <c r="C7" s="34" t="s">
        <v>206</v>
      </c>
      <c r="D7" s="52" t="s">
        <v>208</v>
      </c>
      <c r="E7" s="53" t="s">
        <v>205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>$AD$23</f>
        <v>0.41944444444444445</v>
      </c>
      <c r="AF7" s="87">
        <f t="shared" si="8"/>
        <v>2</v>
      </c>
    </row>
    <row r="8" spans="1:32" ht="27" customHeight="1">
      <c r="A8" s="102">
        <v>3</v>
      </c>
      <c r="B8" s="11" t="s">
        <v>57</v>
      </c>
      <c r="C8" s="11" t="s">
        <v>125</v>
      </c>
      <c r="D8" s="52" t="s">
        <v>123</v>
      </c>
      <c r="E8" s="53" t="s">
        <v>291</v>
      </c>
      <c r="F8" s="30" t="s">
        <v>124</v>
      </c>
      <c r="G8" s="33">
        <v>1</v>
      </c>
      <c r="H8" s="35">
        <v>24</v>
      </c>
      <c r="I8" s="7">
        <v>6000</v>
      </c>
      <c r="J8" s="14">
        <v>2713</v>
      </c>
      <c r="K8" s="15">
        <f>L8</f>
        <v>2713</v>
      </c>
      <c r="L8" s="15">
        <f>2713</f>
        <v>2713</v>
      </c>
      <c r="M8" s="15">
        <f t="shared" si="1"/>
        <v>2713</v>
      </c>
      <c r="N8" s="15">
        <v>0</v>
      </c>
      <c r="O8" s="58">
        <f t="shared" si="2"/>
        <v>0</v>
      </c>
      <c r="P8" s="39">
        <f t="shared" si="3"/>
        <v>14</v>
      </c>
      <c r="Q8" s="40">
        <f t="shared" si="4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0.58333333333333337</v>
      </c>
      <c r="AD8" s="10">
        <f t="shared" si="7"/>
        <v>0.58333333333333337</v>
      </c>
      <c r="AE8" s="36">
        <f>$AD$23</f>
        <v>0.41944444444444445</v>
      </c>
      <c r="AF8" s="87">
        <f t="shared" si="8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499</v>
      </c>
      <c r="F9" s="30" t="s">
        <v>135</v>
      </c>
      <c r="G9" s="33">
        <v>1</v>
      </c>
      <c r="H9" s="35">
        <v>24</v>
      </c>
      <c r="I9" s="7">
        <v>700</v>
      </c>
      <c r="J9" s="14">
        <v>884</v>
      </c>
      <c r="K9" s="15">
        <f>L9</f>
        <v>884</v>
      </c>
      <c r="L9" s="15">
        <v>884</v>
      </c>
      <c r="M9" s="15">
        <f t="shared" si="1"/>
        <v>884</v>
      </c>
      <c r="N9" s="15">
        <v>0</v>
      </c>
      <c r="O9" s="58">
        <f t="shared" si="2"/>
        <v>0</v>
      </c>
      <c r="P9" s="39">
        <f t="shared" si="3"/>
        <v>5</v>
      </c>
      <c r="Q9" s="40">
        <f t="shared" si="4"/>
        <v>19</v>
      </c>
      <c r="R9" s="7"/>
      <c r="S9" s="6">
        <v>19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0.20833333333333334</v>
      </c>
      <c r="AD9" s="10">
        <f t="shared" si="7"/>
        <v>0.20833333333333334</v>
      </c>
      <c r="AE9" s="36">
        <f>$AD$23</f>
        <v>0.41944444444444445</v>
      </c>
      <c r="AF9" s="87">
        <f t="shared" si="8"/>
        <v>4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117</v>
      </c>
      <c r="E10" s="53" t="s">
        <v>500</v>
      </c>
      <c r="F10" s="30" t="s">
        <v>135</v>
      </c>
      <c r="G10" s="33">
        <v>1</v>
      </c>
      <c r="H10" s="35">
        <v>24</v>
      </c>
      <c r="I10" s="7">
        <v>700</v>
      </c>
      <c r="J10" s="14">
        <v>803</v>
      </c>
      <c r="K10" s="15">
        <f>L10</f>
        <v>803</v>
      </c>
      <c r="L10" s="15">
        <v>803</v>
      </c>
      <c r="M10" s="15">
        <f t="shared" ref="M10" si="9">L10-N10</f>
        <v>803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5</v>
      </c>
      <c r="Q10" s="40">
        <f t="shared" ref="Q10" si="12">SUM(R10:AA10)</f>
        <v>19</v>
      </c>
      <c r="R10" s="7"/>
      <c r="S10" s="6"/>
      <c r="T10" s="16"/>
      <c r="U10" s="16"/>
      <c r="V10" s="17"/>
      <c r="W10" s="5">
        <v>19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0.20833333333333334</v>
      </c>
      <c r="AD10" s="10">
        <f t="shared" ref="AD10" si="15">AC10*AB10*(1-O10)</f>
        <v>0.20833333333333334</v>
      </c>
      <c r="AE10" s="36">
        <f>$AD$23</f>
        <v>0.41944444444444445</v>
      </c>
      <c r="AF10" s="87">
        <f t="shared" ref="AF10" si="16">A10</f>
        <v>4</v>
      </c>
    </row>
    <row r="11" spans="1:32" ht="27" customHeight="1">
      <c r="A11" s="103">
        <v>5</v>
      </c>
      <c r="B11" s="11" t="s">
        <v>57</v>
      </c>
      <c r="C11" s="34" t="s">
        <v>220</v>
      </c>
      <c r="D11" s="52" t="s">
        <v>412</v>
      </c>
      <c r="E11" s="53" t="s">
        <v>404</v>
      </c>
      <c r="F11" s="30" t="s">
        <v>122</v>
      </c>
      <c r="G11" s="33">
        <v>2</v>
      </c>
      <c r="H11" s="35">
        <v>24</v>
      </c>
      <c r="I11" s="7">
        <v>90000</v>
      </c>
      <c r="J11" s="5">
        <v>8590</v>
      </c>
      <c r="K11" s="15">
        <f>L11+1714+13656+15988+16420+5830+12022</f>
        <v>74220</v>
      </c>
      <c r="L11" s="15">
        <f>2180*2+2115*2</f>
        <v>8590</v>
      </c>
      <c r="M11" s="15">
        <f t="shared" si="1"/>
        <v>8590</v>
      </c>
      <c r="N11" s="15">
        <v>0</v>
      </c>
      <c r="O11" s="58">
        <f t="shared" si="2"/>
        <v>0</v>
      </c>
      <c r="P11" s="39">
        <f t="shared" si="3"/>
        <v>17</v>
      </c>
      <c r="Q11" s="40">
        <f t="shared" si="4"/>
        <v>7</v>
      </c>
      <c r="R11" s="7"/>
      <c r="S11" s="6">
        <v>7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0.70833333333333337</v>
      </c>
      <c r="AD11" s="10">
        <f>AC11*AB11*(1-O11)</f>
        <v>0.70833333333333337</v>
      </c>
      <c r="AE11" s="36">
        <f>$AD$23</f>
        <v>0.41944444444444445</v>
      </c>
      <c r="AF11" s="87">
        <f t="shared" si="8"/>
        <v>5</v>
      </c>
    </row>
    <row r="12" spans="1:32" ht="27" customHeight="1">
      <c r="A12" s="103">
        <v>6</v>
      </c>
      <c r="B12" s="11" t="s">
        <v>57</v>
      </c>
      <c r="C12" s="11" t="s">
        <v>220</v>
      </c>
      <c r="D12" s="52" t="s">
        <v>427</v>
      </c>
      <c r="E12" s="53" t="s">
        <v>428</v>
      </c>
      <c r="F12" s="30" t="s">
        <v>122</v>
      </c>
      <c r="G12" s="33" t="s">
        <v>415</v>
      </c>
      <c r="H12" s="35">
        <v>20</v>
      </c>
      <c r="I12" s="7">
        <v>30000</v>
      </c>
      <c r="J12" s="14">
        <v>3306</v>
      </c>
      <c r="K12" s="15">
        <f>L12+3140+4571+411+3680+4703</f>
        <v>19811</v>
      </c>
      <c r="L12" s="15">
        <f>3306</f>
        <v>3306</v>
      </c>
      <c r="M12" s="15">
        <f t="shared" si="1"/>
        <v>3306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 t="shared" ref="AD12" si="17">AC12*AB12*(1-O12)</f>
        <v>0.58333333333333337</v>
      </c>
      <c r="AE12" s="36">
        <f>$AD$23</f>
        <v>0.41944444444444445</v>
      </c>
      <c r="AF12" s="87">
        <f t="shared" si="8"/>
        <v>6</v>
      </c>
    </row>
    <row r="13" spans="1:32" ht="27" customHeight="1">
      <c r="A13" s="103">
        <v>7</v>
      </c>
      <c r="B13" s="11" t="s">
        <v>57</v>
      </c>
      <c r="C13" s="11" t="s">
        <v>125</v>
      </c>
      <c r="D13" s="52" t="s">
        <v>195</v>
      </c>
      <c r="E13" s="53" t="s">
        <v>196</v>
      </c>
      <c r="F13" s="30" t="s">
        <v>150</v>
      </c>
      <c r="G13" s="33">
        <v>1</v>
      </c>
      <c r="H13" s="35">
        <v>20</v>
      </c>
      <c r="I13" s="7">
        <v>4000</v>
      </c>
      <c r="J13" s="14">
        <v>2463</v>
      </c>
      <c r="K13" s="15">
        <f>L13+2578</f>
        <v>5041</v>
      </c>
      <c r="L13" s="15">
        <f>1349+1114</f>
        <v>2463</v>
      </c>
      <c r="M13" s="15">
        <f t="shared" si="1"/>
        <v>2463</v>
      </c>
      <c r="N13" s="15">
        <v>0</v>
      </c>
      <c r="O13" s="58">
        <f t="shared" si="2"/>
        <v>0</v>
      </c>
      <c r="P13" s="39">
        <f t="shared" si="3"/>
        <v>15</v>
      </c>
      <c r="Q13" s="40">
        <f t="shared" si="4"/>
        <v>9</v>
      </c>
      <c r="R13" s="7"/>
      <c r="S13" s="6">
        <v>9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0.625</v>
      </c>
      <c r="AD13" s="10">
        <f t="shared" si="7"/>
        <v>0.625</v>
      </c>
      <c r="AE13" s="36">
        <f>$AD$23</f>
        <v>0.41944444444444445</v>
      </c>
      <c r="AF13" s="87">
        <f t="shared" si="8"/>
        <v>7</v>
      </c>
    </row>
    <row r="14" spans="1:32" ht="27" customHeight="1">
      <c r="A14" s="103">
        <v>8</v>
      </c>
      <c r="B14" s="11" t="s">
        <v>57</v>
      </c>
      <c r="C14" s="11" t="s">
        <v>125</v>
      </c>
      <c r="D14" s="52" t="s">
        <v>117</v>
      </c>
      <c r="E14" s="53" t="s">
        <v>538</v>
      </c>
      <c r="F14" s="30" t="s">
        <v>128</v>
      </c>
      <c r="G14" s="33">
        <v>1</v>
      </c>
      <c r="H14" s="35">
        <v>24</v>
      </c>
      <c r="I14" s="7">
        <v>1000</v>
      </c>
      <c r="J14" s="14">
        <v>1513</v>
      </c>
      <c r="K14" s="15">
        <f>L14</f>
        <v>1513</v>
      </c>
      <c r="L14" s="15">
        <f>540+973</f>
        <v>1513</v>
      </c>
      <c r="M14" s="15">
        <f t="shared" si="1"/>
        <v>1513</v>
      </c>
      <c r="N14" s="15">
        <v>0</v>
      </c>
      <c r="O14" s="58">
        <f t="shared" si="2"/>
        <v>0</v>
      </c>
      <c r="P14" s="39">
        <f t="shared" si="3"/>
        <v>13</v>
      </c>
      <c r="Q14" s="40">
        <f t="shared" si="4"/>
        <v>11</v>
      </c>
      <c r="R14" s="7"/>
      <c r="S14" s="6"/>
      <c r="T14" s="16"/>
      <c r="U14" s="16"/>
      <c r="V14" s="17"/>
      <c r="W14" s="5">
        <v>11</v>
      </c>
      <c r="X14" s="16"/>
      <c r="Y14" s="16"/>
      <c r="Z14" s="16"/>
      <c r="AA14" s="18"/>
      <c r="AB14" s="8">
        <f t="shared" si="5"/>
        <v>1</v>
      </c>
      <c r="AC14" s="9">
        <f t="shared" si="6"/>
        <v>0.54166666666666663</v>
      </c>
      <c r="AD14" s="10">
        <f t="shared" si="7"/>
        <v>0.54166666666666663</v>
      </c>
      <c r="AE14" s="36">
        <f>$AD$23</f>
        <v>0.41944444444444445</v>
      </c>
      <c r="AF14" s="87">
        <f t="shared" si="8"/>
        <v>8</v>
      </c>
    </row>
    <row r="15" spans="1:32" ht="27" customHeight="1">
      <c r="A15" s="118">
        <v>9</v>
      </c>
      <c r="B15" s="11" t="s">
        <v>57</v>
      </c>
      <c r="C15" s="34" t="s">
        <v>206</v>
      </c>
      <c r="D15" s="52" t="s">
        <v>208</v>
      </c>
      <c r="E15" s="53" t="s">
        <v>205</v>
      </c>
      <c r="F15" s="30" t="s">
        <v>116</v>
      </c>
      <c r="G15" s="12">
        <v>1</v>
      </c>
      <c r="H15" s="13">
        <v>28</v>
      </c>
      <c r="I15" s="7">
        <v>21000</v>
      </c>
      <c r="J15" s="5">
        <v>131</v>
      </c>
      <c r="K15" s="15">
        <f t="shared" ref="K15" si="18"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>$AD$23</f>
        <v>0.41944444444444445</v>
      </c>
      <c r="AF15" s="87">
        <f t="shared" si="8"/>
        <v>9</v>
      </c>
    </row>
    <row r="16" spans="1:32" ht="27" customHeight="1">
      <c r="A16" s="102">
        <v>10</v>
      </c>
      <c r="B16" s="11" t="s">
        <v>57</v>
      </c>
      <c r="C16" s="34" t="s">
        <v>114</v>
      </c>
      <c r="D16" s="52" t="s">
        <v>165</v>
      </c>
      <c r="E16" s="53" t="s">
        <v>369</v>
      </c>
      <c r="F16" s="12" t="s">
        <v>158</v>
      </c>
      <c r="G16" s="12">
        <v>1</v>
      </c>
      <c r="H16" s="13">
        <v>24</v>
      </c>
      <c r="I16" s="31">
        <v>1700</v>
      </c>
      <c r="J16" s="14">
        <v>878</v>
      </c>
      <c r="K16" s="15">
        <f>L16+878</f>
        <v>878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>$AD$23</f>
        <v>0.41944444444444445</v>
      </c>
      <c r="AF16" s="87">
        <f t="shared" si="8"/>
        <v>10</v>
      </c>
    </row>
    <row r="17" spans="1:32" ht="30" customHeight="1">
      <c r="A17" s="102">
        <v>11</v>
      </c>
      <c r="B17" s="11" t="s">
        <v>57</v>
      </c>
      <c r="C17" s="34" t="s">
        <v>125</v>
      </c>
      <c r="D17" s="52" t="s">
        <v>123</v>
      </c>
      <c r="E17" s="53" t="s">
        <v>515</v>
      </c>
      <c r="F17" s="30" t="s">
        <v>124</v>
      </c>
      <c r="G17" s="12">
        <v>1</v>
      </c>
      <c r="H17" s="13">
        <v>28</v>
      </c>
      <c r="I17" s="7">
        <v>7000</v>
      </c>
      <c r="J17" s="14">
        <v>5977</v>
      </c>
      <c r="K17" s="15">
        <f>L17+5524</f>
        <v>11501</v>
      </c>
      <c r="L17" s="15">
        <f>2811+3166</f>
        <v>5977</v>
      </c>
      <c r="M17" s="15">
        <f t="shared" si="1"/>
        <v>5977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>$AD$23</f>
        <v>0.41944444444444445</v>
      </c>
      <c r="AF17" s="87">
        <f t="shared" si="8"/>
        <v>11</v>
      </c>
    </row>
    <row r="18" spans="1:32" ht="27" customHeight="1">
      <c r="A18" s="102">
        <v>12</v>
      </c>
      <c r="B18" s="11" t="s">
        <v>57</v>
      </c>
      <c r="C18" s="11" t="s">
        <v>114</v>
      </c>
      <c r="D18" s="52" t="s">
        <v>165</v>
      </c>
      <c r="E18" s="53" t="s">
        <v>493</v>
      </c>
      <c r="F18" s="30" t="s">
        <v>158</v>
      </c>
      <c r="G18" s="33">
        <v>1</v>
      </c>
      <c r="H18" s="35">
        <v>20</v>
      </c>
      <c r="I18" s="7">
        <v>500</v>
      </c>
      <c r="J18" s="14">
        <v>533</v>
      </c>
      <c r="K18" s="15">
        <f>L18+533</f>
        <v>533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>$AD$23</f>
        <v>0.41944444444444445</v>
      </c>
      <c r="AF18" s="87">
        <f t="shared" si="8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126</v>
      </c>
      <c r="E19" s="53" t="s">
        <v>188</v>
      </c>
      <c r="F19" s="30" t="s">
        <v>128</v>
      </c>
      <c r="G19" s="33">
        <v>1</v>
      </c>
      <c r="H19" s="35">
        <v>24</v>
      </c>
      <c r="I19" s="7">
        <v>15000</v>
      </c>
      <c r="J19" s="5">
        <v>2439</v>
      </c>
      <c r="K19" s="15">
        <f>L19+2483+3339</f>
        <v>8261</v>
      </c>
      <c r="L19" s="15">
        <f>1668+771</f>
        <v>2439</v>
      </c>
      <c r="M19" s="15">
        <f t="shared" si="1"/>
        <v>2439</v>
      </c>
      <c r="N19" s="15">
        <v>0</v>
      </c>
      <c r="O19" s="58">
        <f t="shared" si="2"/>
        <v>0</v>
      </c>
      <c r="P19" s="39">
        <f t="shared" si="3"/>
        <v>14</v>
      </c>
      <c r="Q19" s="40">
        <f t="shared" si="4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0.58333333333333337</v>
      </c>
      <c r="AD19" s="10">
        <f>AC19*AB19*(1-O19)</f>
        <v>0.58333333333333337</v>
      </c>
      <c r="AE19" s="36">
        <f>$AD$23</f>
        <v>0.41944444444444445</v>
      </c>
      <c r="AF19" s="87">
        <f t="shared" si="8"/>
        <v>13</v>
      </c>
    </row>
    <row r="20" spans="1:32" ht="27" customHeight="1">
      <c r="A20" s="103">
        <v>14</v>
      </c>
      <c r="B20" s="11" t="s">
        <v>57</v>
      </c>
      <c r="C20" s="11" t="s">
        <v>125</v>
      </c>
      <c r="D20" s="52" t="s">
        <v>117</v>
      </c>
      <c r="E20" s="53" t="s">
        <v>285</v>
      </c>
      <c r="F20" s="30" t="s">
        <v>122</v>
      </c>
      <c r="G20" s="33">
        <v>1</v>
      </c>
      <c r="H20" s="35">
        <v>24</v>
      </c>
      <c r="I20" s="7">
        <v>4000</v>
      </c>
      <c r="J20" s="5">
        <v>817</v>
      </c>
      <c r="K20" s="15">
        <f>L20+3908</f>
        <v>4725</v>
      </c>
      <c r="L20" s="15">
        <f>817</f>
        <v>817</v>
      </c>
      <c r="M20" s="15">
        <f t="shared" ref="M20" si="19">L20-N20</f>
        <v>817</v>
      </c>
      <c r="N20" s="15">
        <v>0</v>
      </c>
      <c r="O20" s="58">
        <f t="shared" ref="O20" si="20">IF(L20=0,"0",N20/L20)</f>
        <v>0</v>
      </c>
      <c r="P20" s="39">
        <f t="shared" ref="P20" si="21">IF(L20=0,"0",(24-Q20))</f>
        <v>5</v>
      </c>
      <c r="Q20" s="40">
        <f t="shared" ref="Q20" si="22">SUM(R20:AA20)</f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ref="AB20" si="23">IF(J20=0,"0",(L20/J20))</f>
        <v>1</v>
      </c>
      <c r="AC20" s="9">
        <f t="shared" ref="AC20" si="24">IF(P20=0,"0",(P20/24))</f>
        <v>0.20833333333333334</v>
      </c>
      <c r="AD20" s="10">
        <f t="shared" ref="AD20" si="25">AC20*AB20*(1-O20)</f>
        <v>0.20833333333333334</v>
      </c>
      <c r="AE20" s="36">
        <f t="shared" ref="AE20:AE21" si="26">$AD$22</f>
        <v>0.54166666666666663</v>
      </c>
      <c r="AF20" s="87">
        <f t="shared" ref="AF20" si="27">A20</f>
        <v>14</v>
      </c>
    </row>
    <row r="21" spans="1:32" ht="27" customHeight="1">
      <c r="A21" s="103">
        <v>14</v>
      </c>
      <c r="B21" s="11" t="s">
        <v>57</v>
      </c>
      <c r="C21" s="11" t="s">
        <v>125</v>
      </c>
      <c r="D21" s="52" t="s">
        <v>117</v>
      </c>
      <c r="E21" s="53" t="s">
        <v>365</v>
      </c>
      <c r="F21" s="30" t="s">
        <v>137</v>
      </c>
      <c r="G21" s="33">
        <v>1</v>
      </c>
      <c r="H21" s="35">
        <v>24</v>
      </c>
      <c r="I21" s="7">
        <v>6000</v>
      </c>
      <c r="J21" s="5">
        <v>2020</v>
      </c>
      <c r="K21" s="15">
        <f>L21</f>
        <v>2020</v>
      </c>
      <c r="L21" s="15">
        <v>2020</v>
      </c>
      <c r="M21" s="15">
        <f t="shared" si="1"/>
        <v>2020</v>
      </c>
      <c r="N21" s="15">
        <v>0</v>
      </c>
      <c r="O21" s="58">
        <f t="shared" si="2"/>
        <v>0</v>
      </c>
      <c r="P21" s="39">
        <f t="shared" si="3"/>
        <v>12</v>
      </c>
      <c r="Q21" s="40">
        <f t="shared" si="4"/>
        <v>12</v>
      </c>
      <c r="R21" s="7"/>
      <c r="S21" s="6"/>
      <c r="T21" s="16">
        <v>12</v>
      </c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</v>
      </c>
      <c r="AD21" s="10">
        <f t="shared" ref="AD21" si="28">AC21*AB21*(1-O21)</f>
        <v>0.5</v>
      </c>
      <c r="AE21" s="36">
        <f t="shared" si="26"/>
        <v>0.54166666666666663</v>
      </c>
      <c r="AF21" s="87">
        <f t="shared" si="8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138</v>
      </c>
      <c r="F22" s="12" t="s">
        <v>116</v>
      </c>
      <c r="G22" s="12">
        <v>4</v>
      </c>
      <c r="H22" s="35">
        <v>20</v>
      </c>
      <c r="I22" s="7">
        <v>100000</v>
      </c>
      <c r="J22" s="14">
        <v>43084</v>
      </c>
      <c r="K22" s="15">
        <f>L22+37344</f>
        <v>80428</v>
      </c>
      <c r="L22" s="15">
        <f>10771*4</f>
        <v>43084</v>
      </c>
      <c r="M22" s="15">
        <f t="shared" si="1"/>
        <v>43084</v>
      </c>
      <c r="N22" s="15">
        <v>0</v>
      </c>
      <c r="O22" s="58">
        <f t="shared" si="2"/>
        <v>0</v>
      </c>
      <c r="P22" s="39">
        <f t="shared" si="3"/>
        <v>13</v>
      </c>
      <c r="Q22" s="40">
        <f t="shared" si="4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0.54166666666666663</v>
      </c>
      <c r="AD22" s="10">
        <f t="shared" si="7"/>
        <v>0.54166666666666663</v>
      </c>
      <c r="AE22" s="36">
        <f>$AD$23</f>
        <v>0.41944444444444445</v>
      </c>
      <c r="AF22" s="87">
        <f t="shared" si="8"/>
        <v>15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>SUM(I6:I22)</f>
        <v>308600</v>
      </c>
      <c r="J23" s="19">
        <f>SUM(J6:J22)</f>
        <v>78212</v>
      </c>
      <c r="K23" s="20">
        <f>SUM(K6:K22)</f>
        <v>224879</v>
      </c>
      <c r="L23" s="21">
        <f>SUM(L6:L22)</f>
        <v>74609</v>
      </c>
      <c r="M23" s="20">
        <f>SUM(M6:M22)</f>
        <v>74609</v>
      </c>
      <c r="N23" s="21">
        <f>SUM(N6:N22)</f>
        <v>0</v>
      </c>
      <c r="O23" s="41">
        <f t="shared" si="2"/>
        <v>0</v>
      </c>
      <c r="P23" s="42">
        <f>SUM(P6:P22)</f>
        <v>151</v>
      </c>
      <c r="Q23" s="43">
        <f>SUM(Q6:Q22)</f>
        <v>257</v>
      </c>
      <c r="R23" s="23">
        <f>SUM(R6:R22)</f>
        <v>24</v>
      </c>
      <c r="S23" s="24">
        <f>SUM(S6:S22)</f>
        <v>89</v>
      </c>
      <c r="T23" s="24">
        <f>SUM(T6:T22)</f>
        <v>12</v>
      </c>
      <c r="U23" s="24">
        <f>SUM(U6:U22)</f>
        <v>0</v>
      </c>
      <c r="V23" s="25">
        <f>SUM(V6:V22)</f>
        <v>35</v>
      </c>
      <c r="W23" s="26">
        <f>SUM(W6:W22)</f>
        <v>97</v>
      </c>
      <c r="X23" s="27">
        <f>SUM(X6:X22)</f>
        <v>0</v>
      </c>
      <c r="Y23" s="27">
        <f>SUM(Y6:Y22)</f>
        <v>0</v>
      </c>
      <c r="Z23" s="27">
        <f>SUM(Z6:Z22)</f>
        <v>0</v>
      </c>
      <c r="AA23" s="27">
        <f>SUM(AA6:AA22)</f>
        <v>0</v>
      </c>
      <c r="AB23" s="28">
        <f>SUM(AB6:AB22)/15</f>
        <v>0.8</v>
      </c>
      <c r="AC23" s="4">
        <f>SUM(AC6:AC22)/15</f>
        <v>0.41944444444444445</v>
      </c>
      <c r="AD23" s="4">
        <f>SUM(AD6:AD22)/15</f>
        <v>0.41944444444444445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539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542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355" t="s">
        <v>46</v>
      </c>
      <c r="D52" s="355" t="s">
        <v>47</v>
      </c>
      <c r="E52" s="355" t="s">
        <v>108</v>
      </c>
      <c r="F52" s="448" t="s">
        <v>107</v>
      </c>
      <c r="G52" s="448"/>
      <c r="H52" s="448"/>
      <c r="I52" s="448"/>
      <c r="J52" s="448"/>
      <c r="K52" s="448"/>
      <c r="L52" s="448"/>
      <c r="M52" s="449"/>
      <c r="N52" s="67" t="s">
        <v>112</v>
      </c>
      <c r="O52" s="355" t="s">
        <v>46</v>
      </c>
      <c r="P52" s="450" t="s">
        <v>47</v>
      </c>
      <c r="Q52" s="451"/>
      <c r="R52" s="450" t="s">
        <v>38</v>
      </c>
      <c r="S52" s="452"/>
      <c r="T52" s="452"/>
      <c r="U52" s="451"/>
      <c r="V52" s="450" t="s">
        <v>48</v>
      </c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19" t="s">
        <v>220</v>
      </c>
      <c r="B53" s="420"/>
      <c r="C53" s="353" t="s">
        <v>171</v>
      </c>
      <c r="D53" s="353" t="s">
        <v>407</v>
      </c>
      <c r="E53" s="353" t="s">
        <v>404</v>
      </c>
      <c r="F53" s="421" t="s">
        <v>293</v>
      </c>
      <c r="G53" s="422"/>
      <c r="H53" s="422"/>
      <c r="I53" s="422"/>
      <c r="J53" s="422"/>
      <c r="K53" s="422"/>
      <c r="L53" s="422"/>
      <c r="M53" s="423"/>
      <c r="N53" s="352" t="s">
        <v>125</v>
      </c>
      <c r="O53" s="350" t="s">
        <v>168</v>
      </c>
      <c r="P53" s="433" t="s">
        <v>151</v>
      </c>
      <c r="Q53" s="434"/>
      <c r="R53" s="420" t="s">
        <v>366</v>
      </c>
      <c r="S53" s="420"/>
      <c r="T53" s="420"/>
      <c r="U53" s="420"/>
      <c r="V53" s="410" t="s">
        <v>121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220</v>
      </c>
      <c r="B54" s="420"/>
      <c r="C54" s="353" t="s">
        <v>201</v>
      </c>
      <c r="D54" s="353" t="s">
        <v>427</v>
      </c>
      <c r="E54" s="353" t="s">
        <v>428</v>
      </c>
      <c r="F54" s="421" t="s">
        <v>540</v>
      </c>
      <c r="G54" s="422"/>
      <c r="H54" s="422"/>
      <c r="I54" s="422"/>
      <c r="J54" s="422"/>
      <c r="K54" s="422"/>
      <c r="L54" s="422"/>
      <c r="M54" s="423"/>
      <c r="N54" s="352" t="s">
        <v>125</v>
      </c>
      <c r="O54" s="350" t="s">
        <v>543</v>
      </c>
      <c r="P54" s="433" t="s">
        <v>544</v>
      </c>
      <c r="Q54" s="434"/>
      <c r="R54" s="420" t="s">
        <v>545</v>
      </c>
      <c r="S54" s="420"/>
      <c r="T54" s="420"/>
      <c r="U54" s="420"/>
      <c r="V54" s="410" t="s">
        <v>121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125</v>
      </c>
      <c r="B55" s="420"/>
      <c r="C55" s="353" t="s">
        <v>292</v>
      </c>
      <c r="D55" s="353" t="s">
        <v>123</v>
      </c>
      <c r="E55" s="353" t="s">
        <v>291</v>
      </c>
      <c r="F55" s="421" t="s">
        <v>376</v>
      </c>
      <c r="G55" s="422"/>
      <c r="H55" s="422"/>
      <c r="I55" s="422"/>
      <c r="J55" s="422"/>
      <c r="K55" s="422"/>
      <c r="L55" s="422"/>
      <c r="M55" s="423"/>
      <c r="N55" s="357" t="s">
        <v>114</v>
      </c>
      <c r="O55" s="358" t="s">
        <v>228</v>
      </c>
      <c r="P55" s="433" t="s">
        <v>165</v>
      </c>
      <c r="Q55" s="434"/>
      <c r="R55" s="420" t="s">
        <v>369</v>
      </c>
      <c r="S55" s="420"/>
      <c r="T55" s="420"/>
      <c r="U55" s="420"/>
      <c r="V55" s="410" t="s">
        <v>127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125</v>
      </c>
      <c r="B56" s="420"/>
      <c r="C56" s="353" t="s">
        <v>129</v>
      </c>
      <c r="D56" s="353" t="s">
        <v>133</v>
      </c>
      <c r="E56" s="353" t="s">
        <v>541</v>
      </c>
      <c r="F56" s="421" t="s">
        <v>121</v>
      </c>
      <c r="G56" s="422"/>
      <c r="H56" s="422"/>
      <c r="I56" s="422"/>
      <c r="J56" s="422"/>
      <c r="K56" s="422"/>
      <c r="L56" s="422"/>
      <c r="M56" s="423"/>
      <c r="N56" s="352" t="s">
        <v>546</v>
      </c>
      <c r="O56" s="350" t="s">
        <v>547</v>
      </c>
      <c r="P56" s="433" t="s">
        <v>548</v>
      </c>
      <c r="Q56" s="434"/>
      <c r="R56" s="420" t="s">
        <v>549</v>
      </c>
      <c r="S56" s="420"/>
      <c r="T56" s="420"/>
      <c r="U56" s="420"/>
      <c r="V56" s="410" t="s">
        <v>127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353" t="s">
        <v>132</v>
      </c>
      <c r="D57" s="353" t="s">
        <v>126</v>
      </c>
      <c r="E57" s="353" t="s">
        <v>188</v>
      </c>
      <c r="F57" s="421" t="s">
        <v>127</v>
      </c>
      <c r="G57" s="422"/>
      <c r="H57" s="422"/>
      <c r="I57" s="422"/>
      <c r="J57" s="422"/>
      <c r="K57" s="422"/>
      <c r="L57" s="422"/>
      <c r="M57" s="423"/>
      <c r="N57" s="352" t="s">
        <v>546</v>
      </c>
      <c r="O57" s="350" t="s">
        <v>550</v>
      </c>
      <c r="P57" s="433" t="s">
        <v>551</v>
      </c>
      <c r="Q57" s="434"/>
      <c r="R57" s="420" t="s">
        <v>552</v>
      </c>
      <c r="S57" s="420"/>
      <c r="T57" s="420"/>
      <c r="U57" s="420"/>
      <c r="V57" s="410" t="s">
        <v>127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125</v>
      </c>
      <c r="B58" s="420"/>
      <c r="C58" s="353" t="s">
        <v>230</v>
      </c>
      <c r="D58" s="353" t="s">
        <v>117</v>
      </c>
      <c r="E58" s="353" t="s">
        <v>365</v>
      </c>
      <c r="F58" s="421" t="s">
        <v>121</v>
      </c>
      <c r="G58" s="422"/>
      <c r="H58" s="422"/>
      <c r="I58" s="422"/>
      <c r="J58" s="422"/>
      <c r="K58" s="422"/>
      <c r="L58" s="422"/>
      <c r="M58" s="423"/>
      <c r="N58" s="352"/>
      <c r="O58" s="350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353"/>
      <c r="D59" s="353"/>
      <c r="E59" s="353"/>
      <c r="F59" s="421"/>
      <c r="G59" s="422"/>
      <c r="H59" s="422"/>
      <c r="I59" s="422"/>
      <c r="J59" s="422"/>
      <c r="K59" s="422"/>
      <c r="L59" s="422"/>
      <c r="M59" s="423"/>
      <c r="N59" s="352"/>
      <c r="O59" s="350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53"/>
      <c r="D60" s="353"/>
      <c r="E60" s="353"/>
      <c r="F60" s="421"/>
      <c r="G60" s="422"/>
      <c r="H60" s="422"/>
      <c r="I60" s="422"/>
      <c r="J60" s="422"/>
      <c r="K60" s="422"/>
      <c r="L60" s="422"/>
      <c r="M60" s="423"/>
      <c r="N60" s="352"/>
      <c r="O60" s="350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353"/>
      <c r="D61" s="353"/>
      <c r="E61" s="353"/>
      <c r="F61" s="421"/>
      <c r="G61" s="422"/>
      <c r="H61" s="422"/>
      <c r="I61" s="422"/>
      <c r="J61" s="422"/>
      <c r="K61" s="422"/>
      <c r="L61" s="422"/>
      <c r="M61" s="423"/>
      <c r="N61" s="352"/>
      <c r="O61" s="350"/>
      <c r="P61" s="420"/>
      <c r="Q61" s="420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  <c r="AF61" s="87">
        <f>8*3000</f>
        <v>24000</v>
      </c>
    </row>
    <row r="62" spans="1:32" ht="27" customHeight="1" thickBot="1">
      <c r="A62" s="425"/>
      <c r="B62" s="426"/>
      <c r="C62" s="354"/>
      <c r="D62" s="354"/>
      <c r="E62" s="354"/>
      <c r="F62" s="427"/>
      <c r="G62" s="428"/>
      <c r="H62" s="428"/>
      <c r="I62" s="428"/>
      <c r="J62" s="428"/>
      <c r="K62" s="428"/>
      <c r="L62" s="428"/>
      <c r="M62" s="429"/>
      <c r="N62" s="124"/>
      <c r="O62" s="114"/>
      <c r="P62" s="430"/>
      <c r="Q62" s="430"/>
      <c r="R62" s="430"/>
      <c r="S62" s="430"/>
      <c r="T62" s="430"/>
      <c r="U62" s="430"/>
      <c r="V62" s="431"/>
      <c r="W62" s="431"/>
      <c r="X62" s="431"/>
      <c r="Y62" s="431"/>
      <c r="Z62" s="431"/>
      <c r="AA62" s="431"/>
      <c r="AB62" s="431"/>
      <c r="AC62" s="431"/>
      <c r="AD62" s="432"/>
      <c r="AF62" s="87">
        <f>16*3000</f>
        <v>48000</v>
      </c>
    </row>
    <row r="63" spans="1:32" ht="27.75" thickBot="1">
      <c r="A63" s="417" t="s">
        <v>553</v>
      </c>
      <c r="B63" s="417"/>
      <c r="C63" s="417"/>
      <c r="D63" s="417"/>
      <c r="E63" s="41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8" t="s">
        <v>113</v>
      </c>
      <c r="B64" s="415"/>
      <c r="C64" s="351" t="s">
        <v>2</v>
      </c>
      <c r="D64" s="351" t="s">
        <v>37</v>
      </c>
      <c r="E64" s="351" t="s">
        <v>3</v>
      </c>
      <c r="F64" s="415" t="s">
        <v>110</v>
      </c>
      <c r="G64" s="415"/>
      <c r="H64" s="415"/>
      <c r="I64" s="415"/>
      <c r="J64" s="415"/>
      <c r="K64" s="415" t="s">
        <v>39</v>
      </c>
      <c r="L64" s="415"/>
      <c r="M64" s="351" t="s">
        <v>40</v>
      </c>
      <c r="N64" s="415" t="s">
        <v>41</v>
      </c>
      <c r="O64" s="415"/>
      <c r="P64" s="412" t="s">
        <v>42</v>
      </c>
      <c r="Q64" s="414"/>
      <c r="R64" s="412" t="s">
        <v>43</v>
      </c>
      <c r="S64" s="413"/>
      <c r="T64" s="413"/>
      <c r="U64" s="413"/>
      <c r="V64" s="413"/>
      <c r="W64" s="413"/>
      <c r="X64" s="413"/>
      <c r="Y64" s="413"/>
      <c r="Z64" s="413"/>
      <c r="AA64" s="414"/>
      <c r="AB64" s="415" t="s">
        <v>44</v>
      </c>
      <c r="AC64" s="415"/>
      <c r="AD64" s="416"/>
      <c r="AF64" s="87">
        <f>SUM(AF61:AF63)</f>
        <v>96000</v>
      </c>
    </row>
    <row r="65" spans="1:32" ht="25.5" customHeight="1">
      <c r="A65" s="406">
        <v>1</v>
      </c>
      <c r="B65" s="407"/>
      <c r="C65" s="117" t="s">
        <v>206</v>
      </c>
      <c r="D65" s="346"/>
      <c r="E65" s="349" t="s">
        <v>133</v>
      </c>
      <c r="F65" s="408" t="s">
        <v>555</v>
      </c>
      <c r="G65" s="400"/>
      <c r="H65" s="400"/>
      <c r="I65" s="400"/>
      <c r="J65" s="400"/>
      <c r="K65" s="400" t="s">
        <v>556</v>
      </c>
      <c r="L65" s="400"/>
      <c r="M65" s="51" t="s">
        <v>557</v>
      </c>
      <c r="N65" s="411" t="s">
        <v>558</v>
      </c>
      <c r="O65" s="411"/>
      <c r="P65" s="409">
        <v>100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2</v>
      </c>
      <c r="B66" s="407"/>
      <c r="C66" s="117" t="s">
        <v>206</v>
      </c>
      <c r="D66" s="346"/>
      <c r="E66" s="349" t="s">
        <v>123</v>
      </c>
      <c r="F66" s="408" t="s">
        <v>447</v>
      </c>
      <c r="G66" s="400"/>
      <c r="H66" s="400"/>
      <c r="I66" s="400"/>
      <c r="J66" s="400"/>
      <c r="K66" s="400" t="s">
        <v>218</v>
      </c>
      <c r="L66" s="400"/>
      <c r="M66" s="51" t="s">
        <v>332</v>
      </c>
      <c r="N66" s="411" t="s">
        <v>129</v>
      </c>
      <c r="O66" s="411"/>
      <c r="P66" s="409">
        <v>100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3</v>
      </c>
      <c r="B67" s="407"/>
      <c r="C67" s="117" t="s">
        <v>220</v>
      </c>
      <c r="D67" s="346"/>
      <c r="E67" s="349" t="s">
        <v>165</v>
      </c>
      <c r="F67" s="408" t="s">
        <v>554</v>
      </c>
      <c r="G67" s="400"/>
      <c r="H67" s="400"/>
      <c r="I67" s="400"/>
      <c r="J67" s="400"/>
      <c r="K67" s="400" t="s">
        <v>222</v>
      </c>
      <c r="L67" s="400"/>
      <c r="M67" s="51" t="s">
        <v>332</v>
      </c>
      <c r="N67" s="411" t="s">
        <v>299</v>
      </c>
      <c r="O67" s="411"/>
      <c r="P67" s="409">
        <v>350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4</v>
      </c>
      <c r="B68" s="407"/>
      <c r="C68" s="117"/>
      <c r="D68" s="346"/>
      <c r="E68" s="349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5</v>
      </c>
      <c r="B69" s="407"/>
      <c r="C69" s="117"/>
      <c r="D69" s="346"/>
      <c r="E69" s="349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6</v>
      </c>
      <c r="B70" s="407"/>
      <c r="C70" s="117"/>
      <c r="D70" s="346"/>
      <c r="E70" s="349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7</v>
      </c>
      <c r="B71" s="407"/>
      <c r="C71" s="117"/>
      <c r="D71" s="346"/>
      <c r="E71" s="349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8</v>
      </c>
      <c r="B72" s="407"/>
      <c r="C72" s="117"/>
      <c r="D72" s="346"/>
      <c r="E72" s="349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6.25" customHeight="1" thickBot="1">
      <c r="A73" s="380" t="s">
        <v>559</v>
      </c>
      <c r="B73" s="380"/>
      <c r="C73" s="380"/>
      <c r="D73" s="380"/>
      <c r="E73" s="38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81" t="s">
        <v>113</v>
      </c>
      <c r="B74" s="382"/>
      <c r="C74" s="348" t="s">
        <v>2</v>
      </c>
      <c r="D74" s="348" t="s">
        <v>37</v>
      </c>
      <c r="E74" s="348" t="s">
        <v>3</v>
      </c>
      <c r="F74" s="382" t="s">
        <v>38</v>
      </c>
      <c r="G74" s="382"/>
      <c r="H74" s="382"/>
      <c r="I74" s="382"/>
      <c r="J74" s="382"/>
      <c r="K74" s="402" t="s">
        <v>58</v>
      </c>
      <c r="L74" s="403"/>
      <c r="M74" s="403"/>
      <c r="N74" s="403"/>
      <c r="O74" s="403"/>
      <c r="P74" s="403"/>
      <c r="Q74" s="403"/>
      <c r="R74" s="403"/>
      <c r="S74" s="404"/>
      <c r="T74" s="382" t="s">
        <v>49</v>
      </c>
      <c r="U74" s="382"/>
      <c r="V74" s="402" t="s">
        <v>50</v>
      </c>
      <c r="W74" s="404"/>
      <c r="X74" s="403" t="s">
        <v>51</v>
      </c>
      <c r="Y74" s="403"/>
      <c r="Z74" s="403"/>
      <c r="AA74" s="403"/>
      <c r="AB74" s="403"/>
      <c r="AC74" s="403"/>
      <c r="AD74" s="405"/>
      <c r="AF74" s="50"/>
    </row>
    <row r="75" spans="1:32" ht="33.75" customHeight="1">
      <c r="A75" s="374">
        <v>1</v>
      </c>
      <c r="B75" s="375"/>
      <c r="C75" s="347" t="s">
        <v>114</v>
      </c>
      <c r="D75" s="347"/>
      <c r="E75" s="65" t="s">
        <v>119</v>
      </c>
      <c r="F75" s="389" t="s">
        <v>118</v>
      </c>
      <c r="G75" s="390"/>
      <c r="H75" s="390"/>
      <c r="I75" s="390"/>
      <c r="J75" s="391"/>
      <c r="K75" s="392" t="s">
        <v>522</v>
      </c>
      <c r="L75" s="393"/>
      <c r="M75" s="393"/>
      <c r="N75" s="393"/>
      <c r="O75" s="393"/>
      <c r="P75" s="393"/>
      <c r="Q75" s="393"/>
      <c r="R75" s="393"/>
      <c r="S75" s="394"/>
      <c r="T75" s="395">
        <v>43675</v>
      </c>
      <c r="U75" s="396"/>
      <c r="V75" s="397"/>
      <c r="W75" s="397"/>
      <c r="X75" s="398"/>
      <c r="Y75" s="398"/>
      <c r="Z75" s="398"/>
      <c r="AA75" s="398"/>
      <c r="AB75" s="398"/>
      <c r="AC75" s="398"/>
      <c r="AD75" s="399"/>
      <c r="AF75" s="50"/>
    </row>
    <row r="76" spans="1:32" ht="30" customHeight="1">
      <c r="A76" s="367">
        <f>A75+1</f>
        <v>2</v>
      </c>
      <c r="B76" s="368"/>
      <c r="C76" s="346"/>
      <c r="D76" s="346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ref="A77:A83" si="29">A76+1</f>
        <v>3</v>
      </c>
      <c r="B77" s="368"/>
      <c r="C77" s="346"/>
      <c r="D77" s="346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9"/>
        <v>4</v>
      </c>
      <c r="B78" s="368"/>
      <c r="C78" s="346"/>
      <c r="D78" s="346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9"/>
        <v>5</v>
      </c>
      <c r="B79" s="368"/>
      <c r="C79" s="346"/>
      <c r="D79" s="346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9"/>
        <v>6</v>
      </c>
      <c r="B80" s="368"/>
      <c r="C80" s="346"/>
      <c r="D80" s="346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9"/>
        <v>7</v>
      </c>
      <c r="B81" s="368"/>
      <c r="C81" s="346"/>
      <c r="D81" s="346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9"/>
        <v>8</v>
      </c>
      <c r="B82" s="368"/>
      <c r="C82" s="346"/>
      <c r="D82" s="346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9"/>
        <v>9</v>
      </c>
      <c r="B83" s="368"/>
      <c r="C83" s="346"/>
      <c r="D83" s="346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6" thickBot="1">
      <c r="A84" s="380" t="s">
        <v>560</v>
      </c>
      <c r="B84" s="380"/>
      <c r="C84" s="380"/>
      <c r="D84" s="380"/>
      <c r="E84" s="380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81" t="s">
        <v>113</v>
      </c>
      <c r="B85" s="382"/>
      <c r="C85" s="372" t="s">
        <v>52</v>
      </c>
      <c r="D85" s="372"/>
      <c r="E85" s="372" t="s">
        <v>53</v>
      </c>
      <c r="F85" s="372"/>
      <c r="G85" s="372"/>
      <c r="H85" s="372"/>
      <c r="I85" s="372"/>
      <c r="J85" s="372"/>
      <c r="K85" s="372" t="s">
        <v>54</v>
      </c>
      <c r="L85" s="372"/>
      <c r="M85" s="372"/>
      <c r="N85" s="372"/>
      <c r="O85" s="372"/>
      <c r="P85" s="372"/>
      <c r="Q85" s="372"/>
      <c r="R85" s="372"/>
      <c r="S85" s="372"/>
      <c r="T85" s="372" t="s">
        <v>55</v>
      </c>
      <c r="U85" s="372"/>
      <c r="V85" s="372" t="s">
        <v>56</v>
      </c>
      <c r="W85" s="372"/>
      <c r="X85" s="372"/>
      <c r="Y85" s="372" t="s">
        <v>51</v>
      </c>
      <c r="Z85" s="372"/>
      <c r="AA85" s="372"/>
      <c r="AB85" s="372"/>
      <c r="AC85" s="372"/>
      <c r="AD85" s="373"/>
      <c r="AF85" s="50"/>
    </row>
    <row r="86" spans="1:32" ht="30.75" customHeight="1">
      <c r="A86" s="374">
        <v>1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7"/>
      <c r="W86" s="377"/>
      <c r="X86" s="377"/>
      <c r="Y86" s="378"/>
      <c r="Z86" s="378"/>
      <c r="AA86" s="378"/>
      <c r="AB86" s="378"/>
      <c r="AC86" s="378"/>
      <c r="AD86" s="379"/>
      <c r="AF86" s="50"/>
    </row>
    <row r="87" spans="1:32" ht="30.75" customHeight="1">
      <c r="A87" s="367">
        <v>2</v>
      </c>
      <c r="B87" s="368"/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70"/>
      <c r="U87" s="370"/>
      <c r="V87" s="371"/>
      <c r="W87" s="371"/>
      <c r="X87" s="371"/>
      <c r="Y87" s="360"/>
      <c r="Z87" s="360"/>
      <c r="AA87" s="360"/>
      <c r="AB87" s="360"/>
      <c r="AC87" s="360"/>
      <c r="AD87" s="361"/>
      <c r="AF87" s="50"/>
    </row>
    <row r="88" spans="1:32" ht="30.75" customHeight="1" thickBot="1">
      <c r="A88" s="362">
        <v>3</v>
      </c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5"/>
      <c r="Z88" s="365"/>
      <c r="AA88" s="365"/>
      <c r="AB88" s="365"/>
      <c r="AC88" s="365"/>
      <c r="AD88" s="366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48</vt:i4>
      </vt:variant>
    </vt:vector>
  </HeadingPairs>
  <TitlesOfParts>
    <vt:vector size="73" baseType="lpstr">
      <vt:lpstr>총괄</vt:lpstr>
      <vt:lpstr>01</vt:lpstr>
      <vt:lpstr>02</vt:lpstr>
      <vt:lpstr>03</vt:lpstr>
      <vt:lpstr>04</vt:lpstr>
      <vt:lpstr>05</vt:lpstr>
      <vt:lpstr>06</vt:lpstr>
      <vt:lpstr>08</vt:lpstr>
      <vt:lpstr>09</vt:lpstr>
      <vt:lpstr>10</vt:lpstr>
      <vt:lpstr>11</vt:lpstr>
      <vt:lpstr>12</vt:lpstr>
      <vt:lpstr>15</vt:lpstr>
      <vt:lpstr>16</vt:lpstr>
      <vt:lpstr>17</vt:lpstr>
      <vt:lpstr>18</vt:lpstr>
      <vt:lpstr>19</vt:lpstr>
      <vt:lpstr>22</vt:lpstr>
      <vt:lpstr>23</vt:lpstr>
      <vt:lpstr>24</vt:lpstr>
      <vt:lpstr>25</vt:lpstr>
      <vt:lpstr>26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'08'!Print_Area</vt:lpstr>
      <vt:lpstr>'09'!Print_Area</vt:lpstr>
      <vt:lpstr>'10'!Print_Area</vt:lpstr>
      <vt:lpstr>'11'!Print_Area</vt:lpstr>
      <vt:lpstr>'12'!Print_Area</vt:lpstr>
      <vt:lpstr>'15'!Print_Area</vt:lpstr>
      <vt:lpstr>'16'!Print_Area</vt:lpstr>
      <vt:lpstr>'17'!Print_Area</vt:lpstr>
      <vt:lpstr>'18'!Print_Area</vt:lpstr>
      <vt:lpstr>'19'!Print_Area</vt:lpstr>
      <vt:lpstr>'22'!Print_Area</vt:lpstr>
      <vt:lpstr>'23'!Print_Area</vt:lpstr>
      <vt:lpstr>'24'!Print_Area</vt:lpstr>
      <vt:lpstr>'25'!Print_Area</vt:lpstr>
      <vt:lpstr>'26'!Print_Area</vt:lpstr>
      <vt:lpstr>'29'!Print_Area</vt:lpstr>
      <vt:lpstr>'30'!Print_Area</vt:lpstr>
      <vt:lpstr>'31'!Print_Area</vt:lpstr>
      <vt:lpstr>'01'!ㅁ1</vt:lpstr>
      <vt:lpstr>'02'!ㅁ1</vt:lpstr>
      <vt:lpstr>'03'!ㅁ1</vt:lpstr>
      <vt:lpstr>'04'!ㅁ1</vt:lpstr>
      <vt:lpstr>'05'!ㅁ1</vt:lpstr>
      <vt:lpstr>'06'!ㅁ1</vt:lpstr>
      <vt:lpstr>'08'!ㅁ1</vt:lpstr>
      <vt:lpstr>'09'!ㅁ1</vt:lpstr>
      <vt:lpstr>'10'!ㅁ1</vt:lpstr>
      <vt:lpstr>'11'!ㅁ1</vt:lpstr>
      <vt:lpstr>'12'!ㅁ1</vt:lpstr>
      <vt:lpstr>'15'!ㅁ1</vt:lpstr>
      <vt:lpstr>'16'!ㅁ1</vt:lpstr>
      <vt:lpstr>'17'!ㅁ1</vt:lpstr>
      <vt:lpstr>'18'!ㅁ1</vt:lpstr>
      <vt:lpstr>'19'!ㅁ1</vt:lpstr>
      <vt:lpstr>'22'!ㅁ1</vt:lpstr>
      <vt:lpstr>'23'!ㅁ1</vt:lpstr>
      <vt:lpstr>'24'!ㅁ1</vt:lpstr>
      <vt:lpstr>'25'!ㅁ1</vt:lpstr>
      <vt:lpstr>'26'!ㅁ1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2019-06-25T01:47:47Z</cp:lastPrinted>
  <dcterms:created xsi:type="dcterms:W3CDTF">2014-05-16T00:06:55Z</dcterms:created>
  <dcterms:modified xsi:type="dcterms:W3CDTF">2019-08-01T13:14:56Z</dcterms:modified>
</cp:coreProperties>
</file>