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4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폴더\2019년도\일일업무\생산일보\"/>
    </mc:Choice>
  </mc:AlternateContent>
  <xr:revisionPtr revIDLastSave="0" documentId="13_ncr:1_{2F0EBC83-671F-4295-AF42-D273A1FE58A8}" xr6:coauthVersionLast="44" xr6:coauthVersionMax="44" xr10:uidLastSave="{00000000-0000-0000-0000-000000000000}"/>
  <bookViews>
    <workbookView xWindow="-120" yWindow="-120" windowWidth="29040" windowHeight="15840" activeTab="22" xr2:uid="{00000000-000D-0000-FFFF-FFFF00000000}"/>
  </bookViews>
  <sheets>
    <sheet name="총괄" sheetId="16" r:id="rId1"/>
    <sheet name="01" sheetId="1499" r:id="rId2"/>
    <sheet name="02" sheetId="1500" r:id="rId3"/>
    <sheet name="03" sheetId="1501" r:id="rId4"/>
    <sheet name="05" sheetId="1502" r:id="rId5"/>
    <sheet name="06" sheetId="1503" r:id="rId6"/>
    <sheet name="07" sheetId="1504" r:id="rId7"/>
    <sheet name="08" sheetId="1505" r:id="rId8"/>
    <sheet name="09" sheetId="1506" r:id="rId9"/>
    <sheet name="12" sheetId="1507" r:id="rId10"/>
    <sheet name="13" sheetId="1508" r:id="rId11"/>
    <sheet name="14" sheetId="1509" r:id="rId12"/>
    <sheet name="19" sheetId="1510" r:id="rId13"/>
    <sheet name="20" sheetId="1511" r:id="rId14"/>
    <sheet name="21" sheetId="1512" r:id="rId15"/>
    <sheet name="22" sheetId="1513" r:id="rId16"/>
    <sheet name="23" sheetId="1514" r:id="rId17"/>
    <sheet name="26" sheetId="1515" r:id="rId18"/>
    <sheet name="27" sheetId="1516" r:id="rId19"/>
    <sheet name="28" sheetId="1517" r:id="rId20"/>
    <sheet name="29" sheetId="1518" r:id="rId21"/>
    <sheet name="30" sheetId="1519" r:id="rId22"/>
    <sheet name="31" sheetId="1520" r:id="rId23"/>
  </sheets>
  <definedNames>
    <definedName name="_xlnm.Print_Area" localSheetId="1">'01'!$A$1:$AD$86</definedName>
    <definedName name="_xlnm.Print_Area" localSheetId="2">'02'!$A$1:$AD$86</definedName>
    <definedName name="_xlnm.Print_Area" localSheetId="3">'03'!$A$1:$AD$86</definedName>
    <definedName name="_xlnm.Print_Area" localSheetId="4">'05'!$A$1:$AD$86</definedName>
    <definedName name="_xlnm.Print_Area" localSheetId="5">'06'!$A$1:$AD$87</definedName>
    <definedName name="_xlnm.Print_Area" localSheetId="6">'07'!$A$1:$AD$87</definedName>
    <definedName name="_xlnm.Print_Area" localSheetId="7">'08'!$A$1:$AD$86</definedName>
    <definedName name="_xlnm.Print_Area" localSheetId="8">'09'!$A$1:$AD$86</definedName>
    <definedName name="_xlnm.Print_Area" localSheetId="9">'12'!$A$1:$AD$88</definedName>
    <definedName name="_xlnm.Print_Area" localSheetId="10">'13'!$A$1:$AD$87</definedName>
    <definedName name="_xlnm.Print_Area" localSheetId="11">'14'!$A$1:$AD$87</definedName>
    <definedName name="_xlnm.Print_Area" localSheetId="12">'19'!$A$1:$AD$87</definedName>
    <definedName name="_xlnm.Print_Area" localSheetId="13">'20'!$A$1:$AD$86</definedName>
    <definedName name="_xlnm.Print_Area" localSheetId="14">'21'!$A$1:$AD$86</definedName>
    <definedName name="_xlnm.Print_Area" localSheetId="15">'22'!$A$1:$AD$86</definedName>
    <definedName name="_xlnm.Print_Area" localSheetId="16">'23'!$A$1:$AD$86</definedName>
    <definedName name="_xlnm.Print_Area" localSheetId="17">'26'!$A$1:$AD$87</definedName>
    <definedName name="_xlnm.Print_Area" localSheetId="18">'27'!$A$1:$AD$86</definedName>
    <definedName name="_xlnm.Print_Area" localSheetId="19">'28'!$A$1:$AD$86</definedName>
    <definedName name="_xlnm.Print_Area" localSheetId="20">'29'!$A$1:$AD$86</definedName>
    <definedName name="_xlnm.Print_Area" localSheetId="21">'30'!$A$1:$AD$86</definedName>
    <definedName name="_xlnm.Print_Area" localSheetId="22">'31'!$A$1:$AD$86</definedName>
    <definedName name="ㅁ1" localSheetId="1">'01'!$M$1048521:$M$1048576</definedName>
    <definedName name="ㅁ1" localSheetId="2">'02'!$M$1048521:$M$1048576</definedName>
    <definedName name="ㅁ1" localSheetId="3">'03'!$M$1048521:$M$1048576</definedName>
    <definedName name="ㅁ1" localSheetId="4">'05'!$M$1048521:$M$1048576</definedName>
    <definedName name="ㅁ1" localSheetId="5">'06'!$M$1048522:$M$1048576</definedName>
    <definedName name="ㅁ1" localSheetId="6">'07'!$M$1048522:$M$1048576</definedName>
    <definedName name="ㅁ1" localSheetId="7">'08'!$M$1048521:$M$1048576</definedName>
    <definedName name="ㅁ1" localSheetId="8">'09'!$M$1048521:$M$1048576</definedName>
    <definedName name="ㅁ1" localSheetId="9">'12'!$M$1048523:$M$1048576</definedName>
    <definedName name="ㅁ1" localSheetId="10">'13'!$M$1048522:$M$1048576</definedName>
    <definedName name="ㅁ1" localSheetId="11">'14'!$M$1048522:$M$1048576</definedName>
    <definedName name="ㅁ1" localSheetId="12">'19'!$M$1048522:$M$1048576</definedName>
    <definedName name="ㅁ1" localSheetId="13">'20'!$M$1048521:$M$1048576</definedName>
    <definedName name="ㅁ1" localSheetId="14">'21'!$M$1048521:$M$1048576</definedName>
    <definedName name="ㅁ1" localSheetId="15">'22'!$M$1048521:$M$1048576</definedName>
    <definedName name="ㅁ1" localSheetId="16">'23'!$M$1048521:$M$1048576</definedName>
    <definedName name="ㅁ1" localSheetId="17">'26'!$M$1048522:$M$1048576</definedName>
    <definedName name="ㅁ1" localSheetId="18">'27'!$M$1048521:$M$1048576</definedName>
    <definedName name="ㅁ1" localSheetId="19">'28'!$M$1048521:$M$1048576</definedName>
    <definedName name="ㅁ1" localSheetId="20">'29'!$M$1048521:$M$1048576</definedName>
    <definedName name="ㅁ1" localSheetId="21">'30'!$M$1048521:$M$1048576</definedName>
    <definedName name="ㅁ1" localSheetId="22">'31'!$M$1048521:$M$1048576</definedName>
    <definedName name="ㅁ1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8" i="16" l="1"/>
  <c r="AF17" i="16"/>
  <c r="AF16" i="16"/>
  <c r="AF15" i="16"/>
  <c r="AF14" i="16"/>
  <c r="AF13" i="16"/>
  <c r="AF12" i="16"/>
  <c r="AF11" i="16"/>
  <c r="AF10" i="16"/>
  <c r="AF9" i="16"/>
  <c r="AF8" i="16"/>
  <c r="AF7" i="16"/>
  <c r="AF6" i="16"/>
  <c r="AF5" i="16"/>
  <c r="AF4" i="16"/>
  <c r="AF3" i="16"/>
  <c r="L19" i="1520"/>
  <c r="K19" i="1520" s="1"/>
  <c r="L18" i="1520"/>
  <c r="P18" i="1520" s="1"/>
  <c r="AC18" i="1520" s="1"/>
  <c r="L17" i="1520"/>
  <c r="K17" i="1520"/>
  <c r="L14" i="1520"/>
  <c r="O14" i="1520" s="1"/>
  <c r="L12" i="1520"/>
  <c r="O12" i="1520" s="1"/>
  <c r="L10" i="1520"/>
  <c r="L9" i="1520"/>
  <c r="O9" i="1520" s="1"/>
  <c r="L8" i="1520"/>
  <c r="AB8" i="1520" s="1"/>
  <c r="K20" i="1520"/>
  <c r="K18" i="1520"/>
  <c r="K12" i="1520"/>
  <c r="K10" i="1520"/>
  <c r="K8" i="1520"/>
  <c r="A74" i="1520"/>
  <c r="A75" i="1520" s="1"/>
  <c r="A76" i="1520" s="1"/>
  <c r="A77" i="1520" s="1"/>
  <c r="A78" i="1520" s="1"/>
  <c r="A79" i="1520" s="1"/>
  <c r="A80" i="1520" s="1"/>
  <c r="A81" i="1520" s="1"/>
  <c r="AF60" i="1520"/>
  <c r="AF62" i="1520" s="1"/>
  <c r="AF59" i="1520"/>
  <c r="AA21" i="1520"/>
  <c r="Z21" i="1520"/>
  <c r="Y21" i="1520"/>
  <c r="X21" i="1520"/>
  <c r="W21" i="1520"/>
  <c r="V21" i="1520"/>
  <c r="U21" i="1520"/>
  <c r="T21" i="1520"/>
  <c r="S21" i="1520"/>
  <c r="R21" i="1520"/>
  <c r="N21" i="1520"/>
  <c r="J21" i="1520"/>
  <c r="I21" i="1520"/>
  <c r="AF20" i="1520"/>
  <c r="AB20" i="1520"/>
  <c r="Q20" i="1520"/>
  <c r="P20" i="1520"/>
  <c r="AC20" i="1520" s="1"/>
  <c r="AD20" i="1520" s="1"/>
  <c r="O20" i="1520"/>
  <c r="M20" i="1520"/>
  <c r="AF19" i="1520"/>
  <c r="Q19" i="1520"/>
  <c r="AB19" i="1520"/>
  <c r="AF18" i="1520"/>
  <c r="AB18" i="1520"/>
  <c r="Q18" i="1520"/>
  <c r="M18" i="1520"/>
  <c r="O18" i="1520"/>
  <c r="AF17" i="1520"/>
  <c r="Q17" i="1520"/>
  <c r="AF16" i="1520"/>
  <c r="AB16" i="1520"/>
  <c r="Q16" i="1520"/>
  <c r="P16" i="1520"/>
  <c r="AC16" i="1520" s="1"/>
  <c r="O16" i="1520"/>
  <c r="M16" i="1520"/>
  <c r="K16" i="1520"/>
  <c r="AF15" i="1520"/>
  <c r="AB15" i="1520"/>
  <c r="Q15" i="1520"/>
  <c r="P15" i="1520"/>
  <c r="AC15" i="1520" s="1"/>
  <c r="O15" i="1520"/>
  <c r="M15" i="1520"/>
  <c r="K15" i="1520"/>
  <c r="AF14" i="1520"/>
  <c r="AB14" i="1520"/>
  <c r="Q14" i="1520"/>
  <c r="P14" i="1520" s="1"/>
  <c r="AC14" i="1520" s="1"/>
  <c r="M14" i="1520"/>
  <c r="K14" i="1520"/>
  <c r="AF13" i="1520"/>
  <c r="AB13" i="1520"/>
  <c r="Q13" i="1520"/>
  <c r="P13" i="1520"/>
  <c r="AC13" i="1520" s="1"/>
  <c r="AD13" i="1520" s="1"/>
  <c r="O13" i="1520"/>
  <c r="M13" i="1520"/>
  <c r="K13" i="1520"/>
  <c r="AF12" i="1520"/>
  <c r="Q12" i="1520"/>
  <c r="P12" i="1520"/>
  <c r="AC12" i="1520" s="1"/>
  <c r="AF11" i="1520"/>
  <c r="AC11" i="1520"/>
  <c r="AB11" i="1520"/>
  <c r="Q11" i="1520"/>
  <c r="P11" i="1520"/>
  <c r="O11" i="1520"/>
  <c r="M11" i="1520"/>
  <c r="K11" i="1520"/>
  <c r="AF10" i="1520"/>
  <c r="Q10" i="1520"/>
  <c r="P10" i="1520"/>
  <c r="AC10" i="1520" s="1"/>
  <c r="AF9" i="1520"/>
  <c r="Q9" i="1520"/>
  <c r="P9" i="1520"/>
  <c r="AC9" i="1520" s="1"/>
  <c r="AF8" i="1520"/>
  <c r="Q8" i="1520"/>
  <c r="O8" i="1520"/>
  <c r="AF7" i="1520"/>
  <c r="AB7" i="1520"/>
  <c r="Q7" i="1520"/>
  <c r="P7" i="1520"/>
  <c r="AC7" i="1520" s="1"/>
  <c r="AD7" i="1520" s="1"/>
  <c r="O7" i="1520"/>
  <c r="M7" i="1520"/>
  <c r="K7" i="1520"/>
  <c r="AF6" i="1520"/>
  <c r="AB6" i="1520"/>
  <c r="Q6" i="1520"/>
  <c r="P6" i="1520"/>
  <c r="AC6" i="1520" s="1"/>
  <c r="O6" i="1520"/>
  <c r="M6" i="1520"/>
  <c r="K6" i="1520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L20" i="1519"/>
  <c r="O20" i="1519" s="1"/>
  <c r="L19" i="1519"/>
  <c r="O19" i="1519" s="1"/>
  <c r="L18" i="1519"/>
  <c r="AB18" i="1519" s="1"/>
  <c r="L17" i="1519"/>
  <c r="L12" i="1519"/>
  <c r="P12" i="1519" s="1"/>
  <c r="AC12" i="1519" s="1"/>
  <c r="K12" i="1519"/>
  <c r="L10" i="1519"/>
  <c r="K10" i="1519" s="1"/>
  <c r="L9" i="1519"/>
  <c r="K9" i="1519" s="1"/>
  <c r="L8" i="1519"/>
  <c r="K20" i="1519"/>
  <c r="K19" i="1519"/>
  <c r="K18" i="1519"/>
  <c r="K17" i="1519"/>
  <c r="K11" i="1519"/>
  <c r="A74" i="1519"/>
  <c r="A75" i="1519" s="1"/>
  <c r="A76" i="1519" s="1"/>
  <c r="A77" i="1519" s="1"/>
  <c r="A78" i="1519" s="1"/>
  <c r="A79" i="1519" s="1"/>
  <c r="A80" i="1519" s="1"/>
  <c r="A81" i="1519" s="1"/>
  <c r="AF62" i="1519"/>
  <c r="AF60" i="1519"/>
  <c r="AF59" i="1519"/>
  <c r="AA21" i="1519"/>
  <c r="Z21" i="1519"/>
  <c r="Y21" i="1519"/>
  <c r="X21" i="1519"/>
  <c r="W21" i="1519"/>
  <c r="V21" i="1519"/>
  <c r="U21" i="1519"/>
  <c r="T21" i="1519"/>
  <c r="S21" i="1519"/>
  <c r="R21" i="1519"/>
  <c r="N21" i="1519"/>
  <c r="J21" i="1519"/>
  <c r="I21" i="1519"/>
  <c r="AF20" i="1519"/>
  <c r="Q20" i="1519"/>
  <c r="P20" i="1519"/>
  <c r="AC20" i="1519" s="1"/>
  <c r="AF19" i="1519"/>
  <c r="Q19" i="1519"/>
  <c r="AB19" i="1519"/>
  <c r="AF18" i="1519"/>
  <c r="Q18" i="1519"/>
  <c r="P18" i="1519"/>
  <c r="AC18" i="1519" s="1"/>
  <c r="M18" i="1519"/>
  <c r="AF17" i="1519"/>
  <c r="Q17" i="1519"/>
  <c r="P17" i="1519" s="1"/>
  <c r="AC17" i="1519" s="1"/>
  <c r="AF16" i="1519"/>
  <c r="AB16" i="1519"/>
  <c r="Q16" i="1519"/>
  <c r="P16" i="1519"/>
  <c r="AC16" i="1519" s="1"/>
  <c r="AD16" i="1519" s="1"/>
  <c r="O16" i="1519"/>
  <c r="M16" i="1519"/>
  <c r="K16" i="1519"/>
  <c r="AF15" i="1519"/>
  <c r="AB15" i="1519"/>
  <c r="Q15" i="1519"/>
  <c r="P15" i="1519"/>
  <c r="AC15" i="1519" s="1"/>
  <c r="AD15" i="1519" s="1"/>
  <c r="O15" i="1519"/>
  <c r="M15" i="1519"/>
  <c r="K15" i="1519"/>
  <c r="AF14" i="1519"/>
  <c r="AB14" i="1519"/>
  <c r="Q14" i="1519"/>
  <c r="P14" i="1519"/>
  <c r="AC14" i="1519" s="1"/>
  <c r="O14" i="1519"/>
  <c r="M14" i="1519"/>
  <c r="K14" i="1519"/>
  <c r="AF13" i="1519"/>
  <c r="AB13" i="1519"/>
  <c r="Q13" i="1519"/>
  <c r="P13" i="1519"/>
  <c r="AC13" i="1519" s="1"/>
  <c r="O13" i="1519"/>
  <c r="M13" i="1519"/>
  <c r="K13" i="1519"/>
  <c r="AF12" i="1519"/>
  <c r="AB12" i="1519"/>
  <c r="Q12" i="1519"/>
  <c r="O12" i="1519"/>
  <c r="M12" i="1519"/>
  <c r="AF11" i="1519"/>
  <c r="AB11" i="1519"/>
  <c r="Q11" i="1519"/>
  <c r="M11" i="1519"/>
  <c r="P11" i="1519"/>
  <c r="AC11" i="1519" s="1"/>
  <c r="AF10" i="1519"/>
  <c r="AB10" i="1519"/>
  <c r="Q10" i="1519"/>
  <c r="M10" i="1519"/>
  <c r="AF9" i="1519"/>
  <c r="Q9" i="1519"/>
  <c r="O9" i="1519"/>
  <c r="AB9" i="1519"/>
  <c r="AF8" i="1519"/>
  <c r="Q8" i="1519"/>
  <c r="M8" i="1519"/>
  <c r="AF7" i="1519"/>
  <c r="AB7" i="1519"/>
  <c r="Q7" i="1519"/>
  <c r="P7" i="1519"/>
  <c r="AC7" i="1519" s="1"/>
  <c r="AD7" i="1519" s="1"/>
  <c r="O7" i="1519"/>
  <c r="M7" i="1519"/>
  <c r="K7" i="1519"/>
  <c r="AF6" i="1519"/>
  <c r="AC6" i="1519"/>
  <c r="AB6" i="1519"/>
  <c r="Q6" i="1519"/>
  <c r="P6" i="1519"/>
  <c r="O6" i="1519"/>
  <c r="M6" i="1519"/>
  <c r="K6" i="1519"/>
  <c r="O19" i="1520" l="1"/>
  <c r="P17" i="1520"/>
  <c r="AC17" i="1520" s="1"/>
  <c r="M12" i="1520"/>
  <c r="AB12" i="1520"/>
  <c r="AD12" i="1520" s="1"/>
  <c r="K9" i="1520"/>
  <c r="AB9" i="1520"/>
  <c r="AD9" i="1520" s="1"/>
  <c r="M9" i="1520"/>
  <c r="Q21" i="1520"/>
  <c r="AD11" i="1520"/>
  <c r="AD16" i="1520"/>
  <c r="AD15" i="1520"/>
  <c r="AD18" i="1520"/>
  <c r="AD14" i="1520"/>
  <c r="AD6" i="1520"/>
  <c r="P8" i="1520"/>
  <c r="AC8" i="1520" s="1"/>
  <c r="AD8" i="1520" s="1"/>
  <c r="M10" i="1520"/>
  <c r="AB10" i="1520"/>
  <c r="M17" i="1520"/>
  <c r="AB17" i="1520"/>
  <c r="AD17" i="1520" s="1"/>
  <c r="P19" i="1520"/>
  <c r="AC19" i="1520" s="1"/>
  <c r="O10" i="1520"/>
  <c r="O17" i="1520"/>
  <c r="L21" i="1520"/>
  <c r="O21" i="1520" s="1"/>
  <c r="M8" i="1520"/>
  <c r="K21" i="1520"/>
  <c r="M19" i="1520"/>
  <c r="O18" i="1519"/>
  <c r="L21" i="1519"/>
  <c r="O21" i="1519" s="1"/>
  <c r="Q21" i="1519"/>
  <c r="O10" i="1519"/>
  <c r="P10" i="1519"/>
  <c r="AC10" i="1519" s="1"/>
  <c r="AD10" i="1519" s="1"/>
  <c r="K8" i="1519"/>
  <c r="AB8" i="1519"/>
  <c r="AD14" i="1519"/>
  <c r="AD13" i="1519"/>
  <c r="AD12" i="1519"/>
  <c r="AD18" i="1519"/>
  <c r="AD11" i="1519"/>
  <c r="AD6" i="1519"/>
  <c r="O8" i="1519"/>
  <c r="K21" i="1519"/>
  <c r="P9" i="1519"/>
  <c r="AC9" i="1519" s="1"/>
  <c r="AD9" i="1519" s="1"/>
  <c r="O11" i="1519"/>
  <c r="M17" i="1519"/>
  <c r="AB17" i="1519"/>
  <c r="AD17" i="1519" s="1"/>
  <c r="P19" i="1519"/>
  <c r="AC19" i="1519" s="1"/>
  <c r="AD19" i="1519" s="1"/>
  <c r="P8" i="1519"/>
  <c r="AC8" i="1519" s="1"/>
  <c r="O17" i="1519"/>
  <c r="M20" i="1519"/>
  <c r="AB20" i="1519"/>
  <c r="AD20" i="1519" s="1"/>
  <c r="M9" i="1519"/>
  <c r="M19" i="1519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L20" i="1518"/>
  <c r="L19" i="1518"/>
  <c r="O19" i="1518" s="1"/>
  <c r="L18" i="1518"/>
  <c r="AB18" i="1518" s="1"/>
  <c r="L17" i="1518"/>
  <c r="L11" i="1518"/>
  <c r="K11" i="1518"/>
  <c r="L9" i="1518"/>
  <c r="K9" i="1518" s="1"/>
  <c r="L8" i="1518"/>
  <c r="K20" i="1518"/>
  <c r="K19" i="1518"/>
  <c r="K18" i="1518"/>
  <c r="K17" i="1518"/>
  <c r="K12" i="1518"/>
  <c r="K8" i="1518"/>
  <c r="A74" i="1518"/>
  <c r="A75" i="1518" s="1"/>
  <c r="A76" i="1518" s="1"/>
  <c r="A77" i="1518" s="1"/>
  <c r="A78" i="1518" s="1"/>
  <c r="A79" i="1518" s="1"/>
  <c r="A80" i="1518" s="1"/>
  <c r="A81" i="1518" s="1"/>
  <c r="AF60" i="1518"/>
  <c r="AF59" i="1518"/>
  <c r="AF62" i="1518" s="1"/>
  <c r="AA21" i="1518"/>
  <c r="Z21" i="1518"/>
  <c r="Y21" i="1518"/>
  <c r="X21" i="1518"/>
  <c r="W21" i="1518"/>
  <c r="V21" i="1518"/>
  <c r="U21" i="1518"/>
  <c r="T21" i="1518"/>
  <c r="S21" i="1518"/>
  <c r="R21" i="1518"/>
  <c r="N21" i="1518"/>
  <c r="J21" i="1518"/>
  <c r="I21" i="1518"/>
  <c r="AF20" i="1518"/>
  <c r="Q20" i="1518"/>
  <c r="P20" i="1518"/>
  <c r="AC20" i="1518" s="1"/>
  <c r="O20" i="1518"/>
  <c r="AF19" i="1518"/>
  <c r="Q19" i="1518"/>
  <c r="P19" i="1518"/>
  <c r="AC19" i="1518" s="1"/>
  <c r="AB19" i="1518"/>
  <c r="AF18" i="1518"/>
  <c r="Q18" i="1518"/>
  <c r="P18" i="1518"/>
  <c r="AC18" i="1518" s="1"/>
  <c r="O18" i="1518"/>
  <c r="AF17" i="1518"/>
  <c r="Q17" i="1518"/>
  <c r="P17" i="1518"/>
  <c r="AC17" i="1518" s="1"/>
  <c r="AF16" i="1518"/>
  <c r="AB16" i="1518"/>
  <c r="Q16" i="1518"/>
  <c r="P16" i="1518"/>
  <c r="AC16" i="1518" s="1"/>
  <c r="O16" i="1518"/>
  <c r="M16" i="1518"/>
  <c r="K16" i="1518"/>
  <c r="AF15" i="1518"/>
  <c r="AB15" i="1518"/>
  <c r="Q15" i="1518"/>
  <c r="P15" i="1518"/>
  <c r="AC15" i="1518" s="1"/>
  <c r="AD15" i="1518" s="1"/>
  <c r="O15" i="1518"/>
  <c r="M15" i="1518"/>
  <c r="K15" i="1518"/>
  <c r="AF14" i="1518"/>
  <c r="AB14" i="1518"/>
  <c r="Q14" i="1518"/>
  <c r="P14" i="1518"/>
  <c r="AC14" i="1518" s="1"/>
  <c r="AD14" i="1518" s="1"/>
  <c r="O14" i="1518"/>
  <c r="M14" i="1518"/>
  <c r="K14" i="1518"/>
  <c r="AF13" i="1518"/>
  <c r="AB13" i="1518"/>
  <c r="Q13" i="1518"/>
  <c r="P13" i="1518"/>
  <c r="AC13" i="1518" s="1"/>
  <c r="AD13" i="1518" s="1"/>
  <c r="O13" i="1518"/>
  <c r="M13" i="1518"/>
  <c r="K13" i="1518"/>
  <c r="AF12" i="1518"/>
  <c r="Q12" i="1518"/>
  <c r="P12" i="1518"/>
  <c r="AC12" i="1518" s="1"/>
  <c r="O12" i="1518"/>
  <c r="AF11" i="1518"/>
  <c r="AB11" i="1518"/>
  <c r="Q11" i="1518"/>
  <c r="P11" i="1518" s="1"/>
  <c r="AC11" i="1518" s="1"/>
  <c r="O11" i="1518"/>
  <c r="M11" i="1518"/>
  <c r="AF10" i="1518"/>
  <c r="AB10" i="1518"/>
  <c r="Q10" i="1518"/>
  <c r="P10" i="1518"/>
  <c r="AC10" i="1518" s="1"/>
  <c r="AD10" i="1518" s="1"/>
  <c r="O10" i="1518"/>
  <c r="M10" i="1518"/>
  <c r="K10" i="1518"/>
  <c r="AF9" i="1518"/>
  <c r="AB9" i="1518"/>
  <c r="Q9" i="1518"/>
  <c r="P9" i="1518" s="1"/>
  <c r="AC9" i="1518" s="1"/>
  <c r="O9" i="1518"/>
  <c r="M9" i="1518"/>
  <c r="AF8" i="1518"/>
  <c r="Q8" i="1518"/>
  <c r="P8" i="1518" s="1"/>
  <c r="AC8" i="1518" s="1"/>
  <c r="AF7" i="1518"/>
  <c r="AB7" i="1518"/>
  <c r="Q7" i="1518"/>
  <c r="P7" i="1518"/>
  <c r="AC7" i="1518" s="1"/>
  <c r="AD7" i="1518" s="1"/>
  <c r="O7" i="1518"/>
  <c r="M7" i="1518"/>
  <c r="K7" i="1518"/>
  <c r="AF6" i="1518"/>
  <c r="AC6" i="1518"/>
  <c r="AB6" i="1518"/>
  <c r="Q6" i="1518"/>
  <c r="P6" i="1518"/>
  <c r="O6" i="1518"/>
  <c r="M6" i="1518"/>
  <c r="K6" i="1518"/>
  <c r="M21" i="1520" l="1"/>
  <c r="AD19" i="1520"/>
  <c r="AD21" i="1520" s="1"/>
  <c r="AD10" i="1520"/>
  <c r="P21" i="1520"/>
  <c r="AC21" i="1520"/>
  <c r="AB21" i="1520"/>
  <c r="M21" i="1519"/>
  <c r="AD8" i="1519"/>
  <c r="AD21" i="1519" s="1"/>
  <c r="AB21" i="1519"/>
  <c r="AC21" i="1519"/>
  <c r="P21" i="1519"/>
  <c r="M18" i="1518"/>
  <c r="AD18" i="1518"/>
  <c r="AD11" i="1518"/>
  <c r="Q21" i="1518"/>
  <c r="AD9" i="1518"/>
  <c r="AD16" i="1518"/>
  <c r="AC21" i="1518"/>
  <c r="AD19" i="1518"/>
  <c r="P21" i="1518"/>
  <c r="M17" i="1518"/>
  <c r="AB17" i="1518"/>
  <c r="M12" i="1518"/>
  <c r="AB12" i="1518"/>
  <c r="AD12" i="1518" s="1"/>
  <c r="O17" i="1518"/>
  <c r="M20" i="1518"/>
  <c r="AB20" i="1518"/>
  <c r="AD20" i="1518" s="1"/>
  <c r="L21" i="1518"/>
  <c r="O21" i="1518" s="1"/>
  <c r="M8" i="1518"/>
  <c r="AB8" i="1518"/>
  <c r="AD6" i="1518"/>
  <c r="O8" i="1518"/>
  <c r="K21" i="1518"/>
  <c r="M19" i="1518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L20" i="1517"/>
  <c r="K20" i="1517" s="1"/>
  <c r="L19" i="1517"/>
  <c r="K19" i="1517"/>
  <c r="L18" i="1517"/>
  <c r="K18" i="1517"/>
  <c r="L17" i="1517"/>
  <c r="K17" i="1517"/>
  <c r="L12" i="1517"/>
  <c r="L8" i="1517"/>
  <c r="K8" i="1517" s="1"/>
  <c r="K15" i="1517"/>
  <c r="K13" i="1517"/>
  <c r="K12" i="1517"/>
  <c r="K11" i="1517"/>
  <c r="K10" i="1517"/>
  <c r="K9" i="1517"/>
  <c r="A75" i="1517"/>
  <c r="A76" i="1517" s="1"/>
  <c r="A77" i="1517" s="1"/>
  <c r="A78" i="1517" s="1"/>
  <c r="A79" i="1517" s="1"/>
  <c r="A80" i="1517" s="1"/>
  <c r="A81" i="1517" s="1"/>
  <c r="A74" i="1517"/>
  <c r="AF60" i="1517"/>
  <c r="AF59" i="1517"/>
  <c r="AF62" i="1517" s="1"/>
  <c r="AA21" i="1517"/>
  <c r="Z21" i="1517"/>
  <c r="Y21" i="1517"/>
  <c r="X21" i="1517"/>
  <c r="W21" i="1517"/>
  <c r="V21" i="1517"/>
  <c r="U21" i="1517"/>
  <c r="T21" i="1517"/>
  <c r="S21" i="1517"/>
  <c r="R21" i="1517"/>
  <c r="N21" i="1517"/>
  <c r="J21" i="1517"/>
  <c r="I21" i="1517"/>
  <c r="AF20" i="1517"/>
  <c r="Q20" i="1517"/>
  <c r="AF19" i="1517"/>
  <c r="Q19" i="1517"/>
  <c r="P19" i="1517"/>
  <c r="AC19" i="1517" s="1"/>
  <c r="AB19" i="1517"/>
  <c r="AF18" i="1517"/>
  <c r="Q18" i="1517"/>
  <c r="P18" i="1517" s="1"/>
  <c r="AC18" i="1517" s="1"/>
  <c r="O18" i="1517"/>
  <c r="AB18" i="1517"/>
  <c r="AF17" i="1517"/>
  <c r="AB17" i="1517"/>
  <c r="Q17" i="1517"/>
  <c r="P17" i="1517"/>
  <c r="AC17" i="1517" s="1"/>
  <c r="O17" i="1517"/>
  <c r="M17" i="1517"/>
  <c r="AF16" i="1517"/>
  <c r="AB16" i="1517"/>
  <c r="Q16" i="1517"/>
  <c r="P16" i="1517"/>
  <c r="AC16" i="1517" s="1"/>
  <c r="O16" i="1517"/>
  <c r="M16" i="1517"/>
  <c r="K16" i="1517"/>
  <c r="AF15" i="1517"/>
  <c r="Q15" i="1517"/>
  <c r="P15" i="1517"/>
  <c r="AC15" i="1517" s="1"/>
  <c r="O15" i="1517"/>
  <c r="AB15" i="1517"/>
  <c r="AF14" i="1517"/>
  <c r="AC14" i="1517"/>
  <c r="AB14" i="1517"/>
  <c r="Q14" i="1517"/>
  <c r="P14" i="1517"/>
  <c r="O14" i="1517"/>
  <c r="M14" i="1517"/>
  <c r="K14" i="1517"/>
  <c r="AF13" i="1517"/>
  <c r="AB13" i="1517"/>
  <c r="Q13" i="1517"/>
  <c r="P13" i="1517"/>
  <c r="AC13" i="1517" s="1"/>
  <c r="O13" i="1517"/>
  <c r="M13" i="1517"/>
  <c r="AF12" i="1517"/>
  <c r="AB12" i="1517"/>
  <c r="Q12" i="1517"/>
  <c r="O12" i="1517"/>
  <c r="M12" i="1517"/>
  <c r="AF11" i="1517"/>
  <c r="AB11" i="1517"/>
  <c r="Q11" i="1517"/>
  <c r="P11" i="1517" s="1"/>
  <c r="AC11" i="1517" s="1"/>
  <c r="O11" i="1517"/>
  <c r="M11" i="1517"/>
  <c r="AF10" i="1517"/>
  <c r="Q10" i="1517"/>
  <c r="P10" i="1517"/>
  <c r="AC10" i="1517" s="1"/>
  <c r="O10" i="1517"/>
  <c r="AB10" i="1517"/>
  <c r="AF9" i="1517"/>
  <c r="AB9" i="1517"/>
  <c r="Q9" i="1517"/>
  <c r="P9" i="1517"/>
  <c r="AC9" i="1517" s="1"/>
  <c r="O9" i="1517"/>
  <c r="M9" i="1517"/>
  <c r="AF8" i="1517"/>
  <c r="Q8" i="1517"/>
  <c r="P8" i="1517"/>
  <c r="AC8" i="1517" s="1"/>
  <c r="AB8" i="1517"/>
  <c r="AF7" i="1517"/>
  <c r="AC7" i="1517"/>
  <c r="AD7" i="1517" s="1"/>
  <c r="AB7" i="1517"/>
  <c r="Q7" i="1517"/>
  <c r="P7" i="1517"/>
  <c r="O7" i="1517"/>
  <c r="M7" i="1517"/>
  <c r="K7" i="1517"/>
  <c r="AF6" i="1517"/>
  <c r="AB6" i="1517"/>
  <c r="Q6" i="1517"/>
  <c r="P6" i="1517"/>
  <c r="AC6" i="1517" s="1"/>
  <c r="O6" i="1517"/>
  <c r="M6" i="1517"/>
  <c r="K6" i="1517"/>
  <c r="AE18" i="1520" l="1"/>
  <c r="AE15" i="1520"/>
  <c r="AE13" i="1520"/>
  <c r="AE7" i="1520"/>
  <c r="AE19" i="1520"/>
  <c r="AE11" i="1520"/>
  <c r="AE8" i="1520"/>
  <c r="AE17" i="1520"/>
  <c r="AE20" i="1520"/>
  <c r="AE16" i="1520"/>
  <c r="AE14" i="1520"/>
  <c r="AE12" i="1520"/>
  <c r="AE9" i="1520"/>
  <c r="AE6" i="1520"/>
  <c r="AE10" i="1520"/>
  <c r="AE18" i="1519"/>
  <c r="AE15" i="1519"/>
  <c r="AE13" i="1519"/>
  <c r="AE11" i="1519"/>
  <c r="AE8" i="1519"/>
  <c r="AE7" i="1519"/>
  <c r="AE19" i="1519"/>
  <c r="AE9" i="1519"/>
  <c r="AE6" i="1519"/>
  <c r="AE17" i="1519"/>
  <c r="AE20" i="1519"/>
  <c r="AE16" i="1519"/>
  <c r="AE14" i="1519"/>
  <c r="AE12" i="1519"/>
  <c r="AE10" i="1519"/>
  <c r="AD8" i="1518"/>
  <c r="AD17" i="1518"/>
  <c r="M21" i="1518"/>
  <c r="AB21" i="1518"/>
  <c r="O20" i="1517"/>
  <c r="AD17" i="1517"/>
  <c r="Q21" i="1517"/>
  <c r="P12" i="1517"/>
  <c r="AC12" i="1517" s="1"/>
  <c r="AD12" i="1517" s="1"/>
  <c r="AD9" i="1517"/>
  <c r="AD16" i="1517"/>
  <c r="AD14" i="1517"/>
  <c r="AD11" i="1517"/>
  <c r="AD13" i="1517"/>
  <c r="AD6" i="1517"/>
  <c r="K21" i="1517"/>
  <c r="AD10" i="1517"/>
  <c r="AD18" i="1517"/>
  <c r="AD15" i="1517"/>
  <c r="M20" i="1517"/>
  <c r="O8" i="1517"/>
  <c r="AD8" i="1517" s="1"/>
  <c r="M10" i="1517"/>
  <c r="M15" i="1517"/>
  <c r="M18" i="1517"/>
  <c r="O19" i="1517"/>
  <c r="AD19" i="1517" s="1"/>
  <c r="P20" i="1517"/>
  <c r="AC20" i="1517" s="1"/>
  <c r="AC21" i="1517" s="1"/>
  <c r="AB20" i="1517"/>
  <c r="AB21" i="1517" s="1"/>
  <c r="L21" i="1517"/>
  <c r="O21" i="1517" s="1"/>
  <c r="M8" i="1517"/>
  <c r="M19" i="1517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L20" i="1516"/>
  <c r="K20" i="1516"/>
  <c r="L19" i="1516"/>
  <c r="K19" i="1516" s="1"/>
  <c r="L18" i="1516"/>
  <c r="L17" i="1516"/>
  <c r="K17" i="1516" s="1"/>
  <c r="L15" i="1516"/>
  <c r="K15" i="1516" s="1"/>
  <c r="K13" i="1516"/>
  <c r="L12" i="1516"/>
  <c r="K11" i="1516"/>
  <c r="L10" i="1516"/>
  <c r="AB10" i="1516" s="1"/>
  <c r="L8" i="1516"/>
  <c r="K18" i="1516"/>
  <c r="K12" i="1516"/>
  <c r="A74" i="1516"/>
  <c r="A75" i="1516" s="1"/>
  <c r="A76" i="1516" s="1"/>
  <c r="A77" i="1516" s="1"/>
  <c r="A78" i="1516" s="1"/>
  <c r="A79" i="1516" s="1"/>
  <c r="A80" i="1516" s="1"/>
  <c r="A81" i="1516" s="1"/>
  <c r="AF60" i="1516"/>
  <c r="AF59" i="1516"/>
  <c r="AF62" i="1516" s="1"/>
  <c r="AA21" i="1516"/>
  <c r="Z21" i="1516"/>
  <c r="Y21" i="1516"/>
  <c r="X21" i="1516"/>
  <c r="W21" i="1516"/>
  <c r="V21" i="1516"/>
  <c r="U21" i="1516"/>
  <c r="T21" i="1516"/>
  <c r="S21" i="1516"/>
  <c r="R21" i="1516"/>
  <c r="N21" i="1516"/>
  <c r="J21" i="1516"/>
  <c r="I21" i="1516"/>
  <c r="AF20" i="1516"/>
  <c r="Q20" i="1516"/>
  <c r="M20" i="1516"/>
  <c r="O20" i="1516"/>
  <c r="AF19" i="1516"/>
  <c r="Q19" i="1516"/>
  <c r="AF18" i="1516"/>
  <c r="Q18" i="1516"/>
  <c r="P18" i="1516"/>
  <c r="AC18" i="1516" s="1"/>
  <c r="O18" i="1516"/>
  <c r="AF17" i="1516"/>
  <c r="Q17" i="1516"/>
  <c r="AF16" i="1516"/>
  <c r="AB16" i="1516"/>
  <c r="Q16" i="1516"/>
  <c r="P16" i="1516"/>
  <c r="AC16" i="1516" s="1"/>
  <c r="O16" i="1516"/>
  <c r="M16" i="1516"/>
  <c r="K16" i="1516"/>
  <c r="AF15" i="1516"/>
  <c r="Q15" i="1516"/>
  <c r="AF14" i="1516"/>
  <c r="AB14" i="1516"/>
  <c r="Q14" i="1516"/>
  <c r="P14" i="1516"/>
  <c r="AC14" i="1516" s="1"/>
  <c r="O14" i="1516"/>
  <c r="M14" i="1516"/>
  <c r="K14" i="1516"/>
  <c r="AF13" i="1516"/>
  <c r="AB13" i="1516"/>
  <c r="Q13" i="1516"/>
  <c r="P13" i="1516" s="1"/>
  <c r="AC13" i="1516" s="1"/>
  <c r="O13" i="1516"/>
  <c r="M13" i="1516"/>
  <c r="AF12" i="1516"/>
  <c r="AB12" i="1516"/>
  <c r="Q12" i="1516"/>
  <c r="P12" i="1516" s="1"/>
  <c r="AC12" i="1516" s="1"/>
  <c r="O12" i="1516"/>
  <c r="M12" i="1516"/>
  <c r="AF11" i="1516"/>
  <c r="AB11" i="1516"/>
  <c r="Q11" i="1516"/>
  <c r="M11" i="1516"/>
  <c r="AF10" i="1516"/>
  <c r="Q10" i="1516"/>
  <c r="AF9" i="1516"/>
  <c r="AB9" i="1516"/>
  <c r="Q9" i="1516"/>
  <c r="P9" i="1516"/>
  <c r="AC9" i="1516" s="1"/>
  <c r="O9" i="1516"/>
  <c r="M9" i="1516"/>
  <c r="K9" i="1516"/>
  <c r="AF8" i="1516"/>
  <c r="AB8" i="1516"/>
  <c r="Q8" i="1516"/>
  <c r="P8" i="1516" s="1"/>
  <c r="AC8" i="1516" s="1"/>
  <c r="O8" i="1516"/>
  <c r="M8" i="1516"/>
  <c r="K8" i="1516"/>
  <c r="AF7" i="1516"/>
  <c r="AC7" i="1516"/>
  <c r="AB7" i="1516"/>
  <c r="Q7" i="1516"/>
  <c r="P7" i="1516"/>
  <c r="O7" i="1516"/>
  <c r="M7" i="1516"/>
  <c r="K7" i="1516"/>
  <c r="AF6" i="1516"/>
  <c r="AB6" i="1516"/>
  <c r="Q6" i="1516"/>
  <c r="P6" i="1516"/>
  <c r="O6" i="1516"/>
  <c r="M6" i="1516"/>
  <c r="K6" i="1516"/>
  <c r="AD21" i="1518" l="1"/>
  <c r="AE18" i="1518" s="1"/>
  <c r="P21" i="1517"/>
  <c r="M21" i="1517"/>
  <c r="AD20" i="1517"/>
  <c r="AD21" i="1517" s="1"/>
  <c r="AB19" i="1516"/>
  <c r="AB17" i="1516"/>
  <c r="M17" i="1516"/>
  <c r="O17" i="1516"/>
  <c r="P17" i="1516"/>
  <c r="AC17" i="1516" s="1"/>
  <c r="P15" i="1516"/>
  <c r="AC15" i="1516" s="1"/>
  <c r="L21" i="1516"/>
  <c r="O21" i="1516" s="1"/>
  <c r="AD16" i="1516"/>
  <c r="O10" i="1516"/>
  <c r="AD7" i="1516"/>
  <c r="M10" i="1516"/>
  <c r="P10" i="1516"/>
  <c r="AC10" i="1516" s="1"/>
  <c r="K10" i="1516"/>
  <c r="AD12" i="1516"/>
  <c r="AD10" i="1516"/>
  <c r="AD9" i="1516"/>
  <c r="Q21" i="1516"/>
  <c r="AD8" i="1516"/>
  <c r="AD14" i="1516"/>
  <c r="AD13" i="1516"/>
  <c r="O11" i="1516"/>
  <c r="M15" i="1516"/>
  <c r="AB15" i="1516"/>
  <c r="M18" i="1516"/>
  <c r="AB18" i="1516"/>
  <c r="AD18" i="1516" s="1"/>
  <c r="O19" i="1516"/>
  <c r="P20" i="1516"/>
  <c r="AC20" i="1516" s="1"/>
  <c r="AC6" i="1516"/>
  <c r="K21" i="1516"/>
  <c r="P11" i="1516"/>
  <c r="AC11" i="1516" s="1"/>
  <c r="O15" i="1516"/>
  <c r="P19" i="1516"/>
  <c r="AC19" i="1516" s="1"/>
  <c r="AB20" i="1516"/>
  <c r="M19" i="1516"/>
  <c r="L21" i="1515"/>
  <c r="L20" i="1515"/>
  <c r="L19" i="1515"/>
  <c r="L18" i="1515"/>
  <c r="K18" i="1515"/>
  <c r="L16" i="1515"/>
  <c r="K16" i="1515"/>
  <c r="K15" i="1515"/>
  <c r="K13" i="1515"/>
  <c r="AF13" i="1515"/>
  <c r="Q13" i="1515"/>
  <c r="O13" i="1515"/>
  <c r="M13" i="1515"/>
  <c r="AB13" i="1515"/>
  <c r="L14" i="1515"/>
  <c r="L12" i="1515"/>
  <c r="K12" i="1515"/>
  <c r="L11" i="1515"/>
  <c r="K9" i="1515"/>
  <c r="AF14" i="1515"/>
  <c r="AB14" i="1515"/>
  <c r="Q14" i="1515"/>
  <c r="P14" i="1515" s="1"/>
  <c r="AC14" i="1515" s="1"/>
  <c r="O14" i="1515"/>
  <c r="M14" i="1515"/>
  <c r="K14" i="1515"/>
  <c r="K21" i="1515"/>
  <c r="K20" i="1515"/>
  <c r="K19" i="1515"/>
  <c r="K11" i="1515"/>
  <c r="K8" i="1515"/>
  <c r="A75" i="1515"/>
  <c r="A76" i="1515" s="1"/>
  <c r="A77" i="1515" s="1"/>
  <c r="A78" i="1515" s="1"/>
  <c r="A79" i="1515" s="1"/>
  <c r="A80" i="1515" s="1"/>
  <c r="A81" i="1515" s="1"/>
  <c r="A82" i="1515" s="1"/>
  <c r="AF63" i="1515"/>
  <c r="AF61" i="1515"/>
  <c r="AF60" i="1515"/>
  <c r="AA22" i="1515"/>
  <c r="Z22" i="1515"/>
  <c r="Y22" i="1515"/>
  <c r="X22" i="1515"/>
  <c r="W22" i="1515"/>
  <c r="V22" i="1515"/>
  <c r="U22" i="1515"/>
  <c r="T22" i="1515"/>
  <c r="S22" i="1515"/>
  <c r="R22" i="1515"/>
  <c r="N22" i="1515"/>
  <c r="J22" i="1515"/>
  <c r="I22" i="1515"/>
  <c r="AF21" i="1515"/>
  <c r="AB21" i="1515"/>
  <c r="Q21" i="1515"/>
  <c r="P21" i="1515"/>
  <c r="AC21" i="1515" s="1"/>
  <c r="O21" i="1515"/>
  <c r="M21" i="1515"/>
  <c r="AF20" i="1515"/>
  <c r="AB20" i="1515"/>
  <c r="Q20" i="1515"/>
  <c r="M20" i="1515"/>
  <c r="P20" i="1515"/>
  <c r="AC20" i="1515" s="1"/>
  <c r="AF19" i="1515"/>
  <c r="Q19" i="1515"/>
  <c r="P19" i="1515" s="1"/>
  <c r="AC19" i="1515" s="1"/>
  <c r="AF18" i="1515"/>
  <c r="Q18" i="1515"/>
  <c r="P18" i="1515"/>
  <c r="AC18" i="1515" s="1"/>
  <c r="O18" i="1515"/>
  <c r="AB18" i="1515"/>
  <c r="AF17" i="1515"/>
  <c r="AC17" i="1515"/>
  <c r="AB17" i="1515"/>
  <c r="Q17" i="1515"/>
  <c r="P17" i="1515"/>
  <c r="O17" i="1515"/>
  <c r="M17" i="1515"/>
  <c r="K17" i="1515"/>
  <c r="AF16" i="1515"/>
  <c r="AB16" i="1515"/>
  <c r="Q16" i="1515"/>
  <c r="P16" i="1515"/>
  <c r="AC16" i="1515" s="1"/>
  <c r="O16" i="1515"/>
  <c r="M16" i="1515"/>
  <c r="AF15" i="1515"/>
  <c r="AB15" i="1515"/>
  <c r="Q15" i="1515"/>
  <c r="P15" i="1515"/>
  <c r="AC15" i="1515" s="1"/>
  <c r="O15" i="1515"/>
  <c r="M15" i="1515"/>
  <c r="AF12" i="1515"/>
  <c r="Q12" i="1515"/>
  <c r="P12" i="1515" s="1"/>
  <c r="AC12" i="1515" s="1"/>
  <c r="O12" i="1515"/>
  <c r="AB12" i="1515"/>
  <c r="AF11" i="1515"/>
  <c r="AB11" i="1515"/>
  <c r="Q11" i="1515"/>
  <c r="P11" i="1515"/>
  <c r="AC11" i="1515" s="1"/>
  <c r="O11" i="1515"/>
  <c r="M11" i="1515"/>
  <c r="AF10" i="1515"/>
  <c r="AB10" i="1515"/>
  <c r="Q10" i="1515"/>
  <c r="P10" i="1515"/>
  <c r="AC10" i="1515" s="1"/>
  <c r="O10" i="1515"/>
  <c r="M10" i="1515"/>
  <c r="K10" i="1515"/>
  <c r="AF9" i="1515"/>
  <c r="Q9" i="1515"/>
  <c r="P9" i="1515"/>
  <c r="AC9" i="1515" s="1"/>
  <c r="L22" i="1515"/>
  <c r="AF8" i="1515"/>
  <c r="AB8" i="1515"/>
  <c r="Q8" i="1515"/>
  <c r="P8" i="1515"/>
  <c r="AC8" i="1515" s="1"/>
  <c r="O8" i="1515"/>
  <c r="M8" i="1515"/>
  <c r="AF7" i="1515"/>
  <c r="AB7" i="1515"/>
  <c r="Q7" i="1515"/>
  <c r="P7" i="1515"/>
  <c r="AC7" i="1515" s="1"/>
  <c r="AD7" i="1515" s="1"/>
  <c r="O7" i="1515"/>
  <c r="M7" i="1515"/>
  <c r="K7" i="1515"/>
  <c r="AF6" i="1515"/>
  <c r="AB6" i="1515"/>
  <c r="Q6" i="1515"/>
  <c r="P6" i="1515"/>
  <c r="O6" i="1515"/>
  <c r="M6" i="1515"/>
  <c r="K6" i="1515"/>
  <c r="AE8" i="1518" l="1"/>
  <c r="AE6" i="1518"/>
  <c r="AE16" i="1518"/>
  <c r="AE10" i="1518"/>
  <c r="AE20" i="1518"/>
  <c r="AE17" i="1518"/>
  <c r="AE13" i="1518"/>
  <c r="AE12" i="1518"/>
  <c r="AE11" i="1518"/>
  <c r="AE7" i="1518"/>
  <c r="AE15" i="1518"/>
  <c r="AE14" i="1518"/>
  <c r="AE19" i="1518"/>
  <c r="AE9" i="1518"/>
  <c r="AE18" i="1517"/>
  <c r="AE15" i="1517"/>
  <c r="AE10" i="1517"/>
  <c r="AE7" i="1517"/>
  <c r="AE11" i="1517"/>
  <c r="AE6" i="1517"/>
  <c r="AE17" i="1517"/>
  <c r="AE14" i="1517"/>
  <c r="AE12" i="1517"/>
  <c r="AE9" i="1517"/>
  <c r="AE19" i="1517"/>
  <c r="AE13" i="1517"/>
  <c r="AE8" i="1517"/>
  <c r="AE20" i="1517"/>
  <c r="AE16" i="1517"/>
  <c r="AD17" i="1516"/>
  <c r="AD11" i="1516"/>
  <c r="AD15" i="1516"/>
  <c r="M21" i="1516"/>
  <c r="AB21" i="1516"/>
  <c r="AD19" i="1516"/>
  <c r="P21" i="1516"/>
  <c r="AC21" i="1516"/>
  <c r="AD6" i="1516"/>
  <c r="AD20" i="1516"/>
  <c r="AD18" i="1515"/>
  <c r="P13" i="1515"/>
  <c r="AC13" i="1515" s="1"/>
  <c r="AD13" i="1515" s="1"/>
  <c r="AD10" i="1515"/>
  <c r="AD8" i="1515"/>
  <c r="O22" i="1515"/>
  <c r="AD14" i="1515"/>
  <c r="Q22" i="1515"/>
  <c r="AD17" i="1515"/>
  <c r="AD21" i="1515"/>
  <c r="AD15" i="1515"/>
  <c r="AD11" i="1515"/>
  <c r="AD12" i="1515"/>
  <c r="AD16" i="1515"/>
  <c r="M19" i="1515"/>
  <c r="AB19" i="1515"/>
  <c r="O20" i="1515"/>
  <c r="AD20" i="1515" s="1"/>
  <c r="M9" i="1515"/>
  <c r="AB9" i="1515"/>
  <c r="M12" i="1515"/>
  <c r="M18" i="1515"/>
  <c r="O19" i="1515"/>
  <c r="AC6" i="1515"/>
  <c r="O9" i="1515"/>
  <c r="K22" i="1515"/>
  <c r="X17" i="16"/>
  <c r="X16" i="16"/>
  <c r="X15" i="16"/>
  <c r="X14" i="16"/>
  <c r="X13" i="16"/>
  <c r="X12" i="16"/>
  <c r="X11" i="16"/>
  <c r="X10" i="16"/>
  <c r="X9" i="16"/>
  <c r="X8" i="16"/>
  <c r="X6" i="16"/>
  <c r="X5" i="16"/>
  <c r="X4" i="16"/>
  <c r="X3" i="16"/>
  <c r="L20" i="1514"/>
  <c r="L19" i="1514"/>
  <c r="K19" i="1514" s="1"/>
  <c r="L18" i="1514"/>
  <c r="L17" i="1514"/>
  <c r="L13" i="1514"/>
  <c r="K13" i="1514"/>
  <c r="L12" i="1514"/>
  <c r="K12" i="1514" s="1"/>
  <c r="L11" i="1514"/>
  <c r="K11" i="1514"/>
  <c r="L9" i="1514"/>
  <c r="AB9" i="1514" s="1"/>
  <c r="L8" i="1514"/>
  <c r="K20" i="1514"/>
  <c r="K17" i="1514"/>
  <c r="K14" i="1514"/>
  <c r="K10" i="1514"/>
  <c r="K9" i="1514"/>
  <c r="K8" i="1514"/>
  <c r="A74" i="1514"/>
  <c r="A75" i="1514" s="1"/>
  <c r="A76" i="1514" s="1"/>
  <c r="A77" i="1514" s="1"/>
  <c r="A78" i="1514" s="1"/>
  <c r="A79" i="1514" s="1"/>
  <c r="A80" i="1514" s="1"/>
  <c r="A81" i="1514" s="1"/>
  <c r="AF62" i="1514"/>
  <c r="AF60" i="1514"/>
  <c r="AF59" i="1514"/>
  <c r="AA21" i="1514"/>
  <c r="Z21" i="1514"/>
  <c r="Y21" i="1514"/>
  <c r="X21" i="1514"/>
  <c r="W21" i="1514"/>
  <c r="V21" i="1514"/>
  <c r="U21" i="1514"/>
  <c r="T21" i="1514"/>
  <c r="S21" i="1514"/>
  <c r="R21" i="1514"/>
  <c r="N21" i="1514"/>
  <c r="J21" i="1514"/>
  <c r="I21" i="1514"/>
  <c r="AF20" i="1514"/>
  <c r="AB20" i="1514"/>
  <c r="Q20" i="1514"/>
  <c r="P20" i="1514"/>
  <c r="AC20" i="1514" s="1"/>
  <c r="M20" i="1514"/>
  <c r="O20" i="1514"/>
  <c r="AF19" i="1514"/>
  <c r="Q19" i="1514"/>
  <c r="AB19" i="1514"/>
  <c r="AF18" i="1514"/>
  <c r="AB18" i="1514"/>
  <c r="Q18" i="1514"/>
  <c r="P18" i="1514"/>
  <c r="AC18" i="1514" s="1"/>
  <c r="O18" i="1514"/>
  <c r="M18" i="1514"/>
  <c r="K18" i="1514"/>
  <c r="AF17" i="1514"/>
  <c r="AB17" i="1514"/>
  <c r="Q17" i="1514"/>
  <c r="P17" i="1514" s="1"/>
  <c r="AC17" i="1514" s="1"/>
  <c r="M17" i="1514"/>
  <c r="O17" i="1514"/>
  <c r="AF16" i="1514"/>
  <c r="AC16" i="1514"/>
  <c r="AB16" i="1514"/>
  <c r="Q16" i="1514"/>
  <c r="P16" i="1514"/>
  <c r="O16" i="1514"/>
  <c r="M16" i="1514"/>
  <c r="K16" i="1514"/>
  <c r="AF15" i="1514"/>
  <c r="AC15" i="1514"/>
  <c r="AB15" i="1514"/>
  <c r="Q15" i="1514"/>
  <c r="P15" i="1514"/>
  <c r="O15" i="1514"/>
  <c r="M15" i="1514"/>
  <c r="K15" i="1514"/>
  <c r="AF14" i="1514"/>
  <c r="AB14" i="1514"/>
  <c r="Q14" i="1514"/>
  <c r="P14" i="1514" s="1"/>
  <c r="AC14" i="1514" s="1"/>
  <c r="O14" i="1514"/>
  <c r="M14" i="1514"/>
  <c r="AF13" i="1514"/>
  <c r="Q13" i="1514"/>
  <c r="AF12" i="1514"/>
  <c r="AB12" i="1514"/>
  <c r="Q12" i="1514"/>
  <c r="P12" i="1514"/>
  <c r="AC12" i="1514" s="1"/>
  <c r="M12" i="1514"/>
  <c r="O12" i="1514"/>
  <c r="AF11" i="1514"/>
  <c r="AB11" i="1514"/>
  <c r="Q11" i="1514"/>
  <c r="P11" i="1514"/>
  <c r="AC11" i="1514" s="1"/>
  <c r="O11" i="1514"/>
  <c r="M11" i="1514"/>
  <c r="AF10" i="1514"/>
  <c r="AB10" i="1514"/>
  <c r="Q10" i="1514"/>
  <c r="P10" i="1514" s="1"/>
  <c r="AC10" i="1514" s="1"/>
  <c r="O10" i="1514"/>
  <c r="M10" i="1514"/>
  <c r="AF9" i="1514"/>
  <c r="Q9" i="1514"/>
  <c r="O9" i="1514"/>
  <c r="AF8" i="1514"/>
  <c r="AB8" i="1514"/>
  <c r="Q8" i="1514"/>
  <c r="P8" i="1514"/>
  <c r="AC8" i="1514" s="1"/>
  <c r="O8" i="1514"/>
  <c r="M8" i="1514"/>
  <c r="AF7" i="1514"/>
  <c r="AC7" i="1514"/>
  <c r="AD7" i="1514" s="1"/>
  <c r="AB7" i="1514"/>
  <c r="Q7" i="1514"/>
  <c r="P7" i="1514"/>
  <c r="O7" i="1514"/>
  <c r="M7" i="1514"/>
  <c r="K7" i="1514"/>
  <c r="AF6" i="1514"/>
  <c r="AC6" i="1514"/>
  <c r="AB6" i="1514"/>
  <c r="Q6" i="1514"/>
  <c r="P6" i="1514"/>
  <c r="O6" i="1514"/>
  <c r="M6" i="1514"/>
  <c r="K6" i="1514"/>
  <c r="AD21" i="1516" l="1"/>
  <c r="AE15" i="1516" s="1"/>
  <c r="AD19" i="1515"/>
  <c r="P22" i="1515"/>
  <c r="M22" i="1515"/>
  <c r="AD9" i="1515"/>
  <c r="AC22" i="1515"/>
  <c r="AD6" i="1515"/>
  <c r="AB22" i="1515"/>
  <c r="L21" i="1514"/>
  <c r="O21" i="1514" s="1"/>
  <c r="O19" i="1514"/>
  <c r="AD17" i="1514"/>
  <c r="P13" i="1514"/>
  <c r="AC13" i="1514" s="1"/>
  <c r="Q21" i="1514"/>
  <c r="AD15" i="1514"/>
  <c r="AD16" i="1514"/>
  <c r="AD10" i="1514"/>
  <c r="X7" i="16" s="1"/>
  <c r="AD12" i="1514"/>
  <c r="AD11" i="1514"/>
  <c r="AD8" i="1514"/>
  <c r="AD14" i="1514"/>
  <c r="AD18" i="1514"/>
  <c r="AB21" i="1514"/>
  <c r="AD20" i="1514"/>
  <c r="AD6" i="1514"/>
  <c r="K21" i="1514"/>
  <c r="P9" i="1514"/>
  <c r="AC9" i="1514" s="1"/>
  <c r="AD9" i="1514" s="1"/>
  <c r="M13" i="1514"/>
  <c r="AB13" i="1514"/>
  <c r="P19" i="1514"/>
  <c r="AC19" i="1514" s="1"/>
  <c r="AD19" i="1514" s="1"/>
  <c r="O13" i="1514"/>
  <c r="M9" i="1514"/>
  <c r="M19" i="1514"/>
  <c r="P63" i="1513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L20" i="1513"/>
  <c r="L19" i="1513"/>
  <c r="AB19" i="1513" s="1"/>
  <c r="L17" i="1513"/>
  <c r="AB17" i="1513"/>
  <c r="K17" i="1513"/>
  <c r="L13" i="1513"/>
  <c r="AB13" i="1513" s="1"/>
  <c r="L12" i="1513"/>
  <c r="K12" i="1513" s="1"/>
  <c r="L9" i="1513"/>
  <c r="M9" i="1513" s="1"/>
  <c r="K9" i="1513"/>
  <c r="L8" i="1513"/>
  <c r="K8" i="1513" s="1"/>
  <c r="K20" i="1513"/>
  <c r="K19" i="1513"/>
  <c r="K18" i="1513"/>
  <c r="K15" i="1513"/>
  <c r="K14" i="1513"/>
  <c r="K10" i="1513"/>
  <c r="A75" i="1513"/>
  <c r="A76" i="1513" s="1"/>
  <c r="A77" i="1513" s="1"/>
  <c r="A78" i="1513" s="1"/>
  <c r="A79" i="1513" s="1"/>
  <c r="A80" i="1513" s="1"/>
  <c r="A81" i="1513" s="1"/>
  <c r="A74" i="1513"/>
  <c r="AF60" i="1513"/>
  <c r="AF59" i="1513"/>
  <c r="AF62" i="1513" s="1"/>
  <c r="AA21" i="1513"/>
  <c r="Z21" i="1513"/>
  <c r="Y21" i="1513"/>
  <c r="X21" i="1513"/>
  <c r="W21" i="1513"/>
  <c r="V21" i="1513"/>
  <c r="U21" i="1513"/>
  <c r="T21" i="1513"/>
  <c r="S21" i="1513"/>
  <c r="R21" i="1513"/>
  <c r="N21" i="1513"/>
  <c r="I21" i="1513"/>
  <c r="AF20" i="1513"/>
  <c r="Q20" i="1513"/>
  <c r="O20" i="1513"/>
  <c r="AF19" i="1513"/>
  <c r="Q19" i="1513"/>
  <c r="P19" i="1513"/>
  <c r="AC19" i="1513" s="1"/>
  <c r="M19" i="1513"/>
  <c r="AF18" i="1513"/>
  <c r="Q18" i="1513"/>
  <c r="O18" i="1513"/>
  <c r="P18" i="1513"/>
  <c r="AC18" i="1513" s="1"/>
  <c r="AF17" i="1513"/>
  <c r="Q17" i="1513"/>
  <c r="P17" i="1513" s="1"/>
  <c r="AC17" i="1513" s="1"/>
  <c r="O17" i="1513"/>
  <c r="AF16" i="1513"/>
  <c r="AB16" i="1513"/>
  <c r="Q16" i="1513"/>
  <c r="P16" i="1513"/>
  <c r="AC16" i="1513" s="1"/>
  <c r="O16" i="1513"/>
  <c r="M16" i="1513"/>
  <c r="K16" i="1513"/>
  <c r="AF15" i="1513"/>
  <c r="AB15" i="1513"/>
  <c r="Q15" i="1513"/>
  <c r="P15" i="1513"/>
  <c r="AC15" i="1513" s="1"/>
  <c r="O15" i="1513"/>
  <c r="M15" i="1513"/>
  <c r="AF14" i="1513"/>
  <c r="Q14" i="1513"/>
  <c r="O14" i="1513"/>
  <c r="AF13" i="1513"/>
  <c r="Q13" i="1513"/>
  <c r="M13" i="1513"/>
  <c r="J21" i="1513"/>
  <c r="AF12" i="1513"/>
  <c r="AB12" i="1513"/>
  <c r="Q12" i="1513"/>
  <c r="O12" i="1513"/>
  <c r="AF11" i="1513"/>
  <c r="AC11" i="1513"/>
  <c r="AD11" i="1513" s="1"/>
  <c r="AB11" i="1513"/>
  <c r="Q11" i="1513"/>
  <c r="P11" i="1513"/>
  <c r="O11" i="1513"/>
  <c r="M11" i="1513"/>
  <c r="K11" i="1513"/>
  <c r="AF10" i="1513"/>
  <c r="Q10" i="1513"/>
  <c r="AB10" i="1513"/>
  <c r="AF9" i="1513"/>
  <c r="AB9" i="1513"/>
  <c r="Q9" i="1513"/>
  <c r="P9" i="1513" s="1"/>
  <c r="AC9" i="1513" s="1"/>
  <c r="AD9" i="1513" s="1"/>
  <c r="O9" i="1513"/>
  <c r="AF8" i="1513"/>
  <c r="Q8" i="1513"/>
  <c r="AF7" i="1513"/>
  <c r="AB7" i="1513"/>
  <c r="Q7" i="1513"/>
  <c r="P7" i="1513"/>
  <c r="AC7" i="1513" s="1"/>
  <c r="AD7" i="1513" s="1"/>
  <c r="O7" i="1513"/>
  <c r="M7" i="1513"/>
  <c r="K7" i="1513"/>
  <c r="AF6" i="1513"/>
  <c r="AB6" i="1513"/>
  <c r="Q6" i="1513"/>
  <c r="P6" i="1513"/>
  <c r="O6" i="1513"/>
  <c r="M6" i="1513"/>
  <c r="K6" i="1513"/>
  <c r="AE12" i="1516" l="1"/>
  <c r="AE8" i="1516"/>
  <c r="AE16" i="1516"/>
  <c r="AE10" i="1516"/>
  <c r="AE17" i="1516"/>
  <c r="AE14" i="1516"/>
  <c r="AE6" i="1516"/>
  <c r="AE18" i="1516"/>
  <c r="AE9" i="1516"/>
  <c r="AE11" i="1516"/>
  <c r="AE13" i="1516"/>
  <c r="AE7" i="1516"/>
  <c r="AE20" i="1516"/>
  <c r="AE19" i="1516"/>
  <c r="AD22" i="1515"/>
  <c r="AD13" i="1514"/>
  <c r="AD21" i="1514" s="1"/>
  <c r="X18" i="16" s="1"/>
  <c r="M21" i="1514"/>
  <c r="AC21" i="1514"/>
  <c r="P21" i="1514"/>
  <c r="O19" i="1513"/>
  <c r="AD17" i="1513"/>
  <c r="M17" i="1513"/>
  <c r="P13" i="1513"/>
  <c r="AC13" i="1513" s="1"/>
  <c r="AD13" i="1513" s="1"/>
  <c r="K13" i="1513"/>
  <c r="O13" i="1513"/>
  <c r="M12" i="1513"/>
  <c r="P12" i="1513"/>
  <c r="AC12" i="1513" s="1"/>
  <c r="AD12" i="1513" s="1"/>
  <c r="L21" i="1513"/>
  <c r="O21" i="1513" s="1"/>
  <c r="Q21" i="1513"/>
  <c r="O8" i="1513"/>
  <c r="AD16" i="1513"/>
  <c r="AD15" i="1513"/>
  <c r="AD19" i="1513"/>
  <c r="O10" i="1513"/>
  <c r="AC6" i="1513"/>
  <c r="M8" i="1513"/>
  <c r="AB8" i="1513"/>
  <c r="P10" i="1513"/>
  <c r="AC10" i="1513" s="1"/>
  <c r="AD10" i="1513" s="1"/>
  <c r="P14" i="1513"/>
  <c r="AC14" i="1513" s="1"/>
  <c r="M18" i="1513"/>
  <c r="AB18" i="1513"/>
  <c r="AD18" i="1513" s="1"/>
  <c r="P20" i="1513"/>
  <c r="AC20" i="1513" s="1"/>
  <c r="P8" i="1513"/>
  <c r="AC8" i="1513" s="1"/>
  <c r="M10" i="1513"/>
  <c r="M14" i="1513"/>
  <c r="AB14" i="1513"/>
  <c r="M20" i="1513"/>
  <c r="AB20" i="1513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L20" i="1512"/>
  <c r="AB20" i="1512" s="1"/>
  <c r="L19" i="1512"/>
  <c r="K19" i="1512"/>
  <c r="L18" i="1512"/>
  <c r="P18" i="1512" s="1"/>
  <c r="AC18" i="1512" s="1"/>
  <c r="K18" i="1512"/>
  <c r="L15" i="1512"/>
  <c r="K15" i="1512" s="1"/>
  <c r="L14" i="1512"/>
  <c r="K14" i="1512"/>
  <c r="J13" i="1512"/>
  <c r="L13" i="1512"/>
  <c r="K13" i="1512"/>
  <c r="L12" i="1512"/>
  <c r="AB12" i="1512" s="1"/>
  <c r="K12" i="1512"/>
  <c r="L10" i="1512"/>
  <c r="K10" i="1512" s="1"/>
  <c r="L9" i="1512"/>
  <c r="K9" i="1512"/>
  <c r="L8" i="1512"/>
  <c r="K8" i="1512" s="1"/>
  <c r="K20" i="1512"/>
  <c r="A74" i="1512"/>
  <c r="A75" i="1512" s="1"/>
  <c r="A76" i="1512" s="1"/>
  <c r="A77" i="1512" s="1"/>
  <c r="A78" i="1512" s="1"/>
  <c r="A79" i="1512" s="1"/>
  <c r="A80" i="1512" s="1"/>
  <c r="A81" i="1512" s="1"/>
  <c r="AF60" i="1512"/>
  <c r="AF62" i="1512" s="1"/>
  <c r="AF59" i="1512"/>
  <c r="AA21" i="1512"/>
  <c r="Z21" i="1512"/>
  <c r="Y21" i="1512"/>
  <c r="X21" i="1512"/>
  <c r="W21" i="1512"/>
  <c r="V21" i="1512"/>
  <c r="U21" i="1512"/>
  <c r="T21" i="1512"/>
  <c r="S21" i="1512"/>
  <c r="R21" i="1512"/>
  <c r="N21" i="1512"/>
  <c r="J21" i="1512"/>
  <c r="I21" i="1512"/>
  <c r="AF20" i="1512"/>
  <c r="Q20" i="1512"/>
  <c r="P20" i="1512"/>
  <c r="AC20" i="1512" s="1"/>
  <c r="O20" i="1512"/>
  <c r="AF19" i="1512"/>
  <c r="Q19" i="1512"/>
  <c r="AB19" i="1512"/>
  <c r="AF18" i="1512"/>
  <c r="Q18" i="1512"/>
  <c r="O18" i="1512"/>
  <c r="AF17" i="1512"/>
  <c r="AC17" i="1512"/>
  <c r="AB17" i="1512"/>
  <c r="Q17" i="1512"/>
  <c r="P17" i="1512"/>
  <c r="O17" i="1512"/>
  <c r="M17" i="1512"/>
  <c r="K17" i="1512"/>
  <c r="AF16" i="1512"/>
  <c r="AB16" i="1512"/>
  <c r="Q16" i="1512"/>
  <c r="P16" i="1512"/>
  <c r="AC16" i="1512" s="1"/>
  <c r="AD16" i="1512" s="1"/>
  <c r="O16" i="1512"/>
  <c r="M16" i="1512"/>
  <c r="K16" i="1512"/>
  <c r="AF15" i="1512"/>
  <c r="AB15" i="1512"/>
  <c r="Q15" i="1512"/>
  <c r="P15" i="1512" s="1"/>
  <c r="AC15" i="1512" s="1"/>
  <c r="AD15" i="1512" s="1"/>
  <c r="O15" i="1512"/>
  <c r="M15" i="1512"/>
  <c r="AF14" i="1512"/>
  <c r="AB14" i="1512"/>
  <c r="Q14" i="1512"/>
  <c r="P14" i="1512" s="1"/>
  <c r="AC14" i="1512" s="1"/>
  <c r="O14" i="1512"/>
  <c r="M14" i="1512"/>
  <c r="AF13" i="1512"/>
  <c r="Q13" i="1512"/>
  <c r="P13" i="1512"/>
  <c r="AC13" i="1512" s="1"/>
  <c r="O13" i="1512"/>
  <c r="AB13" i="1512"/>
  <c r="AF12" i="1512"/>
  <c r="Q12" i="1512"/>
  <c r="O12" i="1512"/>
  <c r="M12" i="1512"/>
  <c r="AF11" i="1512"/>
  <c r="AB11" i="1512"/>
  <c r="Q11" i="1512"/>
  <c r="P11" i="1512"/>
  <c r="AC11" i="1512" s="1"/>
  <c r="O11" i="1512"/>
  <c r="M11" i="1512"/>
  <c r="K11" i="1512"/>
  <c r="AF10" i="1512"/>
  <c r="AB10" i="1512"/>
  <c r="Q10" i="1512"/>
  <c r="O10" i="1512"/>
  <c r="M10" i="1512"/>
  <c r="AF9" i="1512"/>
  <c r="AB9" i="1512"/>
  <c r="Q9" i="1512"/>
  <c r="P9" i="1512"/>
  <c r="AC9" i="1512" s="1"/>
  <c r="O9" i="1512"/>
  <c r="M9" i="1512"/>
  <c r="AF8" i="1512"/>
  <c r="AB8" i="1512"/>
  <c r="Q8" i="1512"/>
  <c r="P8" i="1512"/>
  <c r="AC8" i="1512" s="1"/>
  <c r="AD8" i="1512" s="1"/>
  <c r="O8" i="1512"/>
  <c r="M8" i="1512"/>
  <c r="AF7" i="1512"/>
  <c r="AB7" i="1512"/>
  <c r="Q7" i="1512"/>
  <c r="P7" i="1512"/>
  <c r="AC7" i="1512" s="1"/>
  <c r="AD7" i="1512" s="1"/>
  <c r="O7" i="1512"/>
  <c r="M7" i="1512"/>
  <c r="K7" i="1512"/>
  <c r="AF6" i="1512"/>
  <c r="AC6" i="1512"/>
  <c r="AB6" i="1512"/>
  <c r="Q6" i="1512"/>
  <c r="P6" i="1512"/>
  <c r="O6" i="1512"/>
  <c r="M6" i="1512"/>
  <c r="K6" i="1512"/>
  <c r="AE14" i="1515" l="1"/>
  <c r="AE13" i="1515"/>
  <c r="AE18" i="1515"/>
  <c r="AE19" i="1515"/>
  <c r="AE9" i="1515"/>
  <c r="AE15" i="1515"/>
  <c r="AE10" i="1515"/>
  <c r="AE12" i="1515"/>
  <c r="AE17" i="1515"/>
  <c r="AE16" i="1515"/>
  <c r="AE11" i="1515"/>
  <c r="AE7" i="1515"/>
  <c r="AE6" i="1515"/>
  <c r="AE8" i="1515"/>
  <c r="AE21" i="1515"/>
  <c r="AE20" i="1515"/>
  <c r="AE13" i="1514"/>
  <c r="AE18" i="1514"/>
  <c r="AE8" i="1514"/>
  <c r="AE14" i="1514"/>
  <c r="AE11" i="1514"/>
  <c r="AE10" i="1514"/>
  <c r="AE7" i="1514"/>
  <c r="AE19" i="1514"/>
  <c r="AE16" i="1514"/>
  <c r="AE9" i="1514"/>
  <c r="AE6" i="1514"/>
  <c r="AE20" i="1514"/>
  <c r="AE17" i="1514"/>
  <c r="AE12" i="1514"/>
  <c r="AE15" i="1514"/>
  <c r="AD14" i="1513"/>
  <c r="AD20" i="1513"/>
  <c r="M21" i="1513"/>
  <c r="AB21" i="1513"/>
  <c r="K21" i="1513"/>
  <c r="P21" i="1513"/>
  <c r="AD8" i="1513"/>
  <c r="AC21" i="1513"/>
  <c r="AD6" i="1513"/>
  <c r="AD20" i="1512"/>
  <c r="M20" i="1512"/>
  <c r="Q21" i="1512"/>
  <c r="AD14" i="1512"/>
  <c r="P12" i="1512"/>
  <c r="P10" i="1512"/>
  <c r="AC10" i="1512" s="1"/>
  <c r="AD10" i="1512" s="1"/>
  <c r="AD9" i="1512"/>
  <c r="AD11" i="1512"/>
  <c r="AD17" i="1512"/>
  <c r="AD13" i="1512"/>
  <c r="AC12" i="1512"/>
  <c r="AD12" i="1512" s="1"/>
  <c r="L21" i="1512"/>
  <c r="O21" i="1512" s="1"/>
  <c r="M18" i="1512"/>
  <c r="AB18" i="1512"/>
  <c r="AD18" i="1512" s="1"/>
  <c r="O19" i="1512"/>
  <c r="AD6" i="1512"/>
  <c r="M13" i="1512"/>
  <c r="K21" i="1512"/>
  <c r="P19" i="1512"/>
  <c r="AC19" i="1512" s="1"/>
  <c r="AD19" i="1512" s="1"/>
  <c r="M19" i="1512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L20" i="1511"/>
  <c r="K20" i="1511" s="1"/>
  <c r="L19" i="1511"/>
  <c r="K19" i="1511" s="1"/>
  <c r="L18" i="1511"/>
  <c r="AB18" i="1511" s="1"/>
  <c r="L13" i="1511"/>
  <c r="L12" i="1511"/>
  <c r="O12" i="1511" s="1"/>
  <c r="K12" i="1511"/>
  <c r="K13" i="1511"/>
  <c r="K10" i="1511"/>
  <c r="K9" i="1511"/>
  <c r="A74" i="1511"/>
  <c r="A75" i="1511" s="1"/>
  <c r="A76" i="1511" s="1"/>
  <c r="A77" i="1511" s="1"/>
  <c r="A78" i="1511" s="1"/>
  <c r="A79" i="1511" s="1"/>
  <c r="A80" i="1511" s="1"/>
  <c r="A81" i="1511" s="1"/>
  <c r="AF60" i="1511"/>
  <c r="AF59" i="1511"/>
  <c r="AA21" i="1511"/>
  <c r="Z21" i="1511"/>
  <c r="Y21" i="1511"/>
  <c r="X21" i="1511"/>
  <c r="W21" i="1511"/>
  <c r="V21" i="1511"/>
  <c r="U21" i="1511"/>
  <c r="T21" i="1511"/>
  <c r="S21" i="1511"/>
  <c r="R21" i="1511"/>
  <c r="N21" i="1511"/>
  <c r="J21" i="1511"/>
  <c r="I21" i="1511"/>
  <c r="AF20" i="1511"/>
  <c r="Q20" i="1511"/>
  <c r="O20" i="1511"/>
  <c r="AF19" i="1511"/>
  <c r="Q19" i="1511"/>
  <c r="AF18" i="1511"/>
  <c r="Q18" i="1511"/>
  <c r="O18" i="1511"/>
  <c r="AF17" i="1511"/>
  <c r="AB17" i="1511"/>
  <c r="Q17" i="1511"/>
  <c r="P17" i="1511"/>
  <c r="AC17" i="1511" s="1"/>
  <c r="O17" i="1511"/>
  <c r="M17" i="1511"/>
  <c r="K17" i="1511"/>
  <c r="AF16" i="1511"/>
  <c r="AB16" i="1511"/>
  <c r="Q16" i="1511"/>
  <c r="P16" i="1511"/>
  <c r="AC16" i="1511" s="1"/>
  <c r="AD16" i="1511" s="1"/>
  <c r="O16" i="1511"/>
  <c r="M16" i="1511"/>
  <c r="K16" i="1511"/>
  <c r="AF15" i="1511"/>
  <c r="AB15" i="1511"/>
  <c r="Q15" i="1511"/>
  <c r="P15" i="1511"/>
  <c r="AC15" i="1511" s="1"/>
  <c r="O15" i="1511"/>
  <c r="M15" i="1511"/>
  <c r="K15" i="1511"/>
  <c r="AF14" i="1511"/>
  <c r="AB14" i="1511"/>
  <c r="Q14" i="1511"/>
  <c r="P14" i="1511"/>
  <c r="AC14" i="1511" s="1"/>
  <c r="O14" i="1511"/>
  <c r="M14" i="1511"/>
  <c r="K14" i="1511"/>
  <c r="AF13" i="1511"/>
  <c r="AB13" i="1511"/>
  <c r="Q13" i="1511"/>
  <c r="P13" i="1511"/>
  <c r="AC13" i="1511" s="1"/>
  <c r="O13" i="1511"/>
  <c r="M13" i="1511"/>
  <c r="AF12" i="1511"/>
  <c r="Q12" i="1511"/>
  <c r="P12" i="1511" s="1"/>
  <c r="AC12" i="1511" s="1"/>
  <c r="AF11" i="1511"/>
  <c r="AB11" i="1511"/>
  <c r="Q11" i="1511"/>
  <c r="P11" i="1511"/>
  <c r="AC11" i="1511" s="1"/>
  <c r="O11" i="1511"/>
  <c r="M11" i="1511"/>
  <c r="K11" i="1511"/>
  <c r="AF10" i="1511"/>
  <c r="Q10" i="1511"/>
  <c r="P10" i="1511"/>
  <c r="AC10" i="1511" s="1"/>
  <c r="AB10" i="1511"/>
  <c r="AF9" i="1511"/>
  <c r="Q9" i="1511"/>
  <c r="O9" i="1511"/>
  <c r="AF8" i="1511"/>
  <c r="AB8" i="1511"/>
  <c r="Q8" i="1511"/>
  <c r="P8" i="1511"/>
  <c r="AC8" i="1511" s="1"/>
  <c r="AD8" i="1511" s="1"/>
  <c r="O8" i="1511"/>
  <c r="M8" i="1511"/>
  <c r="K8" i="1511"/>
  <c r="AF7" i="1511"/>
  <c r="AB7" i="1511"/>
  <c r="Q7" i="1511"/>
  <c r="P7" i="1511"/>
  <c r="AC7" i="1511" s="1"/>
  <c r="O7" i="1511"/>
  <c r="M7" i="1511"/>
  <c r="K7" i="1511"/>
  <c r="AF6" i="1511"/>
  <c r="AB6" i="1511"/>
  <c r="Q6" i="1511"/>
  <c r="P6" i="1511"/>
  <c r="O6" i="1511"/>
  <c r="M6" i="1511"/>
  <c r="K6" i="1511"/>
  <c r="AD21" i="1513" l="1"/>
  <c r="AE18" i="1513" s="1"/>
  <c r="M21" i="1512"/>
  <c r="P21" i="1512"/>
  <c r="AB21" i="1512"/>
  <c r="AD21" i="1512"/>
  <c r="AC21" i="1512"/>
  <c r="P19" i="1511"/>
  <c r="AC19" i="1511" s="1"/>
  <c r="AB19" i="1511"/>
  <c r="P18" i="1511"/>
  <c r="AC18" i="1511" s="1"/>
  <c r="AD18" i="1511" s="1"/>
  <c r="K18" i="1511"/>
  <c r="AF62" i="1511"/>
  <c r="AD7" i="1511"/>
  <c r="AD11" i="1511"/>
  <c r="L21" i="1511"/>
  <c r="O21" i="1511" s="1"/>
  <c r="Q21" i="1511"/>
  <c r="AD15" i="1511"/>
  <c r="AD14" i="1511"/>
  <c r="AD13" i="1511"/>
  <c r="AD17" i="1511"/>
  <c r="AC6" i="1511"/>
  <c r="M9" i="1511"/>
  <c r="AB9" i="1511"/>
  <c r="O10" i="1511"/>
  <c r="AD10" i="1511" s="1"/>
  <c r="M12" i="1511"/>
  <c r="AB12" i="1511"/>
  <c r="AD12" i="1511" s="1"/>
  <c r="M18" i="1511"/>
  <c r="O19" i="1511"/>
  <c r="P20" i="1511"/>
  <c r="AC20" i="1511" s="1"/>
  <c r="P9" i="1511"/>
  <c r="AC9" i="1511" s="1"/>
  <c r="M20" i="1511"/>
  <c r="AB20" i="1511"/>
  <c r="M10" i="1511"/>
  <c r="M21" i="1511" s="1"/>
  <c r="M19" i="1511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L21" i="1510"/>
  <c r="K21" i="1510" s="1"/>
  <c r="L20" i="1510"/>
  <c r="O20" i="1510" s="1"/>
  <c r="K20" i="1510"/>
  <c r="L19" i="1510"/>
  <c r="O19" i="1510" s="1"/>
  <c r="K19" i="1510"/>
  <c r="L14" i="1510"/>
  <c r="K14" i="1510" s="1"/>
  <c r="AF14" i="1510"/>
  <c r="Q14" i="1510"/>
  <c r="P14" i="1510"/>
  <c r="AC14" i="1510" s="1"/>
  <c r="O14" i="1510"/>
  <c r="K13" i="1510"/>
  <c r="L12" i="1510"/>
  <c r="O12" i="1510" s="1"/>
  <c r="L10" i="1510"/>
  <c r="K10" i="1510" s="1"/>
  <c r="L9" i="1510"/>
  <c r="K9" i="1510"/>
  <c r="K18" i="1510"/>
  <c r="K12" i="1510"/>
  <c r="K11" i="1510"/>
  <c r="A75" i="1510"/>
  <c r="A76" i="1510" s="1"/>
  <c r="A77" i="1510" s="1"/>
  <c r="A78" i="1510" s="1"/>
  <c r="A79" i="1510" s="1"/>
  <c r="A80" i="1510" s="1"/>
  <c r="A81" i="1510" s="1"/>
  <c r="A82" i="1510" s="1"/>
  <c r="AF63" i="1510"/>
  <c r="AF61" i="1510"/>
  <c r="AF60" i="1510"/>
  <c r="AA22" i="1510"/>
  <c r="Z22" i="1510"/>
  <c r="Y22" i="1510"/>
  <c r="X22" i="1510"/>
  <c r="W22" i="1510"/>
  <c r="V22" i="1510"/>
  <c r="U22" i="1510"/>
  <c r="T22" i="1510"/>
  <c r="S22" i="1510"/>
  <c r="R22" i="1510"/>
  <c r="N22" i="1510"/>
  <c r="J22" i="1510"/>
  <c r="I22" i="1510"/>
  <c r="AF21" i="1510"/>
  <c r="Q21" i="1510"/>
  <c r="AF20" i="1510"/>
  <c r="AB20" i="1510"/>
  <c r="Q20" i="1510"/>
  <c r="M20" i="1510"/>
  <c r="AF19" i="1510"/>
  <c r="AB19" i="1510"/>
  <c r="Q19" i="1510"/>
  <c r="P19" i="1510" s="1"/>
  <c r="AC19" i="1510" s="1"/>
  <c r="M19" i="1510"/>
  <c r="AF18" i="1510"/>
  <c r="AB18" i="1510"/>
  <c r="Q18" i="1510"/>
  <c r="P18" i="1510" s="1"/>
  <c r="AC18" i="1510" s="1"/>
  <c r="O18" i="1510"/>
  <c r="M18" i="1510"/>
  <c r="AF17" i="1510"/>
  <c r="AB17" i="1510"/>
  <c r="Q17" i="1510"/>
  <c r="P17" i="1510"/>
  <c r="AC17" i="1510" s="1"/>
  <c r="O17" i="1510"/>
  <c r="M17" i="1510"/>
  <c r="K17" i="1510"/>
  <c r="AF16" i="1510"/>
  <c r="AB16" i="1510"/>
  <c r="Q16" i="1510"/>
  <c r="P16" i="1510"/>
  <c r="AC16" i="1510" s="1"/>
  <c r="O16" i="1510"/>
  <c r="M16" i="1510"/>
  <c r="K16" i="1510"/>
  <c r="AF15" i="1510"/>
  <c r="AB15" i="1510"/>
  <c r="Q15" i="1510"/>
  <c r="P15" i="1510"/>
  <c r="AC15" i="1510" s="1"/>
  <c r="O15" i="1510"/>
  <c r="M15" i="1510"/>
  <c r="K15" i="1510"/>
  <c r="AF13" i="1510"/>
  <c r="AB13" i="1510"/>
  <c r="Q13" i="1510"/>
  <c r="P13" i="1510" s="1"/>
  <c r="AC13" i="1510" s="1"/>
  <c r="O13" i="1510"/>
  <c r="M13" i="1510"/>
  <c r="AF12" i="1510"/>
  <c r="AB12" i="1510"/>
  <c r="Q12" i="1510"/>
  <c r="AF11" i="1510"/>
  <c r="AB11" i="1510"/>
  <c r="Q11" i="1510"/>
  <c r="P11" i="1510" s="1"/>
  <c r="AC11" i="1510" s="1"/>
  <c r="O11" i="1510"/>
  <c r="M11" i="1510"/>
  <c r="AF10" i="1510"/>
  <c r="Q10" i="1510"/>
  <c r="M10" i="1510"/>
  <c r="AF9" i="1510"/>
  <c r="AB9" i="1510"/>
  <c r="Q9" i="1510"/>
  <c r="P9" i="1510" s="1"/>
  <c r="AC9" i="1510" s="1"/>
  <c r="O9" i="1510"/>
  <c r="M9" i="1510"/>
  <c r="AF8" i="1510"/>
  <c r="AB8" i="1510"/>
  <c r="Q8" i="1510"/>
  <c r="P8" i="1510"/>
  <c r="AC8" i="1510" s="1"/>
  <c r="O8" i="1510"/>
  <c r="M8" i="1510"/>
  <c r="K8" i="1510"/>
  <c r="AF7" i="1510"/>
  <c r="AB7" i="1510"/>
  <c r="Q7" i="1510"/>
  <c r="P7" i="1510"/>
  <c r="AC7" i="1510" s="1"/>
  <c r="O7" i="1510"/>
  <c r="M7" i="1510"/>
  <c r="K7" i="1510"/>
  <c r="AF6" i="1510"/>
  <c r="AB6" i="1510"/>
  <c r="Q6" i="1510"/>
  <c r="P6" i="1510"/>
  <c r="O6" i="1510"/>
  <c r="M6" i="1510"/>
  <c r="K6" i="1510"/>
  <c r="AE17" i="1513" l="1"/>
  <c r="AE9" i="1513"/>
  <c r="AE12" i="1513"/>
  <c r="AE8" i="1513"/>
  <c r="AE19" i="1513"/>
  <c r="AE10" i="1513"/>
  <c r="AE14" i="1513"/>
  <c r="AE7" i="1513"/>
  <c r="AE20" i="1513"/>
  <c r="AE13" i="1513"/>
  <c r="AE11" i="1513"/>
  <c r="AE15" i="1513"/>
  <c r="AE6" i="1513"/>
  <c r="AE16" i="1513"/>
  <c r="AE18" i="1512"/>
  <c r="AE19" i="1512"/>
  <c r="AE14" i="1512"/>
  <c r="AE11" i="1512"/>
  <c r="AE20" i="1512"/>
  <c r="AE12" i="1512"/>
  <c r="AE16" i="1512"/>
  <c r="AE7" i="1512"/>
  <c r="AE17" i="1512"/>
  <c r="AE15" i="1512"/>
  <c r="AE13" i="1512"/>
  <c r="AE10" i="1512"/>
  <c r="AE8" i="1512"/>
  <c r="AE6" i="1512"/>
  <c r="AE9" i="1512"/>
  <c r="AD19" i="1511"/>
  <c r="AB21" i="1511"/>
  <c r="AD9" i="1511"/>
  <c r="AC21" i="1511"/>
  <c r="AD6" i="1511"/>
  <c r="K21" i="1511"/>
  <c r="P21" i="1511"/>
  <c r="AD20" i="1511"/>
  <c r="AD16" i="1510"/>
  <c r="AB10" i="1510"/>
  <c r="P12" i="1510"/>
  <c r="AC12" i="1510" s="1"/>
  <c r="AD12" i="1510" s="1"/>
  <c r="P20" i="1510"/>
  <c r="AC20" i="1510" s="1"/>
  <c r="M14" i="1510"/>
  <c r="AB14" i="1510"/>
  <c r="AD14" i="1510" s="1"/>
  <c r="O10" i="1510"/>
  <c r="AD10" i="1510" s="1"/>
  <c r="P10" i="1510"/>
  <c r="AC10" i="1510" s="1"/>
  <c r="M12" i="1510"/>
  <c r="AB21" i="1510"/>
  <c r="AD20" i="1510"/>
  <c r="AD19" i="1510"/>
  <c r="L22" i="1510"/>
  <c r="O22" i="1510" s="1"/>
  <c r="AD11" i="1510"/>
  <c r="Q22" i="1510"/>
  <c r="AD9" i="1510"/>
  <c r="AD13" i="1510"/>
  <c r="AD17" i="1510"/>
  <c r="AB22" i="1510"/>
  <c r="AD15" i="1510"/>
  <c r="AD18" i="1510"/>
  <c r="AD7" i="1510"/>
  <c r="AD8" i="1510"/>
  <c r="O21" i="1510"/>
  <c r="AC6" i="1510"/>
  <c r="K22" i="1510"/>
  <c r="P21" i="1510"/>
  <c r="AC21" i="1510" s="1"/>
  <c r="M21" i="1510"/>
  <c r="M22" i="1510" s="1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L21" i="1509"/>
  <c r="K21" i="1509"/>
  <c r="L20" i="1509"/>
  <c r="AF20" i="1509"/>
  <c r="AB20" i="1509"/>
  <c r="Q20" i="1509"/>
  <c r="P20" i="1509"/>
  <c r="AC20" i="1509" s="1"/>
  <c r="O20" i="1509"/>
  <c r="M20" i="1509"/>
  <c r="K20" i="1509"/>
  <c r="K19" i="1509"/>
  <c r="L18" i="1509"/>
  <c r="K18" i="1509" s="1"/>
  <c r="K17" i="1509"/>
  <c r="K13" i="1509"/>
  <c r="K11" i="1509"/>
  <c r="AD21" i="1511" l="1"/>
  <c r="AD21" i="1510"/>
  <c r="AC22" i="1510"/>
  <c r="AD6" i="1510"/>
  <c r="P22" i="1510"/>
  <c r="AD20" i="1509"/>
  <c r="AE18" i="1511" l="1"/>
  <c r="AE12" i="1511"/>
  <c r="AE9" i="1511"/>
  <c r="AE20" i="1511"/>
  <c r="AE19" i="1511"/>
  <c r="AE16" i="1511"/>
  <c r="AE14" i="1511"/>
  <c r="AE10" i="1511"/>
  <c r="AE7" i="1511"/>
  <c r="AE17" i="1511"/>
  <c r="AE15" i="1511"/>
  <c r="AE13" i="1511"/>
  <c r="AE11" i="1511"/>
  <c r="AE8" i="1511"/>
  <c r="AE6" i="1511"/>
  <c r="AD22" i="1510"/>
  <c r="AE14" i="1510" s="1"/>
  <c r="L10" i="1509"/>
  <c r="K10" i="1509"/>
  <c r="K9" i="1509"/>
  <c r="K15" i="1509"/>
  <c r="K12" i="1509"/>
  <c r="A75" i="1509"/>
  <c r="A76" i="1509" s="1"/>
  <c r="A77" i="1509" s="1"/>
  <c r="A78" i="1509" s="1"/>
  <c r="A79" i="1509" s="1"/>
  <c r="A80" i="1509" s="1"/>
  <c r="A81" i="1509" s="1"/>
  <c r="A82" i="1509" s="1"/>
  <c r="AF61" i="1509"/>
  <c r="AF60" i="1509"/>
  <c r="AF63" i="1509" s="1"/>
  <c r="AA22" i="1509"/>
  <c r="Z22" i="1509"/>
  <c r="Y22" i="1509"/>
  <c r="X22" i="1509"/>
  <c r="W22" i="1509"/>
  <c r="V22" i="1509"/>
  <c r="U22" i="1509"/>
  <c r="T22" i="1509"/>
  <c r="S22" i="1509"/>
  <c r="R22" i="1509"/>
  <c r="N22" i="1509"/>
  <c r="J22" i="1509"/>
  <c r="I22" i="1509"/>
  <c r="AF21" i="1509"/>
  <c r="Q21" i="1509"/>
  <c r="O21" i="1509"/>
  <c r="AF19" i="1509"/>
  <c r="AB19" i="1509"/>
  <c r="Q19" i="1509"/>
  <c r="P19" i="1509" s="1"/>
  <c r="AC19" i="1509" s="1"/>
  <c r="O19" i="1509"/>
  <c r="M19" i="1509"/>
  <c r="AF18" i="1509"/>
  <c r="AB18" i="1509"/>
  <c r="Q18" i="1509"/>
  <c r="P18" i="1509" s="1"/>
  <c r="AC18" i="1509" s="1"/>
  <c r="O18" i="1509"/>
  <c r="M18" i="1509"/>
  <c r="AF17" i="1509"/>
  <c r="Q17" i="1509"/>
  <c r="P17" i="1509" s="1"/>
  <c r="AC17" i="1509" s="1"/>
  <c r="O17" i="1509"/>
  <c r="AB17" i="1509"/>
  <c r="AF16" i="1509"/>
  <c r="AB16" i="1509"/>
  <c r="Q16" i="1509"/>
  <c r="P16" i="1509"/>
  <c r="AC16" i="1509" s="1"/>
  <c r="O16" i="1509"/>
  <c r="M16" i="1509"/>
  <c r="K16" i="1509"/>
  <c r="AF15" i="1509"/>
  <c r="AB15" i="1509"/>
  <c r="Q15" i="1509"/>
  <c r="M15" i="1509"/>
  <c r="O15" i="1509"/>
  <c r="AF14" i="1509"/>
  <c r="AB14" i="1509"/>
  <c r="Q14" i="1509"/>
  <c r="P14" i="1509"/>
  <c r="AC14" i="1509" s="1"/>
  <c r="O14" i="1509"/>
  <c r="M14" i="1509"/>
  <c r="K14" i="1509"/>
  <c r="AF13" i="1509"/>
  <c r="AB13" i="1509"/>
  <c r="Q13" i="1509"/>
  <c r="P13" i="1509" s="1"/>
  <c r="AC13" i="1509" s="1"/>
  <c r="O13" i="1509"/>
  <c r="M13" i="1509"/>
  <c r="AF12" i="1509"/>
  <c r="Q12" i="1509"/>
  <c r="AB12" i="1509"/>
  <c r="AF11" i="1509"/>
  <c r="AB11" i="1509"/>
  <c r="Q11" i="1509"/>
  <c r="P11" i="1509" s="1"/>
  <c r="AC11" i="1509" s="1"/>
  <c r="O11" i="1509"/>
  <c r="M11" i="1509"/>
  <c r="AF10" i="1509"/>
  <c r="AB10" i="1509"/>
  <c r="Q10" i="1509"/>
  <c r="M10" i="1509"/>
  <c r="L22" i="1509"/>
  <c r="O22" i="1509" s="1"/>
  <c r="AF9" i="1509"/>
  <c r="AB9" i="1509"/>
  <c r="Q9" i="1509"/>
  <c r="P9" i="1509" s="1"/>
  <c r="AC9" i="1509" s="1"/>
  <c r="O9" i="1509"/>
  <c r="M9" i="1509"/>
  <c r="AF8" i="1509"/>
  <c r="AB8" i="1509"/>
  <c r="Q8" i="1509"/>
  <c r="P8" i="1509"/>
  <c r="AC8" i="1509" s="1"/>
  <c r="AD8" i="1509" s="1"/>
  <c r="O8" i="1509"/>
  <c r="M8" i="1509"/>
  <c r="K8" i="1509"/>
  <c r="AF7" i="1509"/>
  <c r="AB7" i="1509"/>
  <c r="Q7" i="1509"/>
  <c r="P7" i="1509"/>
  <c r="AC7" i="1509" s="1"/>
  <c r="O7" i="1509"/>
  <c r="M7" i="1509"/>
  <c r="K7" i="1509"/>
  <c r="AF6" i="1509"/>
  <c r="AB6" i="1509"/>
  <c r="Q6" i="1509"/>
  <c r="P6" i="1509"/>
  <c r="AC6" i="1509" s="1"/>
  <c r="O6" i="1509"/>
  <c r="M6" i="1509"/>
  <c r="K6" i="1509"/>
  <c r="AE6" i="1510" l="1"/>
  <c r="AE12" i="1510"/>
  <c r="AE17" i="1510"/>
  <c r="AE10" i="1510"/>
  <c r="AE7" i="1510"/>
  <c r="AE11" i="1510"/>
  <c r="AE21" i="1510"/>
  <c r="AE9" i="1510"/>
  <c r="AE13" i="1510"/>
  <c r="AE8" i="1510"/>
  <c r="AE15" i="1510"/>
  <c r="AE19" i="1510"/>
  <c r="AE16" i="1510"/>
  <c r="AE20" i="1510"/>
  <c r="AE18" i="1510"/>
  <c r="AD7" i="1509"/>
  <c r="AD18" i="1509"/>
  <c r="AD11" i="1509"/>
  <c r="P10" i="1509"/>
  <c r="AC10" i="1509" s="1"/>
  <c r="Q22" i="1509"/>
  <c r="O10" i="1509"/>
  <c r="AD9" i="1509"/>
  <c r="AD14" i="1509"/>
  <c r="AD16" i="1509"/>
  <c r="AD19" i="1509"/>
  <c r="AD13" i="1509"/>
  <c r="AD17" i="1509"/>
  <c r="O12" i="1509"/>
  <c r="P15" i="1509"/>
  <c r="AC15" i="1509" s="1"/>
  <c r="AD15" i="1509" s="1"/>
  <c r="P21" i="1509"/>
  <c r="AC21" i="1509" s="1"/>
  <c r="AD6" i="1509"/>
  <c r="K22" i="1509"/>
  <c r="P12" i="1509"/>
  <c r="AC12" i="1509" s="1"/>
  <c r="M21" i="1509"/>
  <c r="AB21" i="1509"/>
  <c r="AB22" i="1509" s="1"/>
  <c r="M12" i="1509"/>
  <c r="M17" i="1509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L21" i="1508"/>
  <c r="K21" i="1508" s="1"/>
  <c r="K19" i="1508"/>
  <c r="L18" i="1508"/>
  <c r="O18" i="1508" s="1"/>
  <c r="L16" i="1508"/>
  <c r="AB16" i="1508" s="1"/>
  <c r="L13" i="1508"/>
  <c r="K13" i="1508" s="1"/>
  <c r="L10" i="1508"/>
  <c r="O10" i="1508" s="1"/>
  <c r="AF10" i="1508"/>
  <c r="Q10" i="1508"/>
  <c r="K9" i="1508"/>
  <c r="K20" i="1508"/>
  <c r="K18" i="1508"/>
  <c r="K16" i="1508"/>
  <c r="K14" i="1508"/>
  <c r="A75" i="1508"/>
  <c r="A76" i="1508" s="1"/>
  <c r="A77" i="1508" s="1"/>
  <c r="A78" i="1508" s="1"/>
  <c r="A79" i="1508" s="1"/>
  <c r="A80" i="1508" s="1"/>
  <c r="A81" i="1508" s="1"/>
  <c r="A82" i="1508" s="1"/>
  <c r="AF61" i="1508"/>
  <c r="AF60" i="1508"/>
  <c r="AA22" i="1508"/>
  <c r="Z22" i="1508"/>
  <c r="Y22" i="1508"/>
  <c r="X22" i="1508"/>
  <c r="W22" i="1508"/>
  <c r="V22" i="1508"/>
  <c r="U22" i="1508"/>
  <c r="T22" i="1508"/>
  <c r="S22" i="1508"/>
  <c r="R22" i="1508"/>
  <c r="N22" i="1508"/>
  <c r="J22" i="1508"/>
  <c r="I22" i="1508"/>
  <c r="AF21" i="1508"/>
  <c r="Q21" i="1508"/>
  <c r="O21" i="1508"/>
  <c r="AF20" i="1508"/>
  <c r="Q20" i="1508"/>
  <c r="P20" i="1508"/>
  <c r="AC20" i="1508" s="1"/>
  <c r="AB20" i="1508"/>
  <c r="AF19" i="1508"/>
  <c r="AB19" i="1508"/>
  <c r="Q19" i="1508"/>
  <c r="P19" i="1508" s="1"/>
  <c r="AC19" i="1508" s="1"/>
  <c r="AD19" i="1508" s="1"/>
  <c r="O19" i="1508"/>
  <c r="M19" i="1508"/>
  <c r="AF18" i="1508"/>
  <c r="Q18" i="1508"/>
  <c r="AF17" i="1508"/>
  <c r="AB17" i="1508"/>
  <c r="Q17" i="1508"/>
  <c r="P17" i="1508"/>
  <c r="AC17" i="1508" s="1"/>
  <c r="O17" i="1508"/>
  <c r="M17" i="1508"/>
  <c r="K17" i="1508"/>
  <c r="AF16" i="1508"/>
  <c r="Q16" i="1508"/>
  <c r="M16" i="1508"/>
  <c r="AF15" i="1508"/>
  <c r="AB15" i="1508"/>
  <c r="Q15" i="1508"/>
  <c r="P15" i="1508"/>
  <c r="AC15" i="1508" s="1"/>
  <c r="O15" i="1508"/>
  <c r="M15" i="1508"/>
  <c r="K15" i="1508"/>
  <c r="AF14" i="1508"/>
  <c r="AB14" i="1508"/>
  <c r="Q14" i="1508"/>
  <c r="O14" i="1508"/>
  <c r="M14" i="1508"/>
  <c r="P14" i="1508"/>
  <c r="AC14" i="1508" s="1"/>
  <c r="AF13" i="1508"/>
  <c r="AB13" i="1508"/>
  <c r="Q13" i="1508"/>
  <c r="AF12" i="1508"/>
  <c r="AB12" i="1508"/>
  <c r="Q12" i="1508"/>
  <c r="P12" i="1508"/>
  <c r="AC12" i="1508" s="1"/>
  <c r="O12" i="1508"/>
  <c r="M12" i="1508"/>
  <c r="K12" i="1508"/>
  <c r="AF11" i="1508"/>
  <c r="AB11" i="1508"/>
  <c r="Q11" i="1508"/>
  <c r="P11" i="1508"/>
  <c r="AC11" i="1508" s="1"/>
  <c r="O11" i="1508"/>
  <c r="M11" i="1508"/>
  <c r="K11" i="1508"/>
  <c r="AF9" i="1508"/>
  <c r="Q9" i="1508"/>
  <c r="O9" i="1508"/>
  <c r="AF8" i="1508"/>
  <c r="AB8" i="1508"/>
  <c r="Q8" i="1508"/>
  <c r="P8" i="1508"/>
  <c r="AC8" i="1508" s="1"/>
  <c r="O8" i="1508"/>
  <c r="M8" i="1508"/>
  <c r="K8" i="1508"/>
  <c r="AF7" i="1508"/>
  <c r="AB7" i="1508"/>
  <c r="Q7" i="1508"/>
  <c r="P7" i="1508"/>
  <c r="AC7" i="1508" s="1"/>
  <c r="O7" i="1508"/>
  <c r="M7" i="1508"/>
  <c r="K7" i="1508"/>
  <c r="AF6" i="1508"/>
  <c r="AB6" i="1508"/>
  <c r="Q6" i="1508"/>
  <c r="P6" i="1508"/>
  <c r="O6" i="1508"/>
  <c r="M6" i="1508"/>
  <c r="K6" i="1508"/>
  <c r="AD12" i="1509" l="1"/>
  <c r="AD21" i="1509"/>
  <c r="AD10" i="1509"/>
  <c r="M22" i="1509"/>
  <c r="P22" i="1509"/>
  <c r="AC22" i="1509"/>
  <c r="P16" i="1508"/>
  <c r="AC16" i="1508" s="1"/>
  <c r="AD8" i="1508"/>
  <c r="AD7" i="1508"/>
  <c r="AF63" i="1508"/>
  <c r="M13" i="1508"/>
  <c r="P13" i="1508"/>
  <c r="AC13" i="1508" s="1"/>
  <c r="K10" i="1508"/>
  <c r="K22" i="1508" s="1"/>
  <c r="P10" i="1508"/>
  <c r="AC10" i="1508" s="1"/>
  <c r="AD10" i="1508" s="1"/>
  <c r="M10" i="1508"/>
  <c r="AB10" i="1508"/>
  <c r="Q22" i="1508"/>
  <c r="AD14" i="1508"/>
  <c r="AD15" i="1508"/>
  <c r="AD17" i="1508"/>
  <c r="AD11" i="1508"/>
  <c r="AD12" i="1508"/>
  <c r="AC6" i="1508"/>
  <c r="P9" i="1508"/>
  <c r="AC9" i="1508" s="1"/>
  <c r="P18" i="1508"/>
  <c r="AC18" i="1508" s="1"/>
  <c r="O20" i="1508"/>
  <c r="AD20" i="1508" s="1"/>
  <c r="P21" i="1508"/>
  <c r="AC21" i="1508" s="1"/>
  <c r="M9" i="1508"/>
  <c r="AB9" i="1508"/>
  <c r="O13" i="1508"/>
  <c r="O16" i="1508"/>
  <c r="AD16" i="1508" s="1"/>
  <c r="M18" i="1508"/>
  <c r="AB18" i="1508"/>
  <c r="M21" i="1508"/>
  <c r="AB21" i="1508"/>
  <c r="L22" i="1508"/>
  <c r="O22" i="1508" s="1"/>
  <c r="M20" i="1508"/>
  <c r="M18" i="16"/>
  <c r="M17" i="16"/>
  <c r="M16" i="16"/>
  <c r="M14" i="16"/>
  <c r="M13" i="16"/>
  <c r="M12" i="16"/>
  <c r="M11" i="16"/>
  <c r="M10" i="16"/>
  <c r="M9" i="16"/>
  <c r="M8" i="16"/>
  <c r="M7" i="16"/>
  <c r="M6" i="16"/>
  <c r="M5" i="16"/>
  <c r="M4" i="16"/>
  <c r="M3" i="16"/>
  <c r="L22" i="1507"/>
  <c r="O22" i="1507" s="1"/>
  <c r="L21" i="1507"/>
  <c r="O21" i="1507" s="1"/>
  <c r="K20" i="1507"/>
  <c r="K19" i="1507"/>
  <c r="K18" i="1507"/>
  <c r="AF18" i="1507"/>
  <c r="AB18" i="1507"/>
  <c r="Q18" i="1507"/>
  <c r="P18" i="1507"/>
  <c r="AC18" i="1507" s="1"/>
  <c r="O18" i="1507"/>
  <c r="M18" i="1507"/>
  <c r="AF19" i="1507"/>
  <c r="AB19" i="1507"/>
  <c r="Q19" i="1507"/>
  <c r="P19" i="1507" s="1"/>
  <c r="AC19" i="1507" s="1"/>
  <c r="O19" i="1507"/>
  <c r="M19" i="1507"/>
  <c r="L17" i="1507"/>
  <c r="K17" i="1507"/>
  <c r="L15" i="1507"/>
  <c r="AB15" i="1507" s="1"/>
  <c r="L13" i="1507"/>
  <c r="K13" i="1507" s="1"/>
  <c r="L12" i="1507"/>
  <c r="K12" i="1507"/>
  <c r="L9" i="1507"/>
  <c r="K9" i="1507" s="1"/>
  <c r="K16" i="1507"/>
  <c r="K11" i="1507"/>
  <c r="A77" i="1507"/>
  <c r="A78" i="1507" s="1"/>
  <c r="A79" i="1507" s="1"/>
  <c r="A80" i="1507" s="1"/>
  <c r="A81" i="1507" s="1"/>
  <c r="A82" i="1507" s="1"/>
  <c r="A83" i="1507" s="1"/>
  <c r="A76" i="1507"/>
  <c r="AF62" i="1507"/>
  <c r="AF61" i="1507"/>
  <c r="AF64" i="1507" s="1"/>
  <c r="AA23" i="1507"/>
  <c r="Z23" i="1507"/>
  <c r="Y23" i="1507"/>
  <c r="X23" i="1507"/>
  <c r="W23" i="1507"/>
  <c r="V23" i="1507"/>
  <c r="U23" i="1507"/>
  <c r="T23" i="1507"/>
  <c r="S23" i="1507"/>
  <c r="R23" i="1507"/>
  <c r="N23" i="1507"/>
  <c r="J23" i="1507"/>
  <c r="I23" i="1507"/>
  <c r="AF22" i="1507"/>
  <c r="AB22" i="1507"/>
  <c r="Q22" i="1507"/>
  <c r="P22" i="1507"/>
  <c r="AC22" i="1507" s="1"/>
  <c r="M22" i="1507"/>
  <c r="K22" i="1507"/>
  <c r="AF21" i="1507"/>
  <c r="AB21" i="1507"/>
  <c r="Q21" i="1507"/>
  <c r="AF20" i="1507"/>
  <c r="AB20" i="1507"/>
  <c r="Q20" i="1507"/>
  <c r="P20" i="1507" s="1"/>
  <c r="AC20" i="1507" s="1"/>
  <c r="M20" i="1507"/>
  <c r="AF17" i="1507"/>
  <c r="Q17" i="1507"/>
  <c r="O17" i="1507"/>
  <c r="AF16" i="1507"/>
  <c r="AB16" i="1507"/>
  <c r="Q16" i="1507"/>
  <c r="P16" i="1507"/>
  <c r="AC16" i="1507" s="1"/>
  <c r="O16" i="1507"/>
  <c r="M16" i="1507"/>
  <c r="AF15" i="1507"/>
  <c r="Q15" i="1507"/>
  <c r="P15" i="1507" s="1"/>
  <c r="AC15" i="1507" s="1"/>
  <c r="O15" i="1507"/>
  <c r="K15" i="1507"/>
  <c r="AF14" i="1507"/>
  <c r="AB14" i="1507"/>
  <c r="Q14" i="1507"/>
  <c r="P14" i="1507"/>
  <c r="AC14" i="1507" s="1"/>
  <c r="O14" i="1507"/>
  <c r="M14" i="1507"/>
  <c r="K14" i="1507"/>
  <c r="AF13" i="1507"/>
  <c r="Q13" i="1507"/>
  <c r="P13" i="1507"/>
  <c r="AC13" i="1507" s="1"/>
  <c r="O13" i="1507"/>
  <c r="M13" i="1507"/>
  <c r="AF12" i="1507"/>
  <c r="Q12" i="1507"/>
  <c r="O12" i="1507"/>
  <c r="AF11" i="1507"/>
  <c r="AB11" i="1507"/>
  <c r="Q11" i="1507"/>
  <c r="P11" i="1507"/>
  <c r="AC11" i="1507" s="1"/>
  <c r="AD11" i="1507" s="1"/>
  <c r="O11" i="1507"/>
  <c r="M11" i="1507"/>
  <c r="AF10" i="1507"/>
  <c r="AB10" i="1507"/>
  <c r="Q10" i="1507"/>
  <c r="P10" i="1507"/>
  <c r="AC10" i="1507" s="1"/>
  <c r="O10" i="1507"/>
  <c r="M10" i="1507"/>
  <c r="K10" i="1507"/>
  <c r="AF9" i="1507"/>
  <c r="Q9" i="1507"/>
  <c r="O9" i="1507"/>
  <c r="AF8" i="1507"/>
  <c r="AB8" i="1507"/>
  <c r="Q8" i="1507"/>
  <c r="P8" i="1507"/>
  <c r="AC8" i="1507" s="1"/>
  <c r="AD8" i="1507" s="1"/>
  <c r="O8" i="1507"/>
  <c r="M8" i="1507"/>
  <c r="K8" i="1507"/>
  <c r="AF7" i="1507"/>
  <c r="AB7" i="1507"/>
  <c r="Q7" i="1507"/>
  <c r="P7" i="1507"/>
  <c r="AC7" i="1507" s="1"/>
  <c r="O7" i="1507"/>
  <c r="M7" i="1507"/>
  <c r="K7" i="1507"/>
  <c r="AF6" i="1507"/>
  <c r="AB6" i="1507"/>
  <c r="Q6" i="1507"/>
  <c r="P6" i="1507"/>
  <c r="O6" i="1507"/>
  <c r="M6" i="1507"/>
  <c r="K6" i="1507"/>
  <c r="AD22" i="1509" l="1"/>
  <c r="AD13" i="1508"/>
  <c r="AB22" i="1508"/>
  <c r="M22" i="1508"/>
  <c r="AD18" i="1508"/>
  <c r="AC22" i="1508"/>
  <c r="AD6" i="1508"/>
  <c r="AD21" i="1508"/>
  <c r="AD9" i="1508"/>
  <c r="P22" i="1508"/>
  <c r="K21" i="1507"/>
  <c r="P21" i="1507"/>
  <c r="AC21" i="1507" s="1"/>
  <c r="AD21" i="1507" s="1"/>
  <c r="M21" i="1507"/>
  <c r="AD18" i="1507"/>
  <c r="AD19" i="1507"/>
  <c r="AD7" i="1507"/>
  <c r="AD16" i="1507"/>
  <c r="AD22" i="1507"/>
  <c r="AD10" i="1507"/>
  <c r="AD15" i="1507"/>
  <c r="M15" i="1507"/>
  <c r="AB13" i="1507"/>
  <c r="AD13" i="1507" s="1"/>
  <c r="Q23" i="1507"/>
  <c r="AD14" i="1507"/>
  <c r="AC6" i="1507"/>
  <c r="P9" i="1507"/>
  <c r="AC9" i="1507" s="1"/>
  <c r="P12" i="1507"/>
  <c r="AC12" i="1507" s="1"/>
  <c r="P17" i="1507"/>
  <c r="AC17" i="1507" s="1"/>
  <c r="M9" i="1507"/>
  <c r="AB9" i="1507"/>
  <c r="M12" i="1507"/>
  <c r="AB12" i="1507"/>
  <c r="M17" i="1507"/>
  <c r="AB17" i="1507"/>
  <c r="O20" i="1507"/>
  <c r="AD20" i="1507" s="1"/>
  <c r="L23" i="1507"/>
  <c r="O23" i="1507" s="1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K20" i="1506"/>
  <c r="L19" i="1506"/>
  <c r="L18" i="1506"/>
  <c r="L17" i="1506"/>
  <c r="K17" i="1506"/>
  <c r="L16" i="1506"/>
  <c r="K15" i="1506"/>
  <c r="L12" i="1506"/>
  <c r="P12" i="1506" s="1"/>
  <c r="AC12" i="1506" s="1"/>
  <c r="L11" i="1506"/>
  <c r="L9" i="1506"/>
  <c r="K9" i="1506" s="1"/>
  <c r="K19" i="1506"/>
  <c r="K18" i="1506"/>
  <c r="K16" i="1506"/>
  <c r="K13" i="1506"/>
  <c r="K12" i="1506"/>
  <c r="K11" i="1506"/>
  <c r="K8" i="1506"/>
  <c r="A75" i="1506"/>
  <c r="A76" i="1506" s="1"/>
  <c r="A77" i="1506" s="1"/>
  <c r="A78" i="1506" s="1"/>
  <c r="A79" i="1506" s="1"/>
  <c r="A80" i="1506" s="1"/>
  <c r="A81" i="1506" s="1"/>
  <c r="A74" i="1506"/>
  <c r="AF60" i="1506"/>
  <c r="AF59" i="1506"/>
  <c r="AF62" i="1506" s="1"/>
  <c r="AA21" i="1506"/>
  <c r="Z21" i="1506"/>
  <c r="Y21" i="1506"/>
  <c r="X21" i="1506"/>
  <c r="W21" i="1506"/>
  <c r="V21" i="1506"/>
  <c r="U21" i="1506"/>
  <c r="T21" i="1506"/>
  <c r="S21" i="1506"/>
  <c r="R21" i="1506"/>
  <c r="N21" i="1506"/>
  <c r="J21" i="1506"/>
  <c r="I21" i="1506"/>
  <c r="AF20" i="1506"/>
  <c r="Q20" i="1506"/>
  <c r="O20" i="1506"/>
  <c r="AF19" i="1506"/>
  <c r="Q19" i="1506"/>
  <c r="AB19" i="1506"/>
  <c r="AF18" i="1506"/>
  <c r="Q18" i="1506"/>
  <c r="O18" i="1506"/>
  <c r="AB18" i="1506"/>
  <c r="AF17" i="1506"/>
  <c r="AB17" i="1506"/>
  <c r="Q17" i="1506"/>
  <c r="P17" i="1506" s="1"/>
  <c r="AC17" i="1506" s="1"/>
  <c r="O17" i="1506"/>
  <c r="M17" i="1506"/>
  <c r="AF16" i="1506"/>
  <c r="Q16" i="1506"/>
  <c r="P16" i="1506"/>
  <c r="AC16" i="1506" s="1"/>
  <c r="AB16" i="1506"/>
  <c r="AF15" i="1506"/>
  <c r="AB15" i="1506"/>
  <c r="Q15" i="1506"/>
  <c r="P15" i="1506"/>
  <c r="AC15" i="1506" s="1"/>
  <c r="AD15" i="1506" s="1"/>
  <c r="O15" i="1506"/>
  <c r="M15" i="1506"/>
  <c r="AF14" i="1506"/>
  <c r="AB14" i="1506"/>
  <c r="Q14" i="1506"/>
  <c r="P14" i="1506"/>
  <c r="AC14" i="1506" s="1"/>
  <c r="AD14" i="1506" s="1"/>
  <c r="O14" i="1506"/>
  <c r="M14" i="1506"/>
  <c r="K14" i="1506"/>
  <c r="AF13" i="1506"/>
  <c r="Q13" i="1506"/>
  <c r="O13" i="1506"/>
  <c r="P13" i="1506"/>
  <c r="AC13" i="1506" s="1"/>
  <c r="AF12" i="1506"/>
  <c r="Q12" i="1506"/>
  <c r="AF11" i="1506"/>
  <c r="Q11" i="1506"/>
  <c r="AB11" i="1506"/>
  <c r="AF10" i="1506"/>
  <c r="AB10" i="1506"/>
  <c r="Q10" i="1506"/>
  <c r="P10" i="1506"/>
  <c r="AC10" i="1506" s="1"/>
  <c r="AD10" i="1506" s="1"/>
  <c r="O10" i="1506"/>
  <c r="M10" i="1506"/>
  <c r="K10" i="1506"/>
  <c r="AF9" i="1506"/>
  <c r="AB9" i="1506"/>
  <c r="Q9" i="1506"/>
  <c r="M9" i="1506"/>
  <c r="AF8" i="1506"/>
  <c r="AB8" i="1506"/>
  <c r="Q8" i="1506"/>
  <c r="P8" i="1506" s="1"/>
  <c r="AC8" i="1506" s="1"/>
  <c r="O8" i="1506"/>
  <c r="M8" i="1506"/>
  <c r="AF7" i="1506"/>
  <c r="AC7" i="1506"/>
  <c r="AD7" i="1506" s="1"/>
  <c r="AB7" i="1506"/>
  <c r="Q7" i="1506"/>
  <c r="P7" i="1506"/>
  <c r="O7" i="1506"/>
  <c r="M7" i="1506"/>
  <c r="K7" i="1506"/>
  <c r="AF6" i="1506"/>
  <c r="AC6" i="1506"/>
  <c r="AB6" i="1506"/>
  <c r="Q6" i="1506"/>
  <c r="P6" i="1506"/>
  <c r="O6" i="1506"/>
  <c r="M6" i="1506"/>
  <c r="K6" i="1506"/>
  <c r="AE16" i="1509" l="1"/>
  <c r="AE20" i="1509"/>
  <c r="AE15" i="1509"/>
  <c r="AE9" i="1509"/>
  <c r="AE14" i="1509"/>
  <c r="AE21" i="1509"/>
  <c r="AE6" i="1509"/>
  <c r="AE13" i="1509"/>
  <c r="AE7" i="1509"/>
  <c r="AE17" i="1509"/>
  <c r="AE8" i="1509"/>
  <c r="AE18" i="1509"/>
  <c r="AE10" i="1509"/>
  <c r="AE19" i="1509"/>
  <c r="AE12" i="1509"/>
  <c r="AE11" i="1509"/>
  <c r="AD22" i="1508"/>
  <c r="AE10" i="1508" s="1"/>
  <c r="M15" i="16"/>
  <c r="AB23" i="1507"/>
  <c r="M23" i="1507"/>
  <c r="AD17" i="1507"/>
  <c r="P23" i="1507"/>
  <c r="AD9" i="1507"/>
  <c r="K23" i="1507"/>
  <c r="AD12" i="1507"/>
  <c r="AC23" i="1507"/>
  <c r="AD6" i="1507"/>
  <c r="P19" i="1506"/>
  <c r="AC19" i="1506" s="1"/>
  <c r="P18" i="1506"/>
  <c r="AC18" i="1506" s="1"/>
  <c r="AD18" i="1506" s="1"/>
  <c r="AD17" i="1506"/>
  <c r="M12" i="1506"/>
  <c r="AB12" i="1506"/>
  <c r="O12" i="1506"/>
  <c r="AD12" i="1506" s="1"/>
  <c r="Q21" i="1506"/>
  <c r="P9" i="1506"/>
  <c r="AC9" i="1506" s="1"/>
  <c r="L21" i="1506"/>
  <c r="O21" i="1506" s="1"/>
  <c r="O9" i="1506"/>
  <c r="AD8" i="1506"/>
  <c r="AD9" i="1506"/>
  <c r="O11" i="1506"/>
  <c r="AD6" i="1506"/>
  <c r="K21" i="1506"/>
  <c r="P11" i="1506"/>
  <c r="AC11" i="1506" s="1"/>
  <c r="M13" i="1506"/>
  <c r="AB13" i="1506"/>
  <c r="AB21" i="1506" s="1"/>
  <c r="O16" i="1506"/>
  <c r="AD16" i="1506" s="1"/>
  <c r="M18" i="1506"/>
  <c r="O19" i="1506"/>
  <c r="AD19" i="1506" s="1"/>
  <c r="P20" i="1506"/>
  <c r="AC20" i="1506" s="1"/>
  <c r="AD20" i="1506" s="1"/>
  <c r="M11" i="1506"/>
  <c r="M20" i="1506"/>
  <c r="AB20" i="1506"/>
  <c r="M16" i="1506"/>
  <c r="M19" i="150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L20" i="1505"/>
  <c r="L19" i="1505"/>
  <c r="K19" i="1505"/>
  <c r="L18" i="1505"/>
  <c r="L16" i="1505"/>
  <c r="L13" i="1505"/>
  <c r="K13" i="1505" s="1"/>
  <c r="L12" i="1505"/>
  <c r="O12" i="1505" s="1"/>
  <c r="L11" i="1505"/>
  <c r="K11" i="1505" s="1"/>
  <c r="L9" i="1505"/>
  <c r="K20" i="1505"/>
  <c r="K18" i="1505"/>
  <c r="K17" i="1505"/>
  <c r="K15" i="1505"/>
  <c r="K16" i="1505"/>
  <c r="K9" i="1505"/>
  <c r="K8" i="1505"/>
  <c r="A74" i="1505"/>
  <c r="A75" i="1505" s="1"/>
  <c r="A76" i="1505" s="1"/>
  <c r="A77" i="1505" s="1"/>
  <c r="A78" i="1505" s="1"/>
  <c r="A79" i="1505" s="1"/>
  <c r="A80" i="1505" s="1"/>
  <c r="A81" i="1505" s="1"/>
  <c r="AF60" i="1505"/>
  <c r="AF59" i="1505"/>
  <c r="AA21" i="1505"/>
  <c r="Z21" i="1505"/>
  <c r="Y21" i="1505"/>
  <c r="X21" i="1505"/>
  <c r="W21" i="1505"/>
  <c r="V21" i="1505"/>
  <c r="U21" i="1505"/>
  <c r="T21" i="1505"/>
  <c r="S21" i="1505"/>
  <c r="R21" i="1505"/>
  <c r="N21" i="1505"/>
  <c r="J21" i="1505"/>
  <c r="I21" i="1505"/>
  <c r="AF20" i="1505"/>
  <c r="Q20" i="1505"/>
  <c r="O20" i="1505"/>
  <c r="AF19" i="1505"/>
  <c r="Q19" i="1505"/>
  <c r="P19" i="1505" s="1"/>
  <c r="AC19" i="1505" s="1"/>
  <c r="AB19" i="1505"/>
  <c r="AF18" i="1505"/>
  <c r="Q18" i="1505"/>
  <c r="AB18" i="1505"/>
  <c r="AF17" i="1505"/>
  <c r="AB17" i="1505"/>
  <c r="Q17" i="1505"/>
  <c r="P17" i="1505" s="1"/>
  <c r="AC17" i="1505" s="1"/>
  <c r="O17" i="1505"/>
  <c r="M17" i="1505"/>
  <c r="AF16" i="1505"/>
  <c r="AB16" i="1505"/>
  <c r="Q16" i="1505"/>
  <c r="P16" i="1505"/>
  <c r="AC16" i="1505" s="1"/>
  <c r="O16" i="1505"/>
  <c r="M16" i="1505"/>
  <c r="AF15" i="1505"/>
  <c r="AB15" i="1505"/>
  <c r="Q15" i="1505"/>
  <c r="P15" i="1505" s="1"/>
  <c r="AC15" i="1505" s="1"/>
  <c r="O15" i="1505"/>
  <c r="M15" i="1505"/>
  <c r="AF14" i="1505"/>
  <c r="AB14" i="1505"/>
  <c r="Q14" i="1505"/>
  <c r="P14" i="1505"/>
  <c r="AC14" i="1505" s="1"/>
  <c r="O14" i="1505"/>
  <c r="M14" i="1505"/>
  <c r="K14" i="1505"/>
  <c r="AF13" i="1505"/>
  <c r="AB13" i="1505"/>
  <c r="Q13" i="1505"/>
  <c r="P13" i="1505"/>
  <c r="AC13" i="1505" s="1"/>
  <c r="AF12" i="1505"/>
  <c r="Q12" i="1505"/>
  <c r="AF11" i="1505"/>
  <c r="Q11" i="1505"/>
  <c r="P11" i="1505"/>
  <c r="AC11" i="1505" s="1"/>
  <c r="O11" i="1505"/>
  <c r="AB11" i="1505"/>
  <c r="AF10" i="1505"/>
  <c r="AC10" i="1505"/>
  <c r="AB10" i="1505"/>
  <c r="Q10" i="1505"/>
  <c r="P10" i="1505"/>
  <c r="O10" i="1505"/>
  <c r="M10" i="1505"/>
  <c r="K10" i="1505"/>
  <c r="AF9" i="1505"/>
  <c r="Q9" i="1505"/>
  <c r="O9" i="1505"/>
  <c r="AF8" i="1505"/>
  <c r="Q8" i="1505"/>
  <c r="P8" i="1505" s="1"/>
  <c r="AC8" i="1505" s="1"/>
  <c r="O8" i="1505"/>
  <c r="AB8" i="1505"/>
  <c r="AF7" i="1505"/>
  <c r="AC7" i="1505"/>
  <c r="AB7" i="1505"/>
  <c r="Q7" i="1505"/>
  <c r="P7" i="1505"/>
  <c r="O7" i="1505"/>
  <c r="M7" i="1505"/>
  <c r="K7" i="1505"/>
  <c r="AF6" i="1505"/>
  <c r="AB6" i="1505"/>
  <c r="Q6" i="1505"/>
  <c r="P6" i="1505"/>
  <c r="AC6" i="1505" s="1"/>
  <c r="O6" i="1505"/>
  <c r="M6" i="1505"/>
  <c r="K6" i="1505"/>
  <c r="AE19" i="1508" l="1"/>
  <c r="AE14" i="1508"/>
  <c r="AE11" i="1508"/>
  <c r="AE21" i="1508"/>
  <c r="AE18" i="1508"/>
  <c r="AE15" i="1508"/>
  <c r="AE20" i="1508"/>
  <c r="AE17" i="1508"/>
  <c r="AE8" i="1508"/>
  <c r="AE6" i="1508"/>
  <c r="AE9" i="1508"/>
  <c r="AE16" i="1508"/>
  <c r="AE13" i="1508"/>
  <c r="AE7" i="1508"/>
  <c r="AE12" i="1508"/>
  <c r="AD23" i="1507"/>
  <c r="AE21" i="1507" s="1"/>
  <c r="M21" i="1506"/>
  <c r="P21" i="1506"/>
  <c r="AC21" i="1506"/>
  <c r="AD13" i="1506"/>
  <c r="AD11" i="1506"/>
  <c r="AD21" i="1506" s="1"/>
  <c r="AF62" i="1505"/>
  <c r="P18" i="1505"/>
  <c r="AC18" i="1505" s="1"/>
  <c r="AD7" i="1505"/>
  <c r="M13" i="1505"/>
  <c r="M18" i="1505"/>
  <c r="O18" i="1505"/>
  <c r="AD18" i="1505" s="1"/>
  <c r="K12" i="1505"/>
  <c r="K21" i="1505" s="1"/>
  <c r="Q21" i="1505"/>
  <c r="AD8" i="1505"/>
  <c r="AD10" i="1505"/>
  <c r="AD15" i="1505"/>
  <c r="AD16" i="1505"/>
  <c r="AD17" i="1505"/>
  <c r="AD14" i="1505"/>
  <c r="AD6" i="1505"/>
  <c r="AD11" i="1505"/>
  <c r="P9" i="1505"/>
  <c r="AC9" i="1505" s="1"/>
  <c r="P12" i="1505"/>
  <c r="AC12" i="1505" s="1"/>
  <c r="O19" i="1505"/>
  <c r="AD19" i="1505" s="1"/>
  <c r="P20" i="1505"/>
  <c r="AC20" i="1505" s="1"/>
  <c r="M9" i="1505"/>
  <c r="AB9" i="1505"/>
  <c r="M12" i="1505"/>
  <c r="AB12" i="1505"/>
  <c r="O13" i="1505"/>
  <c r="AD13" i="1505" s="1"/>
  <c r="M20" i="1505"/>
  <c r="AB20" i="1505"/>
  <c r="L21" i="1505"/>
  <c r="O21" i="1505" s="1"/>
  <c r="M8" i="1505"/>
  <c r="M11" i="1505"/>
  <c r="M19" i="1505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L21" i="1504"/>
  <c r="O21" i="1504" s="1"/>
  <c r="L20" i="1504"/>
  <c r="L19" i="1504"/>
  <c r="M19" i="1504" s="1"/>
  <c r="L18" i="1504"/>
  <c r="K18" i="1504"/>
  <c r="K17" i="1504"/>
  <c r="L16" i="1504"/>
  <c r="K16" i="1504" s="1"/>
  <c r="K15" i="1504"/>
  <c r="L13" i="1504"/>
  <c r="K13" i="1504" s="1"/>
  <c r="L12" i="1504"/>
  <c r="L11" i="1504"/>
  <c r="K11" i="1504"/>
  <c r="L9" i="1504"/>
  <c r="K9" i="1504" s="1"/>
  <c r="L8" i="1504"/>
  <c r="K8" i="1504" s="1"/>
  <c r="K20" i="1504"/>
  <c r="K12" i="1504"/>
  <c r="A75" i="1504"/>
  <c r="A76" i="1504" s="1"/>
  <c r="A77" i="1504" s="1"/>
  <c r="A78" i="1504" s="1"/>
  <c r="A79" i="1504" s="1"/>
  <c r="A80" i="1504" s="1"/>
  <c r="A81" i="1504" s="1"/>
  <c r="A82" i="1504" s="1"/>
  <c r="AF61" i="1504"/>
  <c r="AF63" i="1504" s="1"/>
  <c r="AF60" i="1504"/>
  <c r="AA22" i="1504"/>
  <c r="Z22" i="1504"/>
  <c r="Y22" i="1504"/>
  <c r="X22" i="1504"/>
  <c r="W22" i="1504"/>
  <c r="V22" i="1504"/>
  <c r="U22" i="1504"/>
  <c r="T22" i="1504"/>
  <c r="S22" i="1504"/>
  <c r="R22" i="1504"/>
  <c r="N22" i="1504"/>
  <c r="J22" i="1504"/>
  <c r="I22" i="1504"/>
  <c r="AF21" i="1504"/>
  <c r="AB21" i="1504"/>
  <c r="Q21" i="1504"/>
  <c r="P21" i="1504"/>
  <c r="AC21" i="1504" s="1"/>
  <c r="M21" i="1504"/>
  <c r="AF20" i="1504"/>
  <c r="Q20" i="1504"/>
  <c r="AB20" i="1504"/>
  <c r="AF19" i="1504"/>
  <c r="Q19" i="1504"/>
  <c r="P19" i="1504" s="1"/>
  <c r="AC19" i="1504" s="1"/>
  <c r="AF18" i="1504"/>
  <c r="Q18" i="1504"/>
  <c r="O18" i="1504"/>
  <c r="P18" i="1504"/>
  <c r="AC18" i="1504" s="1"/>
  <c r="AF17" i="1504"/>
  <c r="AB17" i="1504"/>
  <c r="Q17" i="1504"/>
  <c r="P17" i="1504"/>
  <c r="AC17" i="1504" s="1"/>
  <c r="O17" i="1504"/>
  <c r="M17" i="1504"/>
  <c r="AF16" i="1504"/>
  <c r="AB16" i="1504"/>
  <c r="Q16" i="1504"/>
  <c r="P16" i="1504"/>
  <c r="AC16" i="1504" s="1"/>
  <c r="M16" i="1504"/>
  <c r="O16" i="1504"/>
  <c r="AF15" i="1504"/>
  <c r="AB15" i="1504"/>
  <c r="Q15" i="1504"/>
  <c r="P15" i="1504"/>
  <c r="AC15" i="1504" s="1"/>
  <c r="AD15" i="1504" s="1"/>
  <c r="O15" i="1504"/>
  <c r="M15" i="1504"/>
  <c r="AF14" i="1504"/>
  <c r="AC14" i="1504"/>
  <c r="AB14" i="1504"/>
  <c r="Q14" i="1504"/>
  <c r="P14" i="1504"/>
  <c r="O14" i="1504"/>
  <c r="M14" i="1504"/>
  <c r="K14" i="1504"/>
  <c r="AF13" i="1504"/>
  <c r="Q13" i="1504"/>
  <c r="M13" i="1504"/>
  <c r="AF12" i="1504"/>
  <c r="Q12" i="1504"/>
  <c r="AB12" i="1504"/>
  <c r="AF11" i="1504"/>
  <c r="AB11" i="1504"/>
  <c r="Q11" i="1504"/>
  <c r="P11" i="1504"/>
  <c r="AC11" i="1504" s="1"/>
  <c r="O11" i="1504"/>
  <c r="M11" i="1504"/>
  <c r="AF10" i="1504"/>
  <c r="AB10" i="1504"/>
  <c r="Q10" i="1504"/>
  <c r="P10" i="1504"/>
  <c r="AC10" i="1504" s="1"/>
  <c r="AD10" i="1504" s="1"/>
  <c r="O10" i="1504"/>
  <c r="M10" i="1504"/>
  <c r="K10" i="1504"/>
  <c r="AF9" i="1504"/>
  <c r="AB9" i="1504"/>
  <c r="Q9" i="1504"/>
  <c r="P9" i="1504"/>
  <c r="AC9" i="1504" s="1"/>
  <c r="M9" i="1504"/>
  <c r="O9" i="1504"/>
  <c r="AF8" i="1504"/>
  <c r="Q8" i="1504"/>
  <c r="O8" i="1504"/>
  <c r="P8" i="1504"/>
  <c r="AC8" i="1504" s="1"/>
  <c r="AF7" i="1504"/>
  <c r="AB7" i="1504"/>
  <c r="Q7" i="1504"/>
  <c r="P7" i="1504"/>
  <c r="AC7" i="1504" s="1"/>
  <c r="AD7" i="1504" s="1"/>
  <c r="O7" i="1504"/>
  <c r="M7" i="1504"/>
  <c r="K7" i="1504"/>
  <c r="AF6" i="1504"/>
  <c r="AB6" i="1504"/>
  <c r="Q6" i="1504"/>
  <c r="P6" i="1504"/>
  <c r="O6" i="1504"/>
  <c r="M6" i="1504"/>
  <c r="K6" i="1504"/>
  <c r="AE6" i="1507" l="1"/>
  <c r="AE16" i="1507"/>
  <c r="AE20" i="1507"/>
  <c r="AE17" i="1507"/>
  <c r="AE7" i="1507"/>
  <c r="AE22" i="1507"/>
  <c r="AE13" i="1507"/>
  <c r="AE18" i="1507"/>
  <c r="AE12" i="1507"/>
  <c r="AE8" i="1507"/>
  <c r="AE10" i="1507"/>
  <c r="AE9" i="1507"/>
  <c r="AE14" i="1507"/>
  <c r="AE11" i="1507"/>
  <c r="AE15" i="1507"/>
  <c r="AE19" i="1507"/>
  <c r="AE18" i="1506"/>
  <c r="AE15" i="1506"/>
  <c r="AE14" i="1506"/>
  <c r="AE19" i="1506"/>
  <c r="AE16" i="1506"/>
  <c r="AE10" i="1506"/>
  <c r="AE20" i="1506"/>
  <c r="AE17" i="1506"/>
  <c r="AE12" i="1506"/>
  <c r="AE9" i="1506"/>
  <c r="AE13" i="1506"/>
  <c r="AE7" i="1506"/>
  <c r="AE11" i="1506"/>
  <c r="AE8" i="1506"/>
  <c r="AE6" i="1506"/>
  <c r="AD20" i="1505"/>
  <c r="P21" i="1505"/>
  <c r="M21" i="1505"/>
  <c r="AB21" i="1505"/>
  <c r="AD12" i="1505"/>
  <c r="AC21" i="1505"/>
  <c r="AD9" i="1505"/>
  <c r="K21" i="1504"/>
  <c r="AB19" i="1504"/>
  <c r="K19" i="1504"/>
  <c r="K22" i="1504" s="1"/>
  <c r="O19" i="1504"/>
  <c r="O13" i="1504"/>
  <c r="P13" i="1504"/>
  <c r="AC13" i="1504" s="1"/>
  <c r="AB13" i="1504"/>
  <c r="Q22" i="1504"/>
  <c r="AD11" i="1504"/>
  <c r="AD14" i="1504"/>
  <c r="AD16" i="1504"/>
  <c r="AD21" i="1504"/>
  <c r="AD17" i="1504"/>
  <c r="AD9" i="1504"/>
  <c r="O12" i="1504"/>
  <c r="O20" i="1504"/>
  <c r="AC6" i="1504"/>
  <c r="M8" i="1504"/>
  <c r="AB8" i="1504"/>
  <c r="AD8" i="1504" s="1"/>
  <c r="P12" i="1504"/>
  <c r="AC12" i="1504" s="1"/>
  <c r="M18" i="1504"/>
  <c r="AB18" i="1504"/>
  <c r="AD18" i="1504" s="1"/>
  <c r="P20" i="1504"/>
  <c r="AC20" i="1504" s="1"/>
  <c r="L22" i="1504"/>
  <c r="O22" i="1504" s="1"/>
  <c r="M12" i="1504"/>
  <c r="M20" i="1504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L21" i="1503"/>
  <c r="L20" i="1503"/>
  <c r="L19" i="1503"/>
  <c r="K19" i="1503" s="1"/>
  <c r="L18" i="1503"/>
  <c r="K18" i="1503"/>
  <c r="AF17" i="1503"/>
  <c r="AB17" i="1503"/>
  <c r="Q17" i="1503"/>
  <c r="P17" i="1503"/>
  <c r="AC17" i="1503" s="1"/>
  <c r="AD17" i="1503" s="1"/>
  <c r="O17" i="1503"/>
  <c r="M17" i="1503"/>
  <c r="K17" i="1503"/>
  <c r="L16" i="1503"/>
  <c r="K16" i="1503"/>
  <c r="K13" i="1503"/>
  <c r="L12" i="1503"/>
  <c r="L9" i="1503"/>
  <c r="K9" i="1503"/>
  <c r="L8" i="1503"/>
  <c r="AD21" i="1505" l="1"/>
  <c r="AE18" i="1505" s="1"/>
  <c r="AE6" i="1505"/>
  <c r="AD20" i="1504"/>
  <c r="AD19" i="1504"/>
  <c r="AD13" i="1504"/>
  <c r="M22" i="1504"/>
  <c r="AD12" i="1504"/>
  <c r="AB22" i="1504"/>
  <c r="AC22" i="1504"/>
  <c r="AD6" i="1504"/>
  <c r="P22" i="1504"/>
  <c r="K21" i="1503"/>
  <c r="K20" i="1503"/>
  <c r="K12" i="1503"/>
  <c r="K10" i="1503"/>
  <c r="K8" i="1503"/>
  <c r="A76" i="1503"/>
  <c r="A77" i="1503" s="1"/>
  <c r="A78" i="1503" s="1"/>
  <c r="A79" i="1503" s="1"/>
  <c r="A80" i="1503" s="1"/>
  <c r="A81" i="1503" s="1"/>
  <c r="A82" i="1503" s="1"/>
  <c r="A75" i="1503"/>
  <c r="AF61" i="1503"/>
  <c r="AF60" i="1503"/>
  <c r="AF63" i="1503" s="1"/>
  <c r="AA22" i="1503"/>
  <c r="Z22" i="1503"/>
  <c r="Y22" i="1503"/>
  <c r="X22" i="1503"/>
  <c r="W22" i="1503"/>
  <c r="V22" i="1503"/>
  <c r="U22" i="1503"/>
  <c r="T22" i="1503"/>
  <c r="S22" i="1503"/>
  <c r="R22" i="1503"/>
  <c r="N22" i="1503"/>
  <c r="J22" i="1503"/>
  <c r="I22" i="1503"/>
  <c r="AF21" i="1503"/>
  <c r="Q21" i="1503"/>
  <c r="O21" i="1503"/>
  <c r="AF20" i="1503"/>
  <c r="AB20" i="1503"/>
  <c r="Q20" i="1503"/>
  <c r="P20" i="1503"/>
  <c r="AC20" i="1503" s="1"/>
  <c r="M20" i="1503"/>
  <c r="O20" i="1503"/>
  <c r="AF19" i="1503"/>
  <c r="AB19" i="1503"/>
  <c r="Q19" i="1503"/>
  <c r="P19" i="1503" s="1"/>
  <c r="AC19" i="1503" s="1"/>
  <c r="O19" i="1503"/>
  <c r="M19" i="1503"/>
  <c r="AF18" i="1503"/>
  <c r="AB18" i="1503"/>
  <c r="Q18" i="1503"/>
  <c r="P18" i="1503" s="1"/>
  <c r="AC18" i="1503" s="1"/>
  <c r="O18" i="1503"/>
  <c r="M18" i="1503"/>
  <c r="AF16" i="1503"/>
  <c r="Q16" i="1503"/>
  <c r="P16" i="1503" s="1"/>
  <c r="AC16" i="1503" s="1"/>
  <c r="O16" i="1503"/>
  <c r="AB16" i="1503"/>
  <c r="AF15" i="1503"/>
  <c r="AB15" i="1503"/>
  <c r="Q15" i="1503"/>
  <c r="P15" i="1503"/>
  <c r="AC15" i="1503" s="1"/>
  <c r="O15" i="1503"/>
  <c r="M15" i="1503"/>
  <c r="K15" i="1503"/>
  <c r="AF14" i="1503"/>
  <c r="AB14" i="1503"/>
  <c r="Q14" i="1503"/>
  <c r="P14" i="1503"/>
  <c r="AC14" i="1503" s="1"/>
  <c r="O14" i="1503"/>
  <c r="M14" i="1503"/>
  <c r="K14" i="1503"/>
  <c r="AF13" i="1503"/>
  <c r="AB13" i="1503"/>
  <c r="Q13" i="1503"/>
  <c r="P13" i="1503" s="1"/>
  <c r="AC13" i="1503" s="1"/>
  <c r="O13" i="1503"/>
  <c r="M13" i="1503"/>
  <c r="AF12" i="1503"/>
  <c r="Q12" i="1503"/>
  <c r="O12" i="1503"/>
  <c r="AF11" i="1503"/>
  <c r="AB11" i="1503"/>
  <c r="Q11" i="1503"/>
  <c r="P11" i="1503"/>
  <c r="AC11" i="1503" s="1"/>
  <c r="O11" i="1503"/>
  <c r="M11" i="1503"/>
  <c r="K11" i="1503"/>
  <c r="AF10" i="1503"/>
  <c r="AB10" i="1503"/>
  <c r="Q10" i="1503"/>
  <c r="P10" i="1503"/>
  <c r="AC10" i="1503" s="1"/>
  <c r="O10" i="1503"/>
  <c r="M10" i="1503"/>
  <c r="AF9" i="1503"/>
  <c r="Q9" i="1503"/>
  <c r="AB9" i="1503"/>
  <c r="AF8" i="1503"/>
  <c r="AB8" i="1503"/>
  <c r="Q8" i="1503"/>
  <c r="P8" i="1503" s="1"/>
  <c r="AC8" i="1503" s="1"/>
  <c r="M8" i="1503"/>
  <c r="L22" i="1503"/>
  <c r="O22" i="1503" s="1"/>
  <c r="AF7" i="1503"/>
  <c r="AB7" i="1503"/>
  <c r="Q7" i="1503"/>
  <c r="P7" i="1503"/>
  <c r="AC7" i="1503" s="1"/>
  <c r="AD7" i="1503" s="1"/>
  <c r="O7" i="1503"/>
  <c r="M7" i="1503"/>
  <c r="K7" i="1503"/>
  <c r="AF6" i="1503"/>
  <c r="AB6" i="1503"/>
  <c r="Q6" i="1503"/>
  <c r="P6" i="1503"/>
  <c r="AC6" i="1503" s="1"/>
  <c r="O6" i="1503"/>
  <c r="M6" i="1503"/>
  <c r="K6" i="1503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L20" i="1502"/>
  <c r="L19" i="1502"/>
  <c r="K19" i="1502" s="1"/>
  <c r="K17" i="1502"/>
  <c r="L16" i="1502"/>
  <c r="L13" i="1502"/>
  <c r="K13" i="1502" s="1"/>
  <c r="L12" i="1502"/>
  <c r="L10" i="1502"/>
  <c r="L9" i="1502"/>
  <c r="L8" i="1502"/>
  <c r="AE13" i="1505" l="1"/>
  <c r="AE8" i="1505"/>
  <c r="AE9" i="1505"/>
  <c r="AE14" i="1505"/>
  <c r="AE7" i="1505"/>
  <c r="AE16" i="1505"/>
  <c r="AE12" i="1505"/>
  <c r="AE20" i="1505"/>
  <c r="AE19" i="1505"/>
  <c r="AE10" i="1505"/>
  <c r="AE15" i="1505"/>
  <c r="AE11" i="1505"/>
  <c r="AE17" i="1505"/>
  <c r="AD22" i="1504"/>
  <c r="AE11" i="1504" s="1"/>
  <c r="Q22" i="1503"/>
  <c r="AD18" i="1503"/>
  <c r="AD11" i="1503"/>
  <c r="AD20" i="1503"/>
  <c r="AD10" i="1503"/>
  <c r="AD13" i="1503"/>
  <c r="AD15" i="1503"/>
  <c r="AD14" i="1503"/>
  <c r="AD19" i="1503"/>
  <c r="AD16" i="1503"/>
  <c r="K22" i="1503"/>
  <c r="O9" i="1503"/>
  <c r="AD6" i="1503"/>
  <c r="O8" i="1503"/>
  <c r="AD8" i="1503" s="1"/>
  <c r="P9" i="1503"/>
  <c r="AC9" i="1503" s="1"/>
  <c r="P12" i="1503"/>
  <c r="AC12" i="1503" s="1"/>
  <c r="M16" i="1503"/>
  <c r="P21" i="1503"/>
  <c r="AC21" i="1503" s="1"/>
  <c r="M9" i="1503"/>
  <c r="M12" i="1503"/>
  <c r="AB12" i="1503"/>
  <c r="M21" i="1503"/>
  <c r="AB21" i="1503"/>
  <c r="AE15" i="1504" l="1"/>
  <c r="AE21" i="1504"/>
  <c r="AE9" i="1504"/>
  <c r="AE8" i="1504"/>
  <c r="AE17" i="1504"/>
  <c r="AE6" i="1504"/>
  <c r="AE18" i="1504"/>
  <c r="AE12" i="1504"/>
  <c r="AE16" i="1504"/>
  <c r="AE7" i="1504"/>
  <c r="AE20" i="1504"/>
  <c r="AE19" i="1504"/>
  <c r="AE13" i="1504"/>
  <c r="AE10" i="1504"/>
  <c r="AE14" i="1504"/>
  <c r="AD21" i="1503"/>
  <c r="AB22" i="1503"/>
  <c r="M22" i="1503"/>
  <c r="AD9" i="1503"/>
  <c r="P22" i="1503"/>
  <c r="AD12" i="1503"/>
  <c r="AC22" i="1503"/>
  <c r="AD22" i="1503" l="1"/>
  <c r="AE19" i="1503" l="1"/>
  <c r="AE17" i="1503"/>
  <c r="AE15" i="1503"/>
  <c r="AE9" i="1503"/>
  <c r="AE8" i="1503"/>
  <c r="AE7" i="1503"/>
  <c r="AE6" i="1503"/>
  <c r="AE12" i="1503"/>
  <c r="AE16" i="1503"/>
  <c r="AE11" i="1503"/>
  <c r="AE10" i="1503"/>
  <c r="AE18" i="1503"/>
  <c r="AE14" i="1503"/>
  <c r="AE13" i="1503"/>
  <c r="AE21" i="1503"/>
  <c r="AE20" i="1503"/>
  <c r="K20" i="1502"/>
  <c r="K18" i="1502"/>
  <c r="K16" i="1502"/>
  <c r="K14" i="1502"/>
  <c r="K12" i="1502"/>
  <c r="K11" i="1502"/>
  <c r="K10" i="1502"/>
  <c r="K9" i="1502"/>
  <c r="K8" i="1502"/>
  <c r="A75" i="1502"/>
  <c r="A76" i="1502" s="1"/>
  <c r="A77" i="1502" s="1"/>
  <c r="A78" i="1502" s="1"/>
  <c r="A79" i="1502" s="1"/>
  <c r="A80" i="1502" s="1"/>
  <c r="A81" i="1502" s="1"/>
  <c r="A74" i="1502"/>
  <c r="AF60" i="1502"/>
  <c r="AF59" i="1502"/>
  <c r="AF62" i="1502" s="1"/>
  <c r="AA21" i="1502"/>
  <c r="Z21" i="1502"/>
  <c r="Y21" i="1502"/>
  <c r="X21" i="1502"/>
  <c r="W21" i="1502"/>
  <c r="V21" i="1502"/>
  <c r="U21" i="1502"/>
  <c r="T21" i="1502"/>
  <c r="S21" i="1502"/>
  <c r="R21" i="1502"/>
  <c r="N21" i="1502"/>
  <c r="J21" i="1502"/>
  <c r="I21" i="1502"/>
  <c r="AF20" i="1502"/>
  <c r="Q20" i="1502"/>
  <c r="O20" i="1502"/>
  <c r="AF19" i="1502"/>
  <c r="AB19" i="1502"/>
  <c r="Q19" i="1502"/>
  <c r="P19" i="1502" s="1"/>
  <c r="AC19" i="1502" s="1"/>
  <c r="O19" i="1502"/>
  <c r="M19" i="1502"/>
  <c r="AF18" i="1502"/>
  <c r="AB18" i="1502"/>
  <c r="Q18" i="1502"/>
  <c r="M18" i="1502"/>
  <c r="P18" i="1502"/>
  <c r="AC18" i="1502" s="1"/>
  <c r="AF17" i="1502"/>
  <c r="AB17" i="1502"/>
  <c r="Q17" i="1502"/>
  <c r="P17" i="1502"/>
  <c r="AC17" i="1502" s="1"/>
  <c r="O17" i="1502"/>
  <c r="M17" i="1502"/>
  <c r="AF16" i="1502"/>
  <c r="AB16" i="1502"/>
  <c r="Q16" i="1502"/>
  <c r="P16" i="1502" s="1"/>
  <c r="AC16" i="1502" s="1"/>
  <c r="O16" i="1502"/>
  <c r="M16" i="1502"/>
  <c r="AF15" i="1502"/>
  <c r="AB15" i="1502"/>
  <c r="Q15" i="1502"/>
  <c r="P15" i="1502"/>
  <c r="AC15" i="1502" s="1"/>
  <c r="O15" i="1502"/>
  <c r="M15" i="1502"/>
  <c r="K15" i="1502"/>
  <c r="AF14" i="1502"/>
  <c r="AB14" i="1502"/>
  <c r="Q14" i="1502"/>
  <c r="P14" i="1502"/>
  <c r="AC14" i="1502" s="1"/>
  <c r="O14" i="1502"/>
  <c r="M14" i="1502"/>
  <c r="AF13" i="1502"/>
  <c r="AB13" i="1502"/>
  <c r="Q13" i="1502"/>
  <c r="P13" i="1502" s="1"/>
  <c r="AC13" i="1502" s="1"/>
  <c r="O13" i="1502"/>
  <c r="M13" i="1502"/>
  <c r="AF12" i="1502"/>
  <c r="Q12" i="1502"/>
  <c r="O12" i="1502"/>
  <c r="AF11" i="1502"/>
  <c r="AB11" i="1502"/>
  <c r="Q11" i="1502"/>
  <c r="P11" i="1502"/>
  <c r="AC11" i="1502" s="1"/>
  <c r="O11" i="1502"/>
  <c r="M11" i="1502"/>
  <c r="AF10" i="1502"/>
  <c r="Q10" i="1502"/>
  <c r="O10" i="1502"/>
  <c r="P10" i="1502"/>
  <c r="AC10" i="1502" s="1"/>
  <c r="AF9" i="1502"/>
  <c r="AB9" i="1502"/>
  <c r="Q9" i="1502"/>
  <c r="P9" i="1502" s="1"/>
  <c r="AC9" i="1502" s="1"/>
  <c r="M9" i="1502"/>
  <c r="AF8" i="1502"/>
  <c r="Q8" i="1502"/>
  <c r="O8" i="1502"/>
  <c r="AF7" i="1502"/>
  <c r="AB7" i="1502"/>
  <c r="Q7" i="1502"/>
  <c r="P7" i="1502"/>
  <c r="AC7" i="1502" s="1"/>
  <c r="O7" i="1502"/>
  <c r="M7" i="1502"/>
  <c r="K7" i="1502"/>
  <c r="AF6" i="1502"/>
  <c r="AB6" i="1502"/>
  <c r="Q6" i="1502"/>
  <c r="P6" i="1502"/>
  <c r="O6" i="1502"/>
  <c r="M6" i="1502"/>
  <c r="K6" i="1502"/>
  <c r="AD16" i="1502" l="1"/>
  <c r="Q21" i="1502"/>
  <c r="AD7" i="1502"/>
  <c r="AD11" i="1502"/>
  <c r="AD15" i="1502"/>
  <c r="AD13" i="1502"/>
  <c r="AD14" i="1502"/>
  <c r="AD17" i="1502"/>
  <c r="AD19" i="1502"/>
  <c r="P8" i="1502"/>
  <c r="AC8" i="1502" s="1"/>
  <c r="M10" i="1502"/>
  <c r="AB10" i="1502"/>
  <c r="AD10" i="1502" s="1"/>
  <c r="P12" i="1502"/>
  <c r="AC12" i="1502" s="1"/>
  <c r="P20" i="1502"/>
  <c r="AC20" i="1502" s="1"/>
  <c r="AC6" i="1502"/>
  <c r="M8" i="1502"/>
  <c r="AB8" i="1502"/>
  <c r="O9" i="1502"/>
  <c r="AD9" i="1502" s="1"/>
  <c r="M12" i="1502"/>
  <c r="AB12" i="1502"/>
  <c r="O18" i="1502"/>
  <c r="AD18" i="1502" s="1"/>
  <c r="M20" i="1502"/>
  <c r="AB20" i="1502"/>
  <c r="L21" i="1502"/>
  <c r="O21" i="1502" s="1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L20" i="1501"/>
  <c r="K20" i="1501"/>
  <c r="L18" i="1501"/>
  <c r="K18" i="1501" s="1"/>
  <c r="L16" i="1501"/>
  <c r="L14" i="1501"/>
  <c r="K14" i="1501"/>
  <c r="L12" i="1501"/>
  <c r="K12" i="1501" s="1"/>
  <c r="L11" i="1501"/>
  <c r="O11" i="1501" s="1"/>
  <c r="L10" i="1501"/>
  <c r="K10" i="1501" s="1"/>
  <c r="L9" i="1501"/>
  <c r="AB9" i="1501" s="1"/>
  <c r="K9" i="1501"/>
  <c r="L8" i="1501"/>
  <c r="K19" i="1501"/>
  <c r="K17" i="1501"/>
  <c r="K16" i="1501"/>
  <c r="K8" i="1501"/>
  <c r="A74" i="1501"/>
  <c r="A75" i="1501" s="1"/>
  <c r="A76" i="1501" s="1"/>
  <c r="A77" i="1501" s="1"/>
  <c r="A78" i="1501" s="1"/>
  <c r="A79" i="1501" s="1"/>
  <c r="A80" i="1501" s="1"/>
  <c r="A81" i="1501" s="1"/>
  <c r="AF60" i="1501"/>
  <c r="AF59" i="1501"/>
  <c r="AF62" i="1501" s="1"/>
  <c r="AA21" i="1501"/>
  <c r="Z21" i="1501"/>
  <c r="Y21" i="1501"/>
  <c r="X21" i="1501"/>
  <c r="W21" i="1501"/>
  <c r="V21" i="1501"/>
  <c r="U21" i="1501"/>
  <c r="T21" i="1501"/>
  <c r="S21" i="1501"/>
  <c r="R21" i="1501"/>
  <c r="N21" i="1501"/>
  <c r="J21" i="1501"/>
  <c r="I21" i="1501"/>
  <c r="AF20" i="1501"/>
  <c r="Q20" i="1501"/>
  <c r="P20" i="1501"/>
  <c r="AC20" i="1501" s="1"/>
  <c r="AF19" i="1501"/>
  <c r="AB19" i="1501"/>
  <c r="Q19" i="1501"/>
  <c r="P19" i="1501"/>
  <c r="AC19" i="1501" s="1"/>
  <c r="AD19" i="1501" s="1"/>
  <c r="O19" i="1501"/>
  <c r="M19" i="1501"/>
  <c r="AF18" i="1501"/>
  <c r="Q18" i="1501"/>
  <c r="P18" i="1501"/>
  <c r="AC18" i="1501" s="1"/>
  <c r="AF17" i="1501"/>
  <c r="Q17" i="1501"/>
  <c r="P17" i="1501"/>
  <c r="AC17" i="1501" s="1"/>
  <c r="O17" i="1501"/>
  <c r="AF16" i="1501"/>
  <c r="Q16" i="1501"/>
  <c r="O16" i="1501"/>
  <c r="AB16" i="1501"/>
  <c r="AF15" i="1501"/>
  <c r="AB15" i="1501"/>
  <c r="Q15" i="1501"/>
  <c r="P15" i="1501"/>
  <c r="AC15" i="1501" s="1"/>
  <c r="AD15" i="1501" s="1"/>
  <c r="O15" i="1501"/>
  <c r="M15" i="1501"/>
  <c r="K15" i="1501"/>
  <c r="AF14" i="1501"/>
  <c r="AB14" i="1501"/>
  <c r="Q14" i="1501"/>
  <c r="O14" i="1501"/>
  <c r="M14" i="1501"/>
  <c r="AF13" i="1501"/>
  <c r="AC13" i="1501"/>
  <c r="AD13" i="1501" s="1"/>
  <c r="AB13" i="1501"/>
  <c r="Q13" i="1501"/>
  <c r="P13" i="1501"/>
  <c r="O13" i="1501"/>
  <c r="M13" i="1501"/>
  <c r="K13" i="1501"/>
  <c r="AF12" i="1501"/>
  <c r="Q12" i="1501"/>
  <c r="P12" i="1501"/>
  <c r="AC12" i="1501" s="1"/>
  <c r="O12" i="1501"/>
  <c r="AF11" i="1501"/>
  <c r="Q11" i="1501"/>
  <c r="P11" i="1501" s="1"/>
  <c r="AC11" i="1501" s="1"/>
  <c r="AF10" i="1501"/>
  <c r="AB10" i="1501"/>
  <c r="Q10" i="1501"/>
  <c r="P10" i="1501"/>
  <c r="AC10" i="1501" s="1"/>
  <c r="O10" i="1501"/>
  <c r="M10" i="1501"/>
  <c r="AF9" i="1501"/>
  <c r="Q9" i="1501"/>
  <c r="P9" i="1501" s="1"/>
  <c r="AC9" i="1501" s="1"/>
  <c r="O9" i="1501"/>
  <c r="M9" i="1501"/>
  <c r="AF8" i="1501"/>
  <c r="Q8" i="1501"/>
  <c r="P8" i="1501"/>
  <c r="AC8" i="1501" s="1"/>
  <c r="O8" i="1501"/>
  <c r="AB8" i="1501"/>
  <c r="AF7" i="1501"/>
  <c r="AC7" i="1501"/>
  <c r="AD7" i="1501" s="1"/>
  <c r="AB7" i="1501"/>
  <c r="Q7" i="1501"/>
  <c r="P7" i="1501"/>
  <c r="O7" i="1501"/>
  <c r="M7" i="1501"/>
  <c r="K7" i="1501"/>
  <c r="AF6" i="1501"/>
  <c r="AB6" i="1501"/>
  <c r="Q6" i="1501"/>
  <c r="P6" i="1501"/>
  <c r="AC6" i="1501" s="1"/>
  <c r="O6" i="1501"/>
  <c r="M6" i="1501"/>
  <c r="K6" i="1501"/>
  <c r="AD20" i="1502" l="1"/>
  <c r="M21" i="1502"/>
  <c r="AB21" i="1502"/>
  <c r="AD12" i="1502"/>
  <c r="K21" i="1502"/>
  <c r="AD8" i="1502"/>
  <c r="P21" i="1502"/>
  <c r="AC21" i="1502"/>
  <c r="AD6" i="1502"/>
  <c r="O20" i="1501"/>
  <c r="P16" i="1501"/>
  <c r="AC16" i="1501" s="1"/>
  <c r="P14" i="1501"/>
  <c r="AC14" i="1501" s="1"/>
  <c r="K11" i="1501"/>
  <c r="AB11" i="1501"/>
  <c r="AD11" i="1501" s="1"/>
  <c r="Q21" i="1501"/>
  <c r="AD14" i="1501"/>
  <c r="AD9" i="1501"/>
  <c r="AD10" i="1501"/>
  <c r="AD16" i="1501"/>
  <c r="AC21" i="1501"/>
  <c r="AD6" i="1501"/>
  <c r="AD8" i="1501"/>
  <c r="AB18" i="1501"/>
  <c r="M12" i="1501"/>
  <c r="AB12" i="1501"/>
  <c r="M17" i="1501"/>
  <c r="AB17" i="1501"/>
  <c r="AD17" i="1501" s="1"/>
  <c r="O18" i="1501"/>
  <c r="M20" i="1501"/>
  <c r="AB20" i="1501"/>
  <c r="AD20" i="1501" s="1"/>
  <c r="L21" i="1501"/>
  <c r="O21" i="1501" s="1"/>
  <c r="P21" i="1501"/>
  <c r="M18" i="1501"/>
  <c r="M8" i="1501"/>
  <c r="M11" i="1501"/>
  <c r="M16" i="1501"/>
  <c r="K21" i="1501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AE11" i="1500"/>
  <c r="AE12" i="1500"/>
  <c r="AE13" i="1500"/>
  <c r="AE14" i="1500"/>
  <c r="AE15" i="1500"/>
  <c r="AE16" i="1500"/>
  <c r="AE17" i="1500"/>
  <c r="AE18" i="1500"/>
  <c r="AE19" i="1500"/>
  <c r="AE20" i="1500"/>
  <c r="L20" i="1500"/>
  <c r="L18" i="1500"/>
  <c r="L17" i="1500"/>
  <c r="K17" i="1500"/>
  <c r="L16" i="1500"/>
  <c r="K16" i="1500" s="1"/>
  <c r="AD21" i="1502" l="1"/>
  <c r="AE13" i="1502" s="1"/>
  <c r="AB21" i="1501"/>
  <c r="M21" i="1501"/>
  <c r="AD18" i="1501"/>
  <c r="AD21" i="1501" s="1"/>
  <c r="AD12" i="1501"/>
  <c r="L12" i="1500"/>
  <c r="L11" i="1500"/>
  <c r="K11" i="1500" s="1"/>
  <c r="L10" i="1500"/>
  <c r="K10" i="1500" s="1"/>
  <c r="L8" i="1500"/>
  <c r="K8" i="1500" s="1"/>
  <c r="K20" i="1500"/>
  <c r="K19" i="1500"/>
  <c r="K18" i="1500"/>
  <c r="K12" i="1500"/>
  <c r="K9" i="1500"/>
  <c r="A74" i="1500"/>
  <c r="A75" i="1500" s="1"/>
  <c r="A76" i="1500" s="1"/>
  <c r="A77" i="1500" s="1"/>
  <c r="A78" i="1500" s="1"/>
  <c r="A79" i="1500" s="1"/>
  <c r="A80" i="1500" s="1"/>
  <c r="A81" i="1500" s="1"/>
  <c r="AF60" i="1500"/>
  <c r="AF59" i="1500"/>
  <c r="AF62" i="1500" s="1"/>
  <c r="AA21" i="1500"/>
  <c r="Z21" i="1500"/>
  <c r="Y21" i="1500"/>
  <c r="X21" i="1500"/>
  <c r="W21" i="1500"/>
  <c r="V21" i="1500"/>
  <c r="U21" i="1500"/>
  <c r="T21" i="1500"/>
  <c r="S21" i="1500"/>
  <c r="R21" i="1500"/>
  <c r="N21" i="1500"/>
  <c r="J21" i="1500"/>
  <c r="I21" i="1500"/>
  <c r="AF20" i="1500"/>
  <c r="Q20" i="1500"/>
  <c r="P20" i="1500"/>
  <c r="AC20" i="1500" s="1"/>
  <c r="O20" i="1500"/>
  <c r="AF19" i="1500"/>
  <c r="Q19" i="1500"/>
  <c r="P19" i="1500" s="1"/>
  <c r="AC19" i="1500" s="1"/>
  <c r="O19" i="1500"/>
  <c r="AB19" i="1500"/>
  <c r="AF18" i="1500"/>
  <c r="AB18" i="1500"/>
  <c r="Q18" i="1500"/>
  <c r="P18" i="1500"/>
  <c r="AC18" i="1500" s="1"/>
  <c r="O18" i="1500"/>
  <c r="M18" i="1500"/>
  <c r="AF17" i="1500"/>
  <c r="Q17" i="1500"/>
  <c r="P17" i="1500" s="1"/>
  <c r="AC17" i="1500" s="1"/>
  <c r="AF16" i="1500"/>
  <c r="Q16" i="1500"/>
  <c r="P16" i="1500" s="1"/>
  <c r="AC16" i="1500" s="1"/>
  <c r="O16" i="1500"/>
  <c r="AF15" i="1500"/>
  <c r="AC15" i="1500"/>
  <c r="AD15" i="1500" s="1"/>
  <c r="AB15" i="1500"/>
  <c r="Q15" i="1500"/>
  <c r="P15" i="1500"/>
  <c r="O15" i="1500"/>
  <c r="M15" i="1500"/>
  <c r="K15" i="1500"/>
  <c r="AF14" i="1500"/>
  <c r="AB14" i="1500"/>
  <c r="Q14" i="1500"/>
  <c r="P14" i="1500"/>
  <c r="AC14" i="1500" s="1"/>
  <c r="O14" i="1500"/>
  <c r="M14" i="1500"/>
  <c r="K14" i="1500"/>
  <c r="AF13" i="1500"/>
  <c r="AB13" i="1500"/>
  <c r="Q13" i="1500"/>
  <c r="P13" i="1500"/>
  <c r="AC13" i="1500" s="1"/>
  <c r="AD13" i="1500" s="1"/>
  <c r="O13" i="1500"/>
  <c r="M13" i="1500"/>
  <c r="K13" i="1500"/>
  <c r="AF12" i="1500"/>
  <c r="Q12" i="1500"/>
  <c r="P12" i="1500" s="1"/>
  <c r="AC12" i="1500" s="1"/>
  <c r="AF11" i="1500"/>
  <c r="AB11" i="1500"/>
  <c r="Q11" i="1500"/>
  <c r="O11" i="1500"/>
  <c r="M11" i="1500"/>
  <c r="AF10" i="1500"/>
  <c r="Q10" i="1500"/>
  <c r="O10" i="1500"/>
  <c r="M10" i="1500"/>
  <c r="P10" i="1500"/>
  <c r="AC10" i="1500" s="1"/>
  <c r="AF9" i="1500"/>
  <c r="Q9" i="1500"/>
  <c r="P9" i="1500"/>
  <c r="AC9" i="1500" s="1"/>
  <c r="AF8" i="1500"/>
  <c r="Q8" i="1500"/>
  <c r="P8" i="1500"/>
  <c r="AC8" i="1500" s="1"/>
  <c r="O8" i="1500"/>
  <c r="AF7" i="1500"/>
  <c r="AC7" i="1500"/>
  <c r="AD7" i="1500" s="1"/>
  <c r="AB7" i="1500"/>
  <c r="Q7" i="1500"/>
  <c r="P7" i="1500"/>
  <c r="O7" i="1500"/>
  <c r="M7" i="1500"/>
  <c r="K7" i="1500"/>
  <c r="AF6" i="1500"/>
  <c r="AB6" i="1500"/>
  <c r="Q6" i="1500"/>
  <c r="P6" i="1500"/>
  <c r="O6" i="1500"/>
  <c r="M6" i="1500"/>
  <c r="K6" i="1500"/>
  <c r="AE19" i="1502" l="1"/>
  <c r="AE16" i="1502"/>
  <c r="AE12" i="1502"/>
  <c r="AE6" i="1502"/>
  <c r="AE18" i="1502"/>
  <c r="AE8" i="1502"/>
  <c r="AE17" i="1502"/>
  <c r="AE11" i="1502"/>
  <c r="AE15" i="1502"/>
  <c r="AE14" i="1502"/>
  <c r="AE9" i="1502"/>
  <c r="AE7" i="1502"/>
  <c r="AE20" i="1502"/>
  <c r="AE10" i="1502"/>
  <c r="AE15" i="1501"/>
  <c r="AE13" i="1501"/>
  <c r="AE10" i="1501"/>
  <c r="AE7" i="1501"/>
  <c r="AE20" i="1501"/>
  <c r="AE17" i="1501"/>
  <c r="AE12" i="1501"/>
  <c r="AE6" i="1501"/>
  <c r="AE9" i="1501"/>
  <c r="AE19" i="1501"/>
  <c r="AE16" i="1501"/>
  <c r="AE11" i="1501"/>
  <c r="AE8" i="1501"/>
  <c r="AE14" i="1501"/>
  <c r="AE18" i="1501"/>
  <c r="AD18" i="1500"/>
  <c r="P11" i="1500"/>
  <c r="AC11" i="1500" s="1"/>
  <c r="AD11" i="1500" s="1"/>
  <c r="Q21" i="1500"/>
  <c r="AD10" i="1500"/>
  <c r="AB10" i="1500"/>
  <c r="AD14" i="1500"/>
  <c r="AD19" i="1500"/>
  <c r="M9" i="1500"/>
  <c r="AB12" i="1500"/>
  <c r="M17" i="1500"/>
  <c r="AC6" i="1500"/>
  <c r="M8" i="1500"/>
  <c r="AB8" i="1500"/>
  <c r="AD8" i="1500" s="1"/>
  <c r="O9" i="1500"/>
  <c r="K21" i="1500"/>
  <c r="O12" i="1500"/>
  <c r="M16" i="1500"/>
  <c r="AB16" i="1500"/>
  <c r="AD16" i="1500" s="1"/>
  <c r="O17" i="1500"/>
  <c r="M20" i="1500"/>
  <c r="AB20" i="1500"/>
  <c r="AD20" i="1500" s="1"/>
  <c r="L21" i="1500"/>
  <c r="O21" i="1500" s="1"/>
  <c r="AB9" i="1500"/>
  <c r="AD9" i="1500" s="1"/>
  <c r="M12" i="1500"/>
  <c r="AB17" i="1500"/>
  <c r="M19" i="1500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L20" i="1499"/>
  <c r="K20" i="1499" s="1"/>
  <c r="L19" i="1499"/>
  <c r="L18" i="1499"/>
  <c r="L17" i="1499"/>
  <c r="K17" i="1499"/>
  <c r="L16" i="1499"/>
  <c r="K16" i="1499"/>
  <c r="L12" i="1499"/>
  <c r="K12" i="1499"/>
  <c r="L10" i="1499"/>
  <c r="L9" i="1499"/>
  <c r="K9" i="1499"/>
  <c r="L8" i="1499"/>
  <c r="P21" i="1500" l="1"/>
  <c r="AD17" i="1500"/>
  <c r="AD12" i="1500"/>
  <c r="M21" i="1500"/>
  <c r="AC21" i="1500"/>
  <c r="AD6" i="1500"/>
  <c r="AB21" i="1500"/>
  <c r="K19" i="1499"/>
  <c r="K18" i="1499"/>
  <c r="K13" i="1499"/>
  <c r="K11" i="1499"/>
  <c r="K10" i="1499"/>
  <c r="K8" i="1499"/>
  <c r="AD21" i="1500" l="1"/>
  <c r="AE10" i="1500" s="1"/>
  <c r="A74" i="1499"/>
  <c r="A75" i="1499" s="1"/>
  <c r="A76" i="1499" s="1"/>
  <c r="A77" i="1499" s="1"/>
  <c r="A78" i="1499" s="1"/>
  <c r="A79" i="1499" s="1"/>
  <c r="A80" i="1499" s="1"/>
  <c r="A81" i="1499" s="1"/>
  <c r="AF60" i="1499"/>
  <c r="AF59" i="1499"/>
  <c r="AF62" i="1499" s="1"/>
  <c r="AA21" i="1499"/>
  <c r="Z21" i="1499"/>
  <c r="Y21" i="1499"/>
  <c r="X21" i="1499"/>
  <c r="W21" i="1499"/>
  <c r="V21" i="1499"/>
  <c r="U21" i="1499"/>
  <c r="T21" i="1499"/>
  <c r="S21" i="1499"/>
  <c r="R21" i="1499"/>
  <c r="N21" i="1499"/>
  <c r="J21" i="1499"/>
  <c r="I21" i="1499"/>
  <c r="AF20" i="1499"/>
  <c r="Q20" i="1499"/>
  <c r="O20" i="1499"/>
  <c r="AF19" i="1499"/>
  <c r="Q19" i="1499"/>
  <c r="P19" i="1499" s="1"/>
  <c r="AC19" i="1499" s="1"/>
  <c r="AB19" i="1499"/>
  <c r="AF18" i="1499"/>
  <c r="Q18" i="1499"/>
  <c r="P18" i="1499"/>
  <c r="AC18" i="1499" s="1"/>
  <c r="O18" i="1499"/>
  <c r="AB18" i="1499"/>
  <c r="AF17" i="1499"/>
  <c r="AB17" i="1499"/>
  <c r="Q17" i="1499"/>
  <c r="P17" i="1499" s="1"/>
  <c r="AC17" i="1499" s="1"/>
  <c r="O17" i="1499"/>
  <c r="M17" i="1499"/>
  <c r="AF16" i="1499"/>
  <c r="Q16" i="1499"/>
  <c r="P16" i="1499" s="1"/>
  <c r="AC16" i="1499" s="1"/>
  <c r="AB16" i="1499"/>
  <c r="AF15" i="1499"/>
  <c r="AB15" i="1499"/>
  <c r="Q15" i="1499"/>
  <c r="P15" i="1499"/>
  <c r="AC15" i="1499" s="1"/>
  <c r="O15" i="1499"/>
  <c r="M15" i="1499"/>
  <c r="K15" i="1499"/>
  <c r="AF14" i="1499"/>
  <c r="AB14" i="1499"/>
  <c r="Q14" i="1499"/>
  <c r="P14" i="1499"/>
  <c r="AC14" i="1499" s="1"/>
  <c r="O14" i="1499"/>
  <c r="M14" i="1499"/>
  <c r="K14" i="1499"/>
  <c r="AF13" i="1499"/>
  <c r="Q13" i="1499"/>
  <c r="P13" i="1499" s="1"/>
  <c r="AC13" i="1499" s="1"/>
  <c r="O13" i="1499"/>
  <c r="AB13" i="1499"/>
  <c r="AF12" i="1499"/>
  <c r="Q12" i="1499"/>
  <c r="P12" i="1499" s="1"/>
  <c r="AC12" i="1499" s="1"/>
  <c r="AB12" i="1499"/>
  <c r="AF11" i="1499"/>
  <c r="Q11" i="1499"/>
  <c r="P11" i="1499" s="1"/>
  <c r="AC11" i="1499" s="1"/>
  <c r="O11" i="1499"/>
  <c r="AB11" i="1499"/>
  <c r="AF10" i="1499"/>
  <c r="AB10" i="1499"/>
  <c r="Q10" i="1499"/>
  <c r="P10" i="1499" s="1"/>
  <c r="AC10" i="1499" s="1"/>
  <c r="O10" i="1499"/>
  <c r="M10" i="1499"/>
  <c r="AF9" i="1499"/>
  <c r="AB9" i="1499"/>
  <c r="Q9" i="1499"/>
  <c r="P9" i="1499" s="1"/>
  <c r="AC9" i="1499" s="1"/>
  <c r="O9" i="1499"/>
  <c r="M9" i="1499"/>
  <c r="AF8" i="1499"/>
  <c r="Q8" i="1499"/>
  <c r="P8" i="1499" s="1"/>
  <c r="AC8" i="1499" s="1"/>
  <c r="O8" i="1499"/>
  <c r="L21" i="1499"/>
  <c r="O21" i="1499" s="1"/>
  <c r="AF7" i="1499"/>
  <c r="AB7" i="1499"/>
  <c r="Q7" i="1499"/>
  <c r="P7" i="1499"/>
  <c r="AC7" i="1499" s="1"/>
  <c r="O7" i="1499"/>
  <c r="M7" i="1499"/>
  <c r="K7" i="1499"/>
  <c r="AF6" i="1499"/>
  <c r="AB6" i="1499"/>
  <c r="Q6" i="1499"/>
  <c r="P6" i="1499"/>
  <c r="O6" i="1499"/>
  <c r="M6" i="1499"/>
  <c r="K6" i="1499"/>
  <c r="AE6" i="1500" l="1"/>
  <c r="AE8" i="1500"/>
  <c r="AE7" i="1500"/>
  <c r="AE9" i="1500"/>
  <c r="AD7" i="1499"/>
  <c r="AD10" i="1499"/>
  <c r="AD9" i="1499"/>
  <c r="Q21" i="1499"/>
  <c r="AD14" i="1499"/>
  <c r="AD15" i="1499"/>
  <c r="AD17" i="1499"/>
  <c r="AD11" i="1499"/>
  <c r="AD13" i="1499"/>
  <c r="AD18" i="1499"/>
  <c r="K21" i="1499"/>
  <c r="M12" i="1499"/>
  <c r="AC6" i="1499"/>
  <c r="M8" i="1499"/>
  <c r="AB8" i="1499"/>
  <c r="AD8" i="1499" s="1"/>
  <c r="M11" i="1499"/>
  <c r="O12" i="1499"/>
  <c r="AD12" i="1499" s="1"/>
  <c r="M13" i="1499"/>
  <c r="O16" i="1499"/>
  <c r="AD16" i="1499" s="1"/>
  <c r="M18" i="1499"/>
  <c r="O19" i="1499"/>
  <c r="AD19" i="1499" s="1"/>
  <c r="P20" i="1499"/>
  <c r="AC20" i="1499" s="1"/>
  <c r="M20" i="1499"/>
  <c r="AB20" i="1499"/>
  <c r="M16" i="1499"/>
  <c r="M19" i="1499"/>
  <c r="AD20" i="1499" l="1"/>
  <c r="M21" i="1499"/>
  <c r="P21" i="1499"/>
  <c r="AB21" i="1499"/>
  <c r="AC21" i="1499"/>
  <c r="AD6" i="1499"/>
  <c r="AD21" i="1499" l="1"/>
  <c r="AE19" i="1499"/>
  <c r="AE18" i="1499"/>
  <c r="AE15" i="1499"/>
  <c r="AE13" i="1499"/>
  <c r="AE11" i="1499"/>
  <c r="AE12" i="1499"/>
  <c r="AE6" i="1499"/>
  <c r="AE16" i="1499"/>
  <c r="AE14" i="1499"/>
  <c r="AE9" i="1499"/>
  <c r="AE17" i="1499"/>
  <c r="AE10" i="1499"/>
  <c r="AE7" i="1499"/>
  <c r="AE8" i="1499"/>
  <c r="AE20" i="1499"/>
  <c r="AG18" i="16" l="1"/>
  <c r="AG17" i="16"/>
  <c r="AG15" i="16"/>
  <c r="AG14" i="16"/>
  <c r="AG13" i="16"/>
  <c r="AG11" i="16"/>
  <c r="AG10" i="16"/>
  <c r="AG9" i="16"/>
  <c r="AG8" i="16"/>
  <c r="AG7" i="16"/>
  <c r="AG6" i="16"/>
  <c r="AG5" i="16"/>
  <c r="AG4" i="16"/>
  <c r="AG3" i="16"/>
  <c r="AG16" i="16"/>
  <c r="AG12" i="16"/>
</calcChain>
</file>

<file path=xl/sharedStrings.xml><?xml version="1.0" encoding="utf-8"?>
<sst xmlns="http://schemas.openxmlformats.org/spreadsheetml/2006/main" count="4849" uniqueCount="544">
  <si>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</si>
  <si>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</si>
  <si>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</si>
  <si>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</si>
  <si>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</si>
  <si>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</si>
  <si>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</si>
  <si>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</si>
  <si>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</si>
  <si>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</si>
  <si>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</si>
  <si>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</si>
  <si>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</si>
  <si>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</si>
  <si>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</si>
  <si>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</si>
  <si>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</si>
  <si>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</si>
  <si>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</si>
  <si>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</si>
  <si>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</si>
  <si>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</si>
  <si>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</si>
  <si>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</si>
  <si>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</si>
  <si>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</si>
  <si>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</si>
  <si>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</si>
  <si>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</si>
  <si>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</si>
  <si>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</si>
  <si>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</si>
  <si>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</si>
  <si>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</si>
  <si>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</si>
  <si>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</si>
  <si>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</si>
  <si>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</si>
  <si>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</si>
  <si>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</si>
  <si>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</si>
  <si>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</si>
  <si>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</si>
  <si>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</si>
  <si>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</si>
  <si>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</si>
  <si>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</si>
  <si>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</si>
  <si>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</si>
  <si>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</si>
  <si>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</si>
  <si>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</si>
  <si>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</si>
  <si>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</si>
  <si>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</si>
  <si>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</si>
  <si>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</si>
  <si>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</si>
  <si>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</si>
  <si>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</si>
  <si>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</si>
  <si>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</si>
  <si>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</si>
  <si>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</si>
  <si>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</si>
  <si>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</si>
  <si>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</si>
  <si>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</si>
  <si>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</si>
  <si>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</si>
  <si>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</si>
  <si>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</si>
  <si>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</si>
  <si>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14호기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</si>
  <si>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</si>
  <si>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</si>
  <si>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</si>
  <si>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</si>
  <si>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</si>
  <si>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</si>
  <si>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</si>
  <si>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</si>
  <si>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</si>
  <si>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</si>
  <si>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</si>
  <si>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</si>
  <si>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</si>
  <si>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</si>
  <si>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</si>
  <si>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</si>
  <si>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</si>
  <si>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</si>
  <si>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</si>
  <si>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</si>
  <si>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</si>
  <si>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</si>
  <si>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</si>
  <si>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</si>
  <si>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</si>
  <si>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</si>
  <si>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</si>
  <si>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</si>
  <si>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</si>
  <si>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</si>
  <si>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</si>
  <si>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</si>
  <si>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</si>
  <si>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</si>
  <si>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</si>
  <si>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</si>
  <si>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</si>
  <si>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15호기</t>
    <phoneticPr fontId="2" type="noConversion"/>
  </si>
  <si>
    <t>고객사</t>
    <phoneticPr fontId="2" type="noConversion"/>
  </si>
  <si>
    <t>순위</t>
    <phoneticPr fontId="2" type="noConversion"/>
  </si>
  <si>
    <t>MCS</t>
    <phoneticPr fontId="2" type="noConversion"/>
  </si>
  <si>
    <t>DI</t>
    <phoneticPr fontId="2" type="noConversion"/>
  </si>
  <si>
    <t>PA46</t>
    <phoneticPr fontId="2" type="noConversion"/>
  </si>
  <si>
    <t>BASE</t>
    <phoneticPr fontId="2" type="noConversion"/>
  </si>
  <si>
    <t>AMB0114H-JAA-R1</t>
    <phoneticPr fontId="2" type="noConversion"/>
  </si>
  <si>
    <t>BODY</t>
    <phoneticPr fontId="2" type="noConversion"/>
  </si>
  <si>
    <t>발주분양산</t>
    <phoneticPr fontId="2" type="noConversion"/>
  </si>
  <si>
    <t>SGF2033</t>
    <phoneticPr fontId="2" type="noConversion"/>
  </si>
  <si>
    <t>STOPPER</t>
    <phoneticPr fontId="2" type="noConversion"/>
  </si>
  <si>
    <t>SF2255</t>
    <phoneticPr fontId="2" type="noConversion"/>
  </si>
  <si>
    <t>SST</t>
    <phoneticPr fontId="2" type="noConversion"/>
  </si>
  <si>
    <t>ACTUATOR</t>
    <phoneticPr fontId="2" type="noConversion"/>
  </si>
  <si>
    <t>수리후양산</t>
    <phoneticPr fontId="2" type="noConversion"/>
  </si>
  <si>
    <t>SGF2030</t>
    <phoneticPr fontId="2" type="noConversion"/>
  </si>
  <si>
    <t>13</t>
    <phoneticPr fontId="2" type="noConversion"/>
  </si>
  <si>
    <t>COVER</t>
    <phoneticPr fontId="2" type="noConversion"/>
  </si>
  <si>
    <t>JD4901</t>
    <phoneticPr fontId="2" type="noConversion"/>
  </si>
  <si>
    <t>7301</t>
    <phoneticPr fontId="2" type="noConversion"/>
  </si>
  <si>
    <t>SGF2050</t>
    <phoneticPr fontId="2" type="noConversion"/>
  </si>
  <si>
    <t>LEAD GUIDE</t>
    <phoneticPr fontId="2" type="noConversion"/>
  </si>
  <si>
    <t>SF2255 I/V</t>
    <phoneticPr fontId="2" type="noConversion"/>
  </si>
  <si>
    <t>ADAPTER</t>
    <phoneticPr fontId="2" type="noConversion"/>
  </si>
  <si>
    <t>5</t>
    <phoneticPr fontId="2" type="noConversion"/>
  </si>
  <si>
    <t>AMB1901D-JAA-R2</t>
    <phoneticPr fontId="2" type="noConversion"/>
  </si>
  <si>
    <t>6</t>
    <phoneticPr fontId="2" type="noConversion"/>
  </si>
  <si>
    <t>BR88-127A1-1</t>
    <phoneticPr fontId="2" type="noConversion"/>
  </si>
  <si>
    <t>HICON</t>
    <phoneticPr fontId="2" type="noConversion"/>
  </si>
  <si>
    <t>88P</t>
    <phoneticPr fontId="2" type="noConversion"/>
  </si>
  <si>
    <t>AYE</t>
    <phoneticPr fontId="2" type="noConversion"/>
  </si>
  <si>
    <t>12</t>
    <phoneticPr fontId="2" type="noConversion"/>
  </si>
  <si>
    <t>KR6414-D414PA</t>
    <phoneticPr fontId="2" type="noConversion"/>
  </si>
  <si>
    <t>3</t>
    <phoneticPr fontId="2" type="noConversion"/>
  </si>
  <si>
    <t>KR6414-B414UA</t>
    <phoneticPr fontId="2" type="noConversion"/>
  </si>
  <si>
    <t>KR6414-F414UA</t>
    <phoneticPr fontId="2" type="noConversion"/>
  </si>
  <si>
    <t>AMB07U9A-KAA-R1</t>
    <phoneticPr fontId="2" type="noConversion"/>
  </si>
  <si>
    <t>발주분양산-&gt;코아파손수리</t>
    <phoneticPr fontId="2" type="noConversion"/>
  </si>
  <si>
    <t>NP595-362-011#SP</t>
    <phoneticPr fontId="2" type="noConversion"/>
  </si>
  <si>
    <t>SP</t>
    <phoneticPr fontId="2" type="noConversion"/>
  </si>
  <si>
    <t>SEPARATOR</t>
    <phoneticPr fontId="2" type="noConversion"/>
  </si>
  <si>
    <t>2*1</t>
    <phoneticPr fontId="2" type="noConversion"/>
  </si>
  <si>
    <t>SP-A/B</t>
    <phoneticPr fontId="2" type="noConversion"/>
  </si>
  <si>
    <t>NP595-362-011#SP-A/B</t>
    <phoneticPr fontId="2" type="noConversion"/>
  </si>
  <si>
    <t>가스</t>
    <phoneticPr fontId="2" type="noConversion"/>
  </si>
  <si>
    <t>K-JR01928-CO1AWA</t>
    <phoneticPr fontId="2" type="noConversion"/>
  </si>
  <si>
    <t>KR6197AB841CB</t>
    <phoneticPr fontId="2" type="noConversion"/>
  </si>
  <si>
    <r>
      <t>2019년 08월 01일 일일생산현황</t>
    </r>
    <r>
      <rPr>
        <b/>
        <sz val="14"/>
        <color indexed="8"/>
        <rFont val="굴림체"/>
        <family val="3"/>
        <charset val="129"/>
      </rPr>
      <t>(02일 09시 현재)</t>
    </r>
    <phoneticPr fontId="2" type="noConversion"/>
  </si>
  <si>
    <t>08월 호기별 가동현황</t>
    <phoneticPr fontId="2" type="noConversion"/>
  </si>
  <si>
    <t>KR6414-C414TA</t>
    <phoneticPr fontId="2" type="noConversion"/>
  </si>
  <si>
    <t>22P</t>
    <phoneticPr fontId="2" type="noConversion"/>
  </si>
  <si>
    <t>전일 ISSUE 사항(01일)</t>
    <phoneticPr fontId="2" type="noConversion"/>
  </si>
  <si>
    <t>수리후양산-&gt;뜯김2회수리</t>
    <phoneticPr fontId="2" type="noConversion"/>
  </si>
  <si>
    <t>11</t>
    <phoneticPr fontId="2" type="noConversion"/>
  </si>
  <si>
    <t>밀핀수리</t>
    <phoneticPr fontId="2" type="noConversion"/>
  </si>
  <si>
    <t>DI</t>
    <phoneticPr fontId="2" type="noConversion"/>
  </si>
  <si>
    <t>15</t>
    <phoneticPr fontId="2" type="noConversion"/>
  </si>
  <si>
    <t>22P</t>
    <phoneticPr fontId="2" type="noConversion"/>
  </si>
  <si>
    <t>발주분양산-&gt;BURR정지</t>
    <phoneticPr fontId="2" type="noConversion"/>
  </si>
  <si>
    <t>12</t>
    <phoneticPr fontId="2" type="noConversion"/>
  </si>
  <si>
    <t>ADAPTER</t>
    <phoneticPr fontId="2" type="noConversion"/>
  </si>
  <si>
    <t>AMB07U9A-KAA-R1</t>
    <phoneticPr fontId="2" type="noConversion"/>
  </si>
  <si>
    <t>당일 진행 사항(02일)</t>
    <phoneticPr fontId="2" type="noConversion"/>
  </si>
  <si>
    <t>KR6197-D475PA</t>
    <phoneticPr fontId="2" type="noConversion"/>
  </si>
  <si>
    <t>7</t>
    <phoneticPr fontId="2" type="noConversion"/>
  </si>
  <si>
    <t>BASE</t>
    <phoneticPr fontId="2" type="noConversion"/>
  </si>
  <si>
    <t>KR6197AB841CB</t>
    <phoneticPr fontId="2" type="noConversion"/>
  </si>
  <si>
    <t>11</t>
    <phoneticPr fontId="2" type="noConversion"/>
  </si>
  <si>
    <t>KR6182-D624PA</t>
    <phoneticPr fontId="2" type="noConversion"/>
  </si>
  <si>
    <t>KR6197-GM253QA</t>
    <phoneticPr fontId="2" type="noConversion"/>
  </si>
  <si>
    <t>SAMPLE 진행 사항(01일)</t>
    <phoneticPr fontId="2" type="noConversion"/>
  </si>
  <si>
    <t>금형 수리 내역(01일)</t>
    <phoneticPr fontId="2" type="noConversion"/>
  </si>
  <si>
    <t>설비 점검 내역(01일)</t>
    <phoneticPr fontId="2" type="noConversion"/>
  </si>
  <si>
    <r>
      <t>2019년 08월 02일 일일생산현황</t>
    </r>
    <r>
      <rPr>
        <b/>
        <sz val="14"/>
        <color indexed="8"/>
        <rFont val="굴림체"/>
        <family val="3"/>
        <charset val="129"/>
      </rPr>
      <t>(03일 09시 현재)</t>
    </r>
    <phoneticPr fontId="2" type="noConversion"/>
  </si>
  <si>
    <t>전일 ISSUE 사항(02일)</t>
    <phoneticPr fontId="2" type="noConversion"/>
  </si>
  <si>
    <t>발주분양산-&gt;코아파손정지</t>
    <phoneticPr fontId="2" type="noConversion"/>
  </si>
  <si>
    <t>당일 진행 사항(03일)</t>
    <phoneticPr fontId="2" type="noConversion"/>
  </si>
  <si>
    <t>4</t>
    <phoneticPr fontId="2" type="noConversion"/>
  </si>
  <si>
    <t>미성형정지</t>
    <phoneticPr fontId="2" type="noConversion"/>
  </si>
  <si>
    <t>9</t>
    <phoneticPr fontId="2" type="noConversion"/>
  </si>
  <si>
    <t>FRONT/REAR</t>
    <phoneticPr fontId="2" type="noConversion"/>
  </si>
  <si>
    <t>07401-10301-41</t>
    <phoneticPr fontId="2" type="noConversion"/>
  </si>
  <si>
    <t>SAMPLE 진행 사항(02일)</t>
    <phoneticPr fontId="2" type="noConversion"/>
  </si>
  <si>
    <t>AMB09F4A-KAA-R1</t>
    <phoneticPr fontId="2" type="noConversion"/>
  </si>
  <si>
    <t>L/P</t>
    <phoneticPr fontId="2" type="noConversion"/>
  </si>
  <si>
    <t>요청</t>
    <phoneticPr fontId="2" type="noConversion"/>
  </si>
  <si>
    <t>NP636-2406-001#SP-A</t>
    <phoneticPr fontId="2" type="noConversion"/>
  </si>
  <si>
    <t>SGP2030R</t>
    <phoneticPr fontId="2" type="noConversion"/>
  </si>
  <si>
    <t>부족분</t>
    <phoneticPr fontId="2" type="noConversion"/>
  </si>
  <si>
    <t>SP-A</t>
    <phoneticPr fontId="2" type="noConversion"/>
  </si>
  <si>
    <t>NP413-187-092#IN-B</t>
    <phoneticPr fontId="2" type="noConversion"/>
  </si>
  <si>
    <t>신작</t>
    <phoneticPr fontId="2" type="noConversion"/>
  </si>
  <si>
    <t>8</t>
    <phoneticPr fontId="2" type="noConversion"/>
  </si>
  <si>
    <t>2C(상측박힘 3회)</t>
    <phoneticPr fontId="2" type="noConversion"/>
  </si>
  <si>
    <t>AMB0175A-KAA-R1</t>
    <phoneticPr fontId="2" type="noConversion"/>
  </si>
  <si>
    <t>수정</t>
    <phoneticPr fontId="2" type="noConversion"/>
  </si>
  <si>
    <t>NP413-082-092#GP</t>
    <phoneticPr fontId="2" type="noConversion"/>
  </si>
  <si>
    <t>SGP2030R N/P</t>
    <phoneticPr fontId="2" type="noConversion"/>
  </si>
  <si>
    <t>10</t>
    <phoneticPr fontId="2" type="noConversion"/>
  </si>
  <si>
    <t>단차</t>
    <phoneticPr fontId="2" type="noConversion"/>
  </si>
  <si>
    <t>AMB0471A-KAA-R1</t>
    <phoneticPr fontId="2" type="noConversion"/>
  </si>
  <si>
    <t>코아파손</t>
    <phoneticPr fontId="2" type="noConversion"/>
  </si>
  <si>
    <t>NP413-187-092#IN-A</t>
    <phoneticPr fontId="2" type="noConversion"/>
  </si>
  <si>
    <t>ACT</t>
    <phoneticPr fontId="2" type="noConversion"/>
  </si>
  <si>
    <t>SGF2041</t>
    <phoneticPr fontId="2" type="noConversion"/>
  </si>
  <si>
    <t>14</t>
    <phoneticPr fontId="2" type="noConversion"/>
  </si>
  <si>
    <t>금형 수리 내역(02일)</t>
    <phoneticPr fontId="2" type="noConversion"/>
  </si>
  <si>
    <t>설비 점검 내역(02일)</t>
    <phoneticPr fontId="2" type="noConversion"/>
  </si>
  <si>
    <r>
      <t>2019년 08월 03일 일일생산현황</t>
    </r>
    <r>
      <rPr>
        <b/>
        <sz val="14"/>
        <color indexed="8"/>
        <rFont val="굴림체"/>
        <family val="3"/>
        <charset val="129"/>
      </rPr>
      <t>(04일 09시 현재)</t>
    </r>
    <phoneticPr fontId="2" type="noConversion"/>
  </si>
  <si>
    <t>SLIDER</t>
    <phoneticPr fontId="2" type="noConversion"/>
  </si>
  <si>
    <t>KR6156FA841YA</t>
    <phoneticPr fontId="2" type="noConversion"/>
  </si>
  <si>
    <t>F/R</t>
    <phoneticPr fontId="2" type="noConversion"/>
  </si>
  <si>
    <t>07401-10300-41/1</t>
    <phoneticPr fontId="2" type="noConversion"/>
  </si>
  <si>
    <t>전일 ISSUE 사항(03일)</t>
    <phoneticPr fontId="2" type="noConversion"/>
  </si>
  <si>
    <t>코아파손2회수리후양산</t>
    <phoneticPr fontId="2" type="noConversion"/>
  </si>
  <si>
    <t>밀핀이상</t>
    <phoneticPr fontId="2" type="noConversion"/>
  </si>
  <si>
    <t>세척-&gt;뜯김-&gt;이물제거후양산</t>
    <phoneticPr fontId="2" type="noConversion"/>
  </si>
  <si>
    <t>TOP/BOTTOM</t>
    <phoneticPr fontId="2" type="noConversion"/>
  </si>
  <si>
    <t>HRCS-0011/12A</t>
    <phoneticPr fontId="2" type="noConversion"/>
  </si>
  <si>
    <t>발주분양산-&gt;상측물림정지</t>
    <phoneticPr fontId="2" type="noConversion"/>
  </si>
  <si>
    <t>당일 진행 사항(05일)</t>
    <phoneticPr fontId="2" type="noConversion"/>
  </si>
  <si>
    <t>STOPPER/HOLDER</t>
    <phoneticPr fontId="2" type="noConversion"/>
  </si>
  <si>
    <t>K-JR01860-D/H</t>
    <phoneticPr fontId="2" type="noConversion"/>
  </si>
  <si>
    <t>불량분양산</t>
    <phoneticPr fontId="2" type="noConversion"/>
  </si>
  <si>
    <t>HRCS-0011/12B</t>
    <phoneticPr fontId="2" type="noConversion"/>
  </si>
  <si>
    <t>SAMPLE 진행 사항(03일)</t>
    <phoneticPr fontId="2" type="noConversion"/>
  </si>
  <si>
    <t>F/A</t>
    <phoneticPr fontId="2" type="noConversion"/>
  </si>
  <si>
    <t>AMB20E3A-KAA-R1</t>
    <phoneticPr fontId="2" type="noConversion"/>
  </si>
  <si>
    <t>금형 수리 내역(03일)</t>
    <phoneticPr fontId="2" type="noConversion"/>
  </si>
  <si>
    <t>설비 점검 내역(03일)</t>
    <phoneticPr fontId="2" type="noConversion"/>
  </si>
  <si>
    <r>
      <t>2019년 08월 05일 일일생산현황</t>
    </r>
    <r>
      <rPr>
        <b/>
        <sz val="14"/>
        <color indexed="8"/>
        <rFont val="굴림체"/>
        <family val="3"/>
        <charset val="129"/>
      </rPr>
      <t>(06일 09시 현재)</t>
    </r>
    <phoneticPr fontId="2" type="noConversion"/>
  </si>
  <si>
    <t>HRCS-00C11/12B</t>
    <phoneticPr fontId="2" type="noConversion"/>
  </si>
  <si>
    <t>KR6411-GB036QA</t>
    <phoneticPr fontId="2" type="noConversion"/>
  </si>
  <si>
    <t>HOLDER/STOPPER</t>
    <phoneticPr fontId="2" type="noConversion"/>
  </si>
  <si>
    <t>K-JR01860-H/B01AZA</t>
    <phoneticPr fontId="2" type="noConversion"/>
  </si>
  <si>
    <t>SGP2020R</t>
    <phoneticPr fontId="2" type="noConversion"/>
  </si>
  <si>
    <t>수리후양산-&gt;코아파손정지</t>
    <phoneticPr fontId="2" type="noConversion"/>
  </si>
  <si>
    <t>코아파손정지</t>
    <phoneticPr fontId="2" type="noConversion"/>
  </si>
  <si>
    <t>뜯김-&gt;BURR정지</t>
    <phoneticPr fontId="2" type="noConversion"/>
  </si>
  <si>
    <t>발주분양산-&gt;각인수리</t>
    <phoneticPr fontId="2" type="noConversion"/>
  </si>
  <si>
    <t>발주분양산-&gt;미성형정지</t>
    <phoneticPr fontId="2" type="noConversion"/>
  </si>
  <si>
    <t>ST/HOL</t>
    <phoneticPr fontId="2" type="noConversion"/>
  </si>
  <si>
    <t>K-JR01860-D/H01</t>
    <phoneticPr fontId="2" type="noConversion"/>
  </si>
  <si>
    <t>불량대체분양산</t>
    <phoneticPr fontId="2" type="noConversion"/>
  </si>
  <si>
    <t>전일 ISSUE 사항(05일)</t>
    <phoneticPr fontId="2" type="noConversion"/>
  </si>
  <si>
    <t>당일 진행 사항(06일)</t>
    <phoneticPr fontId="2" type="noConversion"/>
  </si>
  <si>
    <t>KR6182-A308YA</t>
    <phoneticPr fontId="2" type="noConversion"/>
  </si>
  <si>
    <t>KR6182-C624TB</t>
    <phoneticPr fontId="2" type="noConversion"/>
  </si>
  <si>
    <t>KR6182-B624CB</t>
    <phoneticPr fontId="2" type="noConversion"/>
  </si>
  <si>
    <t>SAMPLE 진행 사항(05일)</t>
    <phoneticPr fontId="2" type="noConversion"/>
  </si>
  <si>
    <t>AMB0178A-KAA-R1</t>
    <phoneticPr fontId="2" type="noConversion"/>
  </si>
  <si>
    <t>치수NG 2회진행</t>
    <phoneticPr fontId="2" type="noConversion"/>
  </si>
  <si>
    <t>K-JR01918-B484CWA</t>
    <phoneticPr fontId="2" type="noConversion"/>
  </si>
  <si>
    <t>옵션</t>
    <phoneticPr fontId="2" type="noConversion"/>
  </si>
  <si>
    <t>KR6197BGF254QA</t>
    <phoneticPr fontId="2" type="noConversion"/>
  </si>
  <si>
    <t>금형 수리 내역(05일)</t>
    <phoneticPr fontId="2" type="noConversion"/>
  </si>
  <si>
    <t>설비 점검 내역(05일)</t>
    <phoneticPr fontId="2" type="noConversion"/>
  </si>
  <si>
    <r>
      <t>2019년 08월 06일 일일생산현황</t>
    </r>
    <r>
      <rPr>
        <b/>
        <sz val="14"/>
        <color indexed="8"/>
        <rFont val="굴림체"/>
        <family val="3"/>
        <charset val="129"/>
      </rPr>
      <t>(07일 09시 현재)</t>
    </r>
    <phoneticPr fontId="2" type="noConversion"/>
  </si>
  <si>
    <t>HRCS-00C11/12A</t>
    <phoneticPr fontId="2" type="noConversion"/>
  </si>
  <si>
    <t>IC GUIDE</t>
    <phoneticPr fontId="2" type="noConversion"/>
  </si>
  <si>
    <t>AMB07H9A-KAA-R1</t>
    <phoneticPr fontId="2" type="noConversion"/>
  </si>
  <si>
    <t>8301</t>
    <phoneticPr fontId="2" type="noConversion"/>
  </si>
  <si>
    <t>전일 ISSUE 사항(06일)</t>
    <phoneticPr fontId="2" type="noConversion"/>
  </si>
  <si>
    <t>BURR2회정지</t>
    <phoneticPr fontId="2" type="noConversion"/>
  </si>
  <si>
    <t>발주분양산-&gt;밀핀수리-&gt;코아파손정지</t>
    <phoneticPr fontId="2" type="noConversion"/>
  </si>
  <si>
    <t>13</t>
    <phoneticPr fontId="2" type="noConversion"/>
  </si>
  <si>
    <t>BASE</t>
    <phoneticPr fontId="2" type="noConversion"/>
  </si>
  <si>
    <t>KR6182-B624CB</t>
    <phoneticPr fontId="2" type="noConversion"/>
  </si>
  <si>
    <t>발주분양산-&gt;상측뜯김-&gt;코아파손수리</t>
    <phoneticPr fontId="2" type="noConversion"/>
  </si>
  <si>
    <t>5</t>
    <phoneticPr fontId="2" type="noConversion"/>
  </si>
  <si>
    <t>7</t>
    <phoneticPr fontId="2" type="noConversion"/>
  </si>
  <si>
    <t>KR6197AB841CB</t>
    <phoneticPr fontId="2" type="noConversion"/>
  </si>
  <si>
    <t>내측이물2회제거</t>
    <phoneticPr fontId="2" type="noConversion"/>
  </si>
  <si>
    <t>당일 진행 사항(07일)</t>
    <phoneticPr fontId="2" type="noConversion"/>
  </si>
  <si>
    <t>4</t>
    <phoneticPr fontId="2" type="noConversion"/>
  </si>
  <si>
    <t>SLIDER</t>
    <phoneticPr fontId="2" type="noConversion"/>
  </si>
  <si>
    <t>KR6182-A308YA</t>
    <phoneticPr fontId="2" type="noConversion"/>
  </si>
  <si>
    <t>발주분양산</t>
    <phoneticPr fontId="2" type="noConversion"/>
  </si>
  <si>
    <t>MCS</t>
    <phoneticPr fontId="2" type="noConversion"/>
  </si>
  <si>
    <t>12</t>
    <phoneticPr fontId="2" type="noConversion"/>
  </si>
  <si>
    <t>IC GUIDE</t>
    <phoneticPr fontId="2" type="noConversion"/>
  </si>
  <si>
    <t>AMB07H9A-KAA-R1</t>
    <phoneticPr fontId="2" type="noConversion"/>
  </si>
  <si>
    <t>발주분양산-&gt;오조립수리</t>
    <phoneticPr fontId="2" type="noConversion"/>
  </si>
  <si>
    <t>SAMPLE 진행 사항(06일)</t>
    <phoneticPr fontId="2" type="noConversion"/>
  </si>
  <si>
    <t>금형 수리 내역(06일)</t>
    <phoneticPr fontId="2" type="noConversion"/>
  </si>
  <si>
    <t>설비 점검 내역(06일)</t>
    <phoneticPr fontId="2" type="noConversion"/>
  </si>
  <si>
    <r>
      <t>2019년 08월 07일 일일생산현황</t>
    </r>
    <r>
      <rPr>
        <b/>
        <sz val="14"/>
        <color indexed="8"/>
        <rFont val="굴림체"/>
        <family val="3"/>
        <charset val="129"/>
      </rPr>
      <t>(08일 09시 현재)</t>
    </r>
    <phoneticPr fontId="2" type="noConversion"/>
  </si>
  <si>
    <t>4LEAD</t>
    <phoneticPr fontId="2" type="noConversion"/>
  </si>
  <si>
    <t>009-019-004</t>
    <phoneticPr fontId="2" type="noConversion"/>
  </si>
  <si>
    <t>PUSHER</t>
    <phoneticPr fontId="2" type="noConversion"/>
  </si>
  <si>
    <t>HRCS-03C18</t>
    <phoneticPr fontId="2" type="noConversion"/>
  </si>
  <si>
    <t>메카텍</t>
    <phoneticPr fontId="2" type="noConversion"/>
  </si>
  <si>
    <t>2P</t>
    <phoneticPr fontId="2" type="noConversion"/>
  </si>
  <si>
    <t>전일 ISSUE 사항(07일)</t>
    <phoneticPr fontId="2" type="noConversion"/>
  </si>
  <si>
    <t>세척후양산</t>
    <phoneticPr fontId="2" type="noConversion"/>
  </si>
  <si>
    <t>BURR정지</t>
    <phoneticPr fontId="2" type="noConversion"/>
  </si>
  <si>
    <t>019-009-004</t>
    <phoneticPr fontId="2" type="noConversion"/>
  </si>
  <si>
    <t>당일 진행 사항(08일)</t>
    <phoneticPr fontId="2" type="noConversion"/>
  </si>
  <si>
    <t>AM0143A-K</t>
    <phoneticPr fontId="2" type="noConversion"/>
  </si>
  <si>
    <t>SAMPLE 진행 사항(07일)</t>
    <phoneticPr fontId="2" type="noConversion"/>
  </si>
  <si>
    <t>BASE HINGE</t>
    <phoneticPr fontId="2" type="noConversion"/>
  </si>
  <si>
    <t>검토용</t>
    <phoneticPr fontId="2" type="noConversion"/>
  </si>
  <si>
    <t>금형 수리 내역(07일)</t>
    <phoneticPr fontId="2" type="noConversion"/>
  </si>
  <si>
    <t>설비 점검 내역(07일)</t>
    <phoneticPr fontId="2" type="noConversion"/>
  </si>
  <si>
    <r>
      <t>2019년 08월 08일 일일생산현황</t>
    </r>
    <r>
      <rPr>
        <b/>
        <sz val="14"/>
        <color indexed="8"/>
        <rFont val="굴림체"/>
        <family val="3"/>
        <charset val="129"/>
      </rPr>
      <t>(09일 09시 현재)</t>
    </r>
    <phoneticPr fontId="2" type="noConversion"/>
  </si>
  <si>
    <t>BOTTOM</t>
    <phoneticPr fontId="2" type="noConversion"/>
  </si>
  <si>
    <t>HRCS-00C12A</t>
    <phoneticPr fontId="2" type="noConversion"/>
  </si>
  <si>
    <t>전일 ISSUE 사항(08일)</t>
    <phoneticPr fontId="2" type="noConversion"/>
  </si>
  <si>
    <t>설비이상정지</t>
    <phoneticPr fontId="2" type="noConversion"/>
  </si>
  <si>
    <t>당일 진행 사항(09일)</t>
    <phoneticPr fontId="2" type="noConversion"/>
  </si>
  <si>
    <t>AM0241A-K-R2</t>
    <phoneticPr fontId="2" type="noConversion"/>
  </si>
  <si>
    <t>NEXT</t>
    <phoneticPr fontId="2" type="noConversion"/>
  </si>
  <si>
    <t>A2</t>
    <phoneticPr fontId="2" type="noConversion"/>
  </si>
  <si>
    <t>SAMPLE 진행 사항(08일)</t>
    <phoneticPr fontId="2" type="noConversion"/>
  </si>
  <si>
    <t>NP413-187-092#IN-GP</t>
    <phoneticPr fontId="2" type="noConversion"/>
  </si>
  <si>
    <t>KR6197-GG153XX</t>
    <phoneticPr fontId="2" type="noConversion"/>
  </si>
  <si>
    <t>금형 수리 내역(08일)</t>
    <phoneticPr fontId="2" type="noConversion"/>
  </si>
  <si>
    <t>설비 점검 내역(08일)</t>
    <phoneticPr fontId="2" type="noConversion"/>
  </si>
  <si>
    <r>
      <t>2019년 08월 09일 일일생산현황</t>
    </r>
    <r>
      <rPr>
        <b/>
        <sz val="14"/>
        <color indexed="8"/>
        <rFont val="굴림체"/>
        <family val="3"/>
        <charset val="129"/>
      </rPr>
      <t>(10일 09시 현재)</t>
    </r>
    <phoneticPr fontId="2" type="noConversion"/>
  </si>
  <si>
    <t>HDB0708-C3</t>
    <phoneticPr fontId="2" type="noConversion"/>
  </si>
  <si>
    <t>SGF2030 N/P</t>
    <phoneticPr fontId="2" type="noConversion"/>
  </si>
  <si>
    <t>72P</t>
    <phoneticPr fontId="2" type="noConversion"/>
  </si>
  <si>
    <t>전일 ISSUE 사항(09일)</t>
    <phoneticPr fontId="2" type="noConversion"/>
  </si>
  <si>
    <t>발주분양산-&gt;세척후양산</t>
    <phoneticPr fontId="2" type="noConversion"/>
  </si>
  <si>
    <t>이물제거후양산</t>
    <phoneticPr fontId="2" type="noConversion"/>
  </si>
  <si>
    <t>코아파손수리후양산</t>
    <phoneticPr fontId="2" type="noConversion"/>
  </si>
  <si>
    <t>발주분양산-&gt;형상이상정지</t>
    <phoneticPr fontId="2" type="noConversion"/>
  </si>
  <si>
    <t>당일 진행 사항(12일)</t>
    <phoneticPr fontId="2" type="noConversion"/>
  </si>
  <si>
    <t>HDB0708-B1</t>
    <phoneticPr fontId="2" type="noConversion"/>
  </si>
  <si>
    <t>승인후양산</t>
    <phoneticPr fontId="2" type="noConversion"/>
  </si>
  <si>
    <t>HDB0708-T4</t>
    <phoneticPr fontId="2" type="noConversion"/>
  </si>
  <si>
    <t>HDB0708-S2</t>
    <phoneticPr fontId="2" type="noConversion"/>
  </si>
  <si>
    <t>1D</t>
    <phoneticPr fontId="2" type="noConversion"/>
  </si>
  <si>
    <t>SAMPLE 진행 사항(09일)</t>
    <phoneticPr fontId="2" type="noConversion"/>
  </si>
  <si>
    <t>칼퀴없음,코아파손</t>
    <phoneticPr fontId="2" type="noConversion"/>
  </si>
  <si>
    <t>금형 수리 내역(09일)</t>
    <phoneticPr fontId="2" type="noConversion"/>
  </si>
  <si>
    <t>설비 점검 내역(09일)</t>
    <phoneticPr fontId="2" type="noConversion"/>
  </si>
  <si>
    <r>
      <t>2019년 08월 12일 일일생산현황</t>
    </r>
    <r>
      <rPr>
        <b/>
        <sz val="14"/>
        <color indexed="8"/>
        <rFont val="굴림체"/>
        <family val="3"/>
        <charset val="129"/>
      </rPr>
      <t>(13일 09시 현재)</t>
    </r>
    <phoneticPr fontId="2" type="noConversion"/>
  </si>
  <si>
    <t>8D</t>
    <phoneticPr fontId="2" type="noConversion"/>
  </si>
  <si>
    <t>전일 ISSUE 사항(12일)</t>
    <phoneticPr fontId="2" type="noConversion"/>
  </si>
  <si>
    <t>코아파손-&gt;BURR정지</t>
    <phoneticPr fontId="2" type="noConversion"/>
  </si>
  <si>
    <t>BURR2회수리</t>
    <phoneticPr fontId="2" type="noConversion"/>
  </si>
  <si>
    <t>당일 진행 사항(13일)</t>
    <phoneticPr fontId="2" type="noConversion"/>
  </si>
  <si>
    <t>SAMPLE 진행 사항(12일)</t>
    <phoneticPr fontId="2" type="noConversion"/>
  </si>
  <si>
    <t>뜯김</t>
    <phoneticPr fontId="2" type="noConversion"/>
  </si>
  <si>
    <t>금형 수리 내역(12일)</t>
    <phoneticPr fontId="2" type="noConversion"/>
  </si>
  <si>
    <t>설비 점검 내역(12일)</t>
    <phoneticPr fontId="2" type="noConversion"/>
  </si>
  <si>
    <r>
      <t>2019년 08월 13일 일일생산현황</t>
    </r>
    <r>
      <rPr>
        <b/>
        <sz val="14"/>
        <color indexed="8"/>
        <rFont val="굴림체"/>
        <family val="3"/>
        <charset val="129"/>
      </rPr>
      <t>(14일 09시 현재)</t>
    </r>
    <phoneticPr fontId="2" type="noConversion"/>
  </si>
  <si>
    <t>AMB39L1A(B)-KAA-R1</t>
    <phoneticPr fontId="2" type="noConversion"/>
  </si>
  <si>
    <t>SP-1/2</t>
    <phoneticPr fontId="2" type="noConversion"/>
  </si>
  <si>
    <t>HOUSING</t>
    <phoneticPr fontId="2" type="noConversion"/>
  </si>
  <si>
    <t>BC05-29H1</t>
    <phoneticPr fontId="2" type="noConversion"/>
  </si>
  <si>
    <t xml:space="preserve">SGF2030 </t>
    <phoneticPr fontId="2" type="noConversion"/>
  </si>
  <si>
    <t>전일 ISSUE 사항(13일)</t>
    <phoneticPr fontId="2" type="noConversion"/>
  </si>
  <si>
    <t>AMB39L1A/B</t>
    <phoneticPr fontId="2" type="noConversion"/>
  </si>
  <si>
    <t>당일 진행 사항(14일)</t>
    <phoneticPr fontId="2" type="noConversion"/>
  </si>
  <si>
    <t>AMM0899A-KAB-R1</t>
    <phoneticPr fontId="2" type="noConversion"/>
  </si>
  <si>
    <t>262BASE</t>
    <phoneticPr fontId="2" type="noConversion"/>
  </si>
  <si>
    <t>AMB0233B-KAA-R1</t>
    <phoneticPr fontId="2" type="noConversion"/>
  </si>
  <si>
    <t>BLOCK</t>
    <phoneticPr fontId="2" type="noConversion"/>
  </si>
  <si>
    <t>SAMPLE 진행 사항(13일)</t>
    <phoneticPr fontId="2" type="noConversion"/>
  </si>
  <si>
    <t>HSB08-M01A1</t>
    <phoneticPr fontId="2" type="noConversion"/>
  </si>
  <si>
    <t>HSB08-M01A2</t>
    <phoneticPr fontId="2" type="noConversion"/>
  </si>
  <si>
    <t>HSB08-M01A4</t>
    <phoneticPr fontId="2" type="noConversion"/>
  </si>
  <si>
    <t>2C</t>
    <phoneticPr fontId="2" type="noConversion"/>
  </si>
  <si>
    <t>금형 수리 내역(13일)</t>
    <phoneticPr fontId="2" type="noConversion"/>
  </si>
  <si>
    <t>설비 점검 내역(13일)</t>
    <phoneticPr fontId="2" type="noConversion"/>
  </si>
  <si>
    <r>
      <t>2019년 08월 14일(주간) 일일생산현황</t>
    </r>
    <r>
      <rPr>
        <b/>
        <sz val="14"/>
        <color indexed="8"/>
        <rFont val="굴림체"/>
        <family val="3"/>
        <charset val="129"/>
      </rPr>
      <t>(15일 09시 현재)</t>
    </r>
    <phoneticPr fontId="2" type="noConversion"/>
  </si>
  <si>
    <t>AMB0233B-LAA-R1</t>
    <phoneticPr fontId="2" type="noConversion"/>
  </si>
  <si>
    <t>BP22-127A1</t>
    <phoneticPr fontId="2" type="noConversion"/>
  </si>
  <si>
    <t>AM0609A-J</t>
    <phoneticPr fontId="2" type="noConversion"/>
  </si>
  <si>
    <t>28P</t>
    <phoneticPr fontId="2" type="noConversion"/>
  </si>
  <si>
    <t>전일 ISSUE 사항(14일)</t>
    <phoneticPr fontId="2" type="noConversion"/>
  </si>
  <si>
    <t>치수확인후양산</t>
    <phoneticPr fontId="2" type="noConversion"/>
  </si>
  <si>
    <t>당일 진행 사항(19일)</t>
    <phoneticPr fontId="2" type="noConversion"/>
  </si>
  <si>
    <t>수정후양산</t>
    <phoneticPr fontId="2" type="noConversion"/>
  </si>
  <si>
    <t>AMB0153A-KAA-R1</t>
    <phoneticPr fontId="2" type="noConversion"/>
  </si>
  <si>
    <t>AMB0341A-KAA-R5</t>
    <phoneticPr fontId="2" type="noConversion"/>
  </si>
  <si>
    <t>SAMPLE 진행 사항(14일)</t>
    <phoneticPr fontId="2" type="noConversion"/>
  </si>
  <si>
    <t>금형 수리 내역(14일)</t>
    <phoneticPr fontId="2" type="noConversion"/>
  </si>
  <si>
    <t>설비 점검 내역(14일)</t>
    <phoneticPr fontId="2" type="noConversion"/>
  </si>
  <si>
    <r>
      <t>2019년 08월 19일 일일생산현황</t>
    </r>
    <r>
      <rPr>
        <b/>
        <sz val="14"/>
        <color indexed="8"/>
        <rFont val="굴림체"/>
        <family val="3"/>
        <charset val="129"/>
      </rPr>
      <t>(20일 09시 현재)</t>
    </r>
    <phoneticPr fontId="2" type="noConversion"/>
  </si>
  <si>
    <t>LATCH PLATE</t>
    <phoneticPr fontId="2" type="noConversion"/>
  </si>
  <si>
    <t>AMB09F5A-KAA-R1</t>
    <phoneticPr fontId="2" type="noConversion"/>
  </si>
  <si>
    <t>AMB0114B-JAA-R6</t>
    <phoneticPr fontId="2" type="noConversion"/>
  </si>
  <si>
    <t>전일 ISSUE 사항(19일)</t>
    <phoneticPr fontId="2" type="noConversion"/>
  </si>
  <si>
    <t>발주분양산-&gt;밀핀파손정지</t>
    <phoneticPr fontId="2" type="noConversion"/>
  </si>
  <si>
    <t>수리후양산-&gt;1C 양산</t>
    <phoneticPr fontId="2" type="noConversion"/>
  </si>
  <si>
    <t>LATCH</t>
    <phoneticPr fontId="2" type="noConversion"/>
  </si>
  <si>
    <t>당일 진행 사항(20일)</t>
    <phoneticPr fontId="2" type="noConversion"/>
  </si>
  <si>
    <t>HR03B-352A1</t>
    <phoneticPr fontId="2" type="noConversion"/>
  </si>
  <si>
    <t>발주분양산-&gt;뜯김정지</t>
    <phoneticPr fontId="2" type="noConversion"/>
  </si>
  <si>
    <t>SAMPLE 진행 사항(19일)</t>
    <phoneticPr fontId="2" type="noConversion"/>
  </si>
  <si>
    <t>B번만진행</t>
    <phoneticPr fontId="2" type="noConversion"/>
  </si>
  <si>
    <t>KR6404DA436YA</t>
    <phoneticPr fontId="2" type="noConversion"/>
  </si>
  <si>
    <t>코아파손2회</t>
    <phoneticPr fontId="2" type="noConversion"/>
  </si>
  <si>
    <t>KR6170-GM436QA</t>
    <phoneticPr fontId="2" type="noConversion"/>
  </si>
  <si>
    <t>성형안됨</t>
    <phoneticPr fontId="2" type="noConversion"/>
  </si>
  <si>
    <t>금형 수리 내역(19일)</t>
    <phoneticPr fontId="2" type="noConversion"/>
  </si>
  <si>
    <t>설비 점검 내역(19일)</t>
    <phoneticPr fontId="2" type="noConversion"/>
  </si>
  <si>
    <r>
      <t>2019년 08월 20일 일일생산현황</t>
    </r>
    <r>
      <rPr>
        <b/>
        <sz val="14"/>
        <color indexed="8"/>
        <rFont val="굴림체"/>
        <family val="3"/>
        <charset val="129"/>
      </rPr>
      <t>(21일 09시 현재)</t>
    </r>
    <phoneticPr fontId="2" type="noConversion"/>
  </si>
  <si>
    <t>전일 ISSUE 사항(20일)</t>
    <phoneticPr fontId="2" type="noConversion"/>
  </si>
  <si>
    <t>수리후양산-&gt;밀핀파손정지</t>
    <phoneticPr fontId="2" type="noConversion"/>
  </si>
  <si>
    <t>당일 진행 사항(21일)</t>
    <phoneticPr fontId="2" type="noConversion"/>
  </si>
  <si>
    <t>SHAFT</t>
    <phoneticPr fontId="2" type="noConversion"/>
  </si>
  <si>
    <t>KR6166-01TB</t>
    <phoneticPr fontId="2" type="noConversion"/>
  </si>
  <si>
    <t>REVIT</t>
    <phoneticPr fontId="2" type="noConversion"/>
  </si>
  <si>
    <t>SAMPLE 진행 사항(20일)</t>
    <phoneticPr fontId="2" type="noConversion"/>
  </si>
  <si>
    <t>KR6197-GG153QB</t>
    <phoneticPr fontId="2" type="noConversion"/>
  </si>
  <si>
    <t>금형 수리 내역(20일)</t>
    <phoneticPr fontId="2" type="noConversion"/>
  </si>
  <si>
    <t>설비 점검 내역(20일)</t>
    <phoneticPr fontId="2" type="noConversion"/>
  </si>
  <si>
    <r>
      <t>2019년 08월 21일 일일생산현황</t>
    </r>
    <r>
      <rPr>
        <b/>
        <sz val="14"/>
        <color indexed="8"/>
        <rFont val="굴림체"/>
        <family val="3"/>
        <charset val="129"/>
      </rPr>
      <t>(22일 09시 현재)</t>
    </r>
    <phoneticPr fontId="2" type="noConversion"/>
  </si>
  <si>
    <t>AMM0827A-KAA-R2</t>
    <phoneticPr fontId="2" type="noConversion"/>
  </si>
  <si>
    <t>BLUE</t>
    <phoneticPr fontId="2" type="noConversion"/>
  </si>
  <si>
    <t>RTP</t>
    <phoneticPr fontId="2" type="noConversion"/>
  </si>
  <si>
    <t>전일 ISSUE 사항(21일)</t>
    <phoneticPr fontId="2" type="noConversion"/>
  </si>
  <si>
    <t>발주분양산-&gt;하측뜯김정지</t>
    <phoneticPr fontId="2" type="noConversion"/>
  </si>
  <si>
    <t>ACTATOR</t>
    <phoneticPr fontId="2" type="noConversion"/>
  </si>
  <si>
    <t>당일 진행 사항(22일)</t>
    <phoneticPr fontId="2" type="noConversion"/>
  </si>
  <si>
    <t>HDB08-M01A1</t>
    <phoneticPr fontId="2" type="noConversion"/>
  </si>
  <si>
    <t>HDB08-M01A2</t>
    <phoneticPr fontId="2" type="noConversion"/>
  </si>
  <si>
    <t>SAMPLE 진행 사항(21일)</t>
    <phoneticPr fontId="2" type="noConversion"/>
  </si>
  <si>
    <t>금형 수리 내역(21일)</t>
    <phoneticPr fontId="2" type="noConversion"/>
  </si>
  <si>
    <t>설비 점검 내역(21일)</t>
    <phoneticPr fontId="2" type="noConversion"/>
  </si>
  <si>
    <r>
      <t>2019년 08월 22일 일일생산현황</t>
    </r>
    <r>
      <rPr>
        <b/>
        <sz val="14"/>
        <color indexed="8"/>
        <rFont val="굴림체"/>
        <family val="3"/>
        <charset val="129"/>
      </rPr>
      <t>(23일 09시 현재)</t>
    </r>
    <phoneticPr fontId="2" type="noConversion"/>
  </si>
  <si>
    <t>전일 ISSUE 사항(22일)</t>
    <phoneticPr fontId="2" type="noConversion"/>
  </si>
  <si>
    <t>당일 진행 사항(23일)</t>
    <phoneticPr fontId="2" type="noConversion"/>
  </si>
  <si>
    <t>HDB08-M01A4</t>
    <phoneticPr fontId="2" type="noConversion"/>
  </si>
  <si>
    <t>SAMPLE 진행 사항(22일)</t>
    <phoneticPr fontId="2" type="noConversion"/>
  </si>
  <si>
    <t>RJR</t>
    <phoneticPr fontId="2" type="noConversion"/>
  </si>
  <si>
    <t>LCP LID</t>
    <phoneticPr fontId="2" type="noConversion"/>
  </si>
  <si>
    <t>S475 N/P</t>
    <phoneticPr fontId="2" type="noConversion"/>
  </si>
  <si>
    <t>KR6404DA436x</t>
    <phoneticPr fontId="2" type="noConversion"/>
  </si>
  <si>
    <t>제품눌림(사고)</t>
    <phoneticPr fontId="2" type="noConversion"/>
  </si>
  <si>
    <t>금형 수리 내역(22일)</t>
    <phoneticPr fontId="2" type="noConversion"/>
  </si>
  <si>
    <t>설비 점검 내역(22일)</t>
    <phoneticPr fontId="2" type="noConversion"/>
  </si>
  <si>
    <r>
      <t>2019년 08월 23일 일일생산현황</t>
    </r>
    <r>
      <rPr>
        <b/>
        <sz val="14"/>
        <color indexed="8"/>
        <rFont val="굴림체"/>
        <family val="3"/>
        <charset val="129"/>
      </rPr>
      <t>(24일 09시 현재)</t>
    </r>
    <phoneticPr fontId="2" type="noConversion"/>
  </si>
  <si>
    <t>ODT</t>
    <phoneticPr fontId="2" type="noConversion"/>
  </si>
  <si>
    <t>HOLDER</t>
    <phoneticPr fontId="2" type="noConversion"/>
  </si>
  <si>
    <t>SW-003205</t>
    <phoneticPr fontId="2" type="noConversion"/>
  </si>
  <si>
    <t>PC B/K</t>
    <phoneticPr fontId="2" type="noConversion"/>
  </si>
  <si>
    <t>전일 ISSUE 사항(23일)</t>
    <phoneticPr fontId="2" type="noConversion"/>
  </si>
  <si>
    <t>코아파손2회수리</t>
    <phoneticPr fontId="2" type="noConversion"/>
  </si>
  <si>
    <t>세척후양산-&gt;미성형정지</t>
    <phoneticPr fontId="2" type="noConversion"/>
  </si>
  <si>
    <t>코아파손수리</t>
    <phoneticPr fontId="2" type="noConversion"/>
  </si>
  <si>
    <t>당일 진행 사항(26일)</t>
    <phoneticPr fontId="2" type="noConversion"/>
  </si>
  <si>
    <t>KR6182-A221WA</t>
    <phoneticPr fontId="2" type="noConversion"/>
  </si>
  <si>
    <t>LQ E(HANDLE)</t>
    <phoneticPr fontId="2" type="noConversion"/>
  </si>
  <si>
    <t>SAMPLE 진행 사항(23일)</t>
    <phoneticPr fontId="2" type="noConversion"/>
  </si>
  <si>
    <t>AMB0352A-KAA-R2</t>
    <phoneticPr fontId="2" type="noConversion"/>
  </si>
  <si>
    <t>치수NG2회진행</t>
    <phoneticPr fontId="2" type="noConversion"/>
  </si>
  <si>
    <t>K-JR01920-E01AWA</t>
    <phoneticPr fontId="2" type="noConversion"/>
  </si>
  <si>
    <t>SGF2030TC</t>
    <phoneticPr fontId="2" type="noConversion"/>
  </si>
  <si>
    <t>원재료</t>
    <phoneticPr fontId="2" type="noConversion"/>
  </si>
  <si>
    <t>금형 수리 내역(23일)</t>
    <phoneticPr fontId="2" type="noConversion"/>
  </si>
  <si>
    <t>설비 점검 내역(23일)</t>
    <phoneticPr fontId="2" type="noConversion"/>
  </si>
  <si>
    <r>
      <t>2019년 08월 26일 일일생산현황</t>
    </r>
    <r>
      <rPr>
        <b/>
        <sz val="14"/>
        <color indexed="8"/>
        <rFont val="굴림체"/>
        <family val="3"/>
        <charset val="129"/>
      </rPr>
      <t>(27일 09시 현재)</t>
    </r>
    <phoneticPr fontId="2" type="noConversion"/>
  </si>
  <si>
    <t>HANDLE</t>
    <phoneticPr fontId="2" type="noConversion"/>
  </si>
  <si>
    <t>2*2</t>
    <phoneticPr fontId="2" type="noConversion"/>
  </si>
  <si>
    <t>TOP</t>
    <phoneticPr fontId="2" type="noConversion"/>
  </si>
  <si>
    <t>전일 ISSUE 사항(26일)</t>
    <phoneticPr fontId="2" type="noConversion"/>
  </si>
  <si>
    <t>코아파손2회,오조립</t>
    <phoneticPr fontId="2" type="noConversion"/>
  </si>
  <si>
    <t>발주분양산-&gt;코아파손2회정지</t>
    <phoneticPr fontId="2" type="noConversion"/>
  </si>
  <si>
    <t>발주분양산-&gt;BURR2회정지</t>
    <phoneticPr fontId="2" type="noConversion"/>
  </si>
  <si>
    <t>당일 진행 사항(27일)</t>
    <phoneticPr fontId="2" type="noConversion"/>
  </si>
  <si>
    <t>NP635-196-001#IN-B</t>
    <phoneticPr fontId="2" type="noConversion"/>
  </si>
  <si>
    <t>NP635-196-001#IN-A</t>
    <phoneticPr fontId="2" type="noConversion"/>
  </si>
  <si>
    <t>BB2-LC042C</t>
    <phoneticPr fontId="2" type="noConversion"/>
  </si>
  <si>
    <t>OKINS</t>
    <phoneticPr fontId="2" type="noConversion"/>
  </si>
  <si>
    <t>SAMPLE 진행 사항(26일)</t>
    <phoneticPr fontId="2" type="noConversion"/>
  </si>
  <si>
    <t>HSB08-M01A3</t>
    <phoneticPr fontId="2" type="noConversion"/>
  </si>
  <si>
    <t>금형 수리 내역(26일)</t>
    <phoneticPr fontId="2" type="noConversion"/>
  </si>
  <si>
    <t>설비 점검 내역(26일)</t>
    <phoneticPr fontId="2" type="noConversion"/>
  </si>
  <si>
    <t>계량시 소음발생</t>
    <phoneticPr fontId="2" type="noConversion"/>
  </si>
  <si>
    <t>스크류 모타수리</t>
    <phoneticPr fontId="2" type="noConversion"/>
  </si>
  <si>
    <t>MET</t>
    <phoneticPr fontId="2" type="noConversion"/>
  </si>
  <si>
    <r>
      <t>2019년 08월 27일 일일생산현황</t>
    </r>
    <r>
      <rPr>
        <b/>
        <sz val="14"/>
        <color indexed="8"/>
        <rFont val="굴림체"/>
        <family val="3"/>
        <charset val="129"/>
      </rPr>
      <t>(28일 09시 현재)</t>
    </r>
    <phoneticPr fontId="2" type="noConversion"/>
  </si>
  <si>
    <t>전일 ISSUE 사항(27일)</t>
    <phoneticPr fontId="2" type="noConversion"/>
  </si>
  <si>
    <t>수리후양산-&gt;미성형정지</t>
    <phoneticPr fontId="2" type="noConversion"/>
  </si>
  <si>
    <t>당일 진행 사항(28일)</t>
    <phoneticPr fontId="2" type="noConversion"/>
  </si>
  <si>
    <t>AMB1930A-KAA-R2</t>
    <phoneticPr fontId="2" type="noConversion"/>
  </si>
  <si>
    <t>AMB0172A-KAA-R1</t>
    <phoneticPr fontId="2" type="noConversion"/>
  </si>
  <si>
    <t>SAMPLE 진행 사항(27일)</t>
    <phoneticPr fontId="2" type="noConversion"/>
  </si>
  <si>
    <t>뜯김수리</t>
    <phoneticPr fontId="2" type="noConversion"/>
  </si>
  <si>
    <t>금형 수리 내역(27일)</t>
    <phoneticPr fontId="2" type="noConversion"/>
  </si>
  <si>
    <t>설비 점검 내역(27일)</t>
    <phoneticPr fontId="2" type="noConversion"/>
  </si>
  <si>
    <r>
      <t>2019년 08월 28일 일일생산현황</t>
    </r>
    <r>
      <rPr>
        <b/>
        <sz val="14"/>
        <color indexed="8"/>
        <rFont val="굴림체"/>
        <family val="3"/>
        <charset val="129"/>
      </rPr>
      <t>(29일 09시 현재)</t>
    </r>
    <phoneticPr fontId="2" type="noConversion"/>
  </si>
  <si>
    <t>CASE</t>
    <phoneticPr fontId="2" type="noConversion"/>
  </si>
  <si>
    <t>SW-003353</t>
    <phoneticPr fontId="2" type="noConversion"/>
  </si>
  <si>
    <t>PC투명</t>
    <phoneticPr fontId="2" type="noConversion"/>
  </si>
  <si>
    <t>전일 ISSUE 사항(28일)</t>
    <phoneticPr fontId="2" type="noConversion"/>
  </si>
  <si>
    <t>당일 진행 사항(29일)</t>
    <phoneticPr fontId="2" type="noConversion"/>
  </si>
  <si>
    <t>SAMPLE 진행 사항(28일)</t>
    <phoneticPr fontId="2" type="noConversion"/>
  </si>
  <si>
    <t>2829HQN05-5632-C4</t>
    <phoneticPr fontId="2" type="noConversion"/>
  </si>
  <si>
    <t>금형 수리 내역(28일)</t>
    <phoneticPr fontId="2" type="noConversion"/>
  </si>
  <si>
    <t>설비 점검 내역(28일)</t>
    <phoneticPr fontId="2" type="noConversion"/>
  </si>
  <si>
    <r>
      <t>2019년 08월 29일 일일생산현황</t>
    </r>
    <r>
      <rPr>
        <b/>
        <sz val="14"/>
        <color indexed="8"/>
        <rFont val="굴림체"/>
        <family val="3"/>
        <charset val="129"/>
      </rPr>
      <t>(30일 09시 현재)</t>
    </r>
    <phoneticPr fontId="2" type="noConversion"/>
  </si>
  <si>
    <t>전일 ISSUE 사항(29일)</t>
    <phoneticPr fontId="2" type="noConversion"/>
  </si>
  <si>
    <t>수리후양산-&gt;코아파손2회정지</t>
    <phoneticPr fontId="2" type="noConversion"/>
  </si>
  <si>
    <t>당일 진행 사항(30일)</t>
    <phoneticPr fontId="2" type="noConversion"/>
  </si>
  <si>
    <t>KR6202-06KA</t>
    <phoneticPr fontId="2" type="noConversion"/>
  </si>
  <si>
    <t>SAMPLE 진행 사항(29일)</t>
    <phoneticPr fontId="2" type="noConversion"/>
  </si>
  <si>
    <t>2829HQN05-5632-B1</t>
    <phoneticPr fontId="2" type="noConversion"/>
  </si>
  <si>
    <t>상측박힘2회진행</t>
    <phoneticPr fontId="2" type="noConversion"/>
  </si>
  <si>
    <t>2829HQN05-5632-B2</t>
    <phoneticPr fontId="2" type="noConversion"/>
  </si>
  <si>
    <t>HT00-M65A4-A</t>
    <phoneticPr fontId="2" type="noConversion"/>
  </si>
  <si>
    <t>NP628-1056-001#IN-B</t>
    <phoneticPr fontId="2" type="noConversion"/>
  </si>
  <si>
    <t>NP628-1056-001#IN-A</t>
    <phoneticPr fontId="2" type="noConversion"/>
  </si>
  <si>
    <t>2829HQN05-5632-F3</t>
    <phoneticPr fontId="2" type="noConversion"/>
  </si>
  <si>
    <t>LG35</t>
    <phoneticPr fontId="2" type="noConversion"/>
  </si>
  <si>
    <t>FLOATING</t>
    <phoneticPr fontId="2" type="noConversion"/>
  </si>
  <si>
    <t>금형 수리 내역(29일)</t>
    <phoneticPr fontId="2" type="noConversion"/>
  </si>
  <si>
    <t>설비 점검 내역(29일)</t>
    <phoneticPr fontId="2" type="noConversion"/>
  </si>
  <si>
    <r>
      <t>2019년 08월 30일 일일생산현황</t>
    </r>
    <r>
      <rPr>
        <b/>
        <sz val="14"/>
        <color indexed="8"/>
        <rFont val="굴림체"/>
        <family val="3"/>
        <charset val="129"/>
      </rPr>
      <t>(31일 09시 현재)</t>
    </r>
    <phoneticPr fontId="2" type="noConversion"/>
  </si>
  <si>
    <t>JCL3030</t>
    <phoneticPr fontId="2" type="noConversion"/>
  </si>
  <si>
    <t>전일 ISSUE 사항(30일)</t>
    <phoneticPr fontId="2" type="noConversion"/>
  </si>
  <si>
    <t>슬라이드코아파손수리</t>
    <phoneticPr fontId="2" type="noConversion"/>
  </si>
  <si>
    <t>수리후양산-&gt;상측박힘</t>
    <phoneticPr fontId="2" type="noConversion"/>
  </si>
  <si>
    <t>당일 진행 사항(31일)</t>
    <phoneticPr fontId="2" type="noConversion"/>
  </si>
  <si>
    <t>GTS</t>
    <phoneticPr fontId="2" type="noConversion"/>
  </si>
  <si>
    <t>LEVER</t>
    <phoneticPr fontId="2" type="noConversion"/>
  </si>
  <si>
    <t>SAMPLE 진행 사항(30일)</t>
    <phoneticPr fontId="2" type="noConversion"/>
  </si>
  <si>
    <t>상측박힘수리</t>
    <phoneticPr fontId="2" type="noConversion"/>
  </si>
  <si>
    <t>금형 수리 내역(30일)</t>
    <phoneticPr fontId="2" type="noConversion"/>
  </si>
  <si>
    <t>설비 점검 내역(30일)</t>
    <phoneticPr fontId="2" type="noConversion"/>
  </si>
  <si>
    <r>
      <t>2019년 08월 31일 일일생산현황</t>
    </r>
    <r>
      <rPr>
        <b/>
        <sz val="14"/>
        <color indexed="8"/>
        <rFont val="굴림체"/>
        <family val="3"/>
        <charset val="129"/>
      </rPr>
      <t>(01일 09시 현재)</t>
    </r>
    <phoneticPr fontId="2" type="noConversion"/>
  </si>
  <si>
    <t>전일 ISSUE 사항(31일)</t>
    <phoneticPr fontId="2" type="noConversion"/>
  </si>
  <si>
    <t>하측뜯김정지</t>
    <phoneticPr fontId="2" type="noConversion"/>
  </si>
  <si>
    <t>KR6422AB589CA</t>
    <phoneticPr fontId="2" type="noConversion"/>
  </si>
  <si>
    <t>SAMPLE 진행 사항(31일)</t>
    <phoneticPr fontId="2" type="noConversion"/>
  </si>
  <si>
    <t>금형 수리 내역(31일)</t>
    <phoneticPr fontId="2" type="noConversion"/>
  </si>
  <si>
    <t>설비 점검 내역(31일)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</si>
</sst>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66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/>
    </xf>
    <xf numFmtId="41" fontId="8" fillId="0" borderId="6" xfId="4" applyFont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Border="1" applyAlignment="1">
      <alignment horizontal="center" vertical="center"/>
    </xf>
    <xf numFmtId="9" fontId="9" fillId="0" borderId="7" xfId="3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 wrapText="1"/>
    </xf>
    <xf numFmtId="178" fontId="8" fillId="0" borderId="10" xfId="4" applyNumberFormat="1" applyFont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4" fillId="0" borderId="7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49" fontId="8" fillId="0" borderId="3" xfId="2" applyNumberFormat="1" applyFont="1" applyBorder="1" applyAlignment="1">
      <alignment horizontal="center" vertical="center" wrapText="1"/>
    </xf>
    <xf numFmtId="41" fontId="8" fillId="0" borderId="8" xfId="4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>
      <alignment vertical="center"/>
    </xf>
    <xf numFmtId="0" fontId="13" fillId="0" borderId="0" xfId="2" applyFont="1">
      <alignment vertical="center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 shrinkToFit="1"/>
    </xf>
    <xf numFmtId="41" fontId="13" fillId="0" borderId="0" xfId="4" applyFont="1">
      <alignment vertical="center"/>
    </xf>
    <xf numFmtId="49" fontId="13" fillId="0" borderId="0" xfId="2" applyNumberFormat="1" applyFont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3" borderId="9" xfId="8" applyFont="1" applyFill="1" applyBorder="1" applyAlignment="1">
      <alignment horizontal="center" vertical="center"/>
    </xf>
    <xf numFmtId="9" fontId="7" fillId="3" borderId="12" xfId="8" applyFont="1" applyFill="1" applyBorder="1" applyAlignment="1">
      <alignment horizontal="center" vertical="center"/>
    </xf>
    <xf numFmtId="9" fontId="7" fillId="3" borderId="51" xfId="8" applyFont="1" applyFill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7" fillId="3" borderId="24" xfId="8" applyFont="1" applyFill="1" applyBorder="1" applyAlignment="1">
      <alignment horizontal="center" vertical="center"/>
    </xf>
    <xf numFmtId="9" fontId="7" fillId="3" borderId="31" xfId="8" applyFont="1" applyFill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9" fontId="7" fillId="3" borderId="53" xfId="8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3" borderId="38" xfId="8" applyFont="1" applyFill="1" applyBorder="1" applyAlignment="1">
      <alignment horizontal="center" vertical="center"/>
    </xf>
    <xf numFmtId="9" fontId="7" fillId="3" borderId="11" xfId="8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9" fontId="7" fillId="3" borderId="33" xfId="8" applyFont="1" applyFill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0" fontId="8" fillId="30" borderId="8" xfId="2" applyFont="1" applyFill="1" applyBorder="1" applyAlignment="1">
      <alignment horizontal="center" vertical="center"/>
    </xf>
    <xf numFmtId="0" fontId="7" fillId="30" borderId="51" xfId="0" applyFont="1" applyFill="1" applyBorder="1" applyAlignment="1">
      <alignment horizontal="center" vertical="center"/>
    </xf>
    <xf numFmtId="9" fontId="7" fillId="30" borderId="11" xfId="8" applyFont="1" applyFill="1" applyBorder="1" applyAlignment="1">
      <alignment horizontal="center" vertical="center"/>
    </xf>
    <xf numFmtId="9" fontId="7" fillId="30" borderId="9" xfId="8" applyFont="1" applyFill="1" applyBorder="1" applyAlignment="1">
      <alignment horizontal="center" vertical="center"/>
    </xf>
    <xf numFmtId="9" fontId="7" fillId="30" borderId="12" xfId="8" applyFont="1" applyFill="1" applyBorder="1" applyAlignment="1">
      <alignment horizontal="center" vertical="center"/>
    </xf>
    <xf numFmtId="9" fontId="7" fillId="30" borderId="51" xfId="8" applyFont="1" applyFill="1" applyBorder="1" applyAlignment="1">
      <alignment horizontal="center" vertical="center"/>
    </xf>
    <xf numFmtId="49" fontId="13" fillId="0" borderId="17" xfId="2" applyNumberFormat="1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9" xfId="2" applyNumberFormat="1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3" fillId="0" borderId="9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41" fontId="13" fillId="0" borderId="9" xfId="4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left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2" xfId="2" applyNumberFormat="1" applyFont="1" applyBorder="1" applyAlignment="1">
      <alignment horizontal="left" vertical="center" shrinkToFit="1"/>
    </xf>
    <xf numFmtId="49" fontId="13" fillId="0" borderId="26" xfId="2" applyNumberFormat="1" applyFont="1" applyBorder="1" applyAlignment="1">
      <alignment horizontal="left" vertical="center" shrinkToFit="1"/>
    </xf>
    <xf numFmtId="49" fontId="13" fillId="0" borderId="60" xfId="2" applyNumberFormat="1" applyFont="1" applyBorder="1" applyAlignment="1">
      <alignment horizontal="left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21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54" xfId="2" applyNumberFormat="1" applyFont="1" applyBorder="1" applyAlignment="1">
      <alignment horizontal="left" vertical="center" shrinkToFit="1"/>
    </xf>
    <xf numFmtId="49" fontId="13" fillId="0" borderId="61" xfId="2" applyNumberFormat="1" applyFont="1" applyBorder="1" applyAlignment="1">
      <alignment horizontal="left" vertical="center" shrinkToFit="1"/>
    </xf>
    <xf numFmtId="49" fontId="13" fillId="0" borderId="62" xfId="2" applyNumberFormat="1" applyFont="1" applyBorder="1" applyAlignment="1">
      <alignment horizontal="left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2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</cellXfs>
  <cellStyles count="3845">
    <cellStyle name="_x0002_._x0011__x0002_._x001b__x0002_ _x0015_%_x0018__x0001_" xfId="3128" xr:uid="{00000000-0005-0000-0000-000000000000}"/>
    <cellStyle name="?" xfId="3129" xr:uid="{00000000-0005-0000-0000-000001000000}"/>
    <cellStyle name="20% - 강조색1 2" xfId="10" xr:uid="{00000000-0005-0000-0000-000002000000}"/>
    <cellStyle name="20% - 강조색1 2 10" xfId="11" xr:uid="{00000000-0005-0000-0000-000003000000}"/>
    <cellStyle name="20% - 강조색1 2 10 2" xfId="12" xr:uid="{00000000-0005-0000-0000-000004000000}"/>
    <cellStyle name="20% - 강조색1 2 10 3" xfId="13" xr:uid="{00000000-0005-0000-0000-000005000000}"/>
    <cellStyle name="20% - 강조색1 2 10 4" xfId="14" xr:uid="{00000000-0005-0000-0000-000006000000}"/>
    <cellStyle name="20% - 강조색1 2 10 5" xfId="15" xr:uid="{00000000-0005-0000-0000-000007000000}"/>
    <cellStyle name="20% - 강조색1 2 10 6" xfId="16" xr:uid="{00000000-0005-0000-0000-000008000000}"/>
    <cellStyle name="20% - 강조색1 2 11" xfId="17" xr:uid="{00000000-0005-0000-0000-000009000000}"/>
    <cellStyle name="20% - 강조색1 2 11 2" xfId="18" xr:uid="{00000000-0005-0000-0000-00000A000000}"/>
    <cellStyle name="20% - 강조색1 2 11 3" xfId="19" xr:uid="{00000000-0005-0000-0000-00000B000000}"/>
    <cellStyle name="20% - 강조색1 2 11 4" xfId="20" xr:uid="{00000000-0005-0000-0000-00000C000000}"/>
    <cellStyle name="20% - 강조색1 2 11 5" xfId="21" xr:uid="{00000000-0005-0000-0000-00000D000000}"/>
    <cellStyle name="20% - 강조색1 2 11 6" xfId="22" xr:uid="{00000000-0005-0000-0000-00000E000000}"/>
    <cellStyle name="20% - 강조색1 2 12" xfId="23" xr:uid="{00000000-0005-0000-0000-00000F000000}"/>
    <cellStyle name="20% - 강조색1 2 12 2" xfId="24" xr:uid="{00000000-0005-0000-0000-000010000000}"/>
    <cellStyle name="20% - 강조색1 2 12 3" xfId="25" xr:uid="{00000000-0005-0000-0000-000011000000}"/>
    <cellStyle name="20% - 강조색1 2 12 4" xfId="26" xr:uid="{00000000-0005-0000-0000-000012000000}"/>
    <cellStyle name="20% - 강조색1 2 12 5" xfId="27" xr:uid="{00000000-0005-0000-0000-000013000000}"/>
    <cellStyle name="20% - 강조색1 2 12 6" xfId="28" xr:uid="{00000000-0005-0000-0000-000014000000}"/>
    <cellStyle name="20% - 강조색1 2 13" xfId="29" xr:uid="{00000000-0005-0000-0000-000015000000}"/>
    <cellStyle name="20% - 강조색1 2 13 2" xfId="30" xr:uid="{00000000-0005-0000-0000-000016000000}"/>
    <cellStyle name="20% - 강조색1 2 13 3" xfId="31" xr:uid="{00000000-0005-0000-0000-000017000000}"/>
    <cellStyle name="20% - 강조색1 2 13 4" xfId="32" xr:uid="{00000000-0005-0000-0000-000018000000}"/>
    <cellStyle name="20% - 강조색1 2 13 5" xfId="33" xr:uid="{00000000-0005-0000-0000-000019000000}"/>
    <cellStyle name="20% - 강조색1 2 13 6" xfId="34" xr:uid="{00000000-0005-0000-0000-00001A000000}"/>
    <cellStyle name="20% - 강조색1 2 14" xfId="35" xr:uid="{00000000-0005-0000-0000-00001B000000}"/>
    <cellStyle name="20% - 강조색1 2 14 2" xfId="36" xr:uid="{00000000-0005-0000-0000-00001C000000}"/>
    <cellStyle name="20% - 강조색1 2 14 3" xfId="37" xr:uid="{00000000-0005-0000-0000-00001D000000}"/>
    <cellStyle name="20% - 강조색1 2 14 4" xfId="38" xr:uid="{00000000-0005-0000-0000-00001E000000}"/>
    <cellStyle name="20% - 강조색1 2 14 5" xfId="39" xr:uid="{00000000-0005-0000-0000-00001F000000}"/>
    <cellStyle name="20% - 강조색1 2 14 6" xfId="40" xr:uid="{00000000-0005-0000-0000-000020000000}"/>
    <cellStyle name="20% - 강조색1 2 15" xfId="41" xr:uid="{00000000-0005-0000-0000-000021000000}"/>
    <cellStyle name="20% - 강조색1 2 16" xfId="42" xr:uid="{00000000-0005-0000-0000-000022000000}"/>
    <cellStyle name="20% - 강조색1 2 17" xfId="43" xr:uid="{00000000-0005-0000-0000-000023000000}"/>
    <cellStyle name="20% - 강조색1 2 18" xfId="44" xr:uid="{00000000-0005-0000-0000-000024000000}"/>
    <cellStyle name="20% - 강조색1 2 19" xfId="45" xr:uid="{00000000-0005-0000-0000-000025000000}"/>
    <cellStyle name="20% - 강조색1 2 2" xfId="46" xr:uid="{00000000-0005-0000-0000-000026000000}"/>
    <cellStyle name="20% - 강조색1 2 2 2" xfId="47" xr:uid="{00000000-0005-0000-0000-000027000000}"/>
    <cellStyle name="20% - 강조색1 2 2 3" xfId="48" xr:uid="{00000000-0005-0000-0000-000028000000}"/>
    <cellStyle name="20% - 강조색1 2 2 4" xfId="49" xr:uid="{00000000-0005-0000-0000-000029000000}"/>
    <cellStyle name="20% - 강조색1 2 2 5" xfId="50" xr:uid="{00000000-0005-0000-0000-00002A000000}"/>
    <cellStyle name="20% - 강조색1 2 2 6" xfId="51" xr:uid="{00000000-0005-0000-0000-00002B000000}"/>
    <cellStyle name="20% - 강조색1 2 3" xfId="52" xr:uid="{00000000-0005-0000-0000-00002C000000}"/>
    <cellStyle name="20% - 강조색1 2 3 2" xfId="53" xr:uid="{00000000-0005-0000-0000-00002D000000}"/>
    <cellStyle name="20% - 강조색1 2 3 3" xfId="54" xr:uid="{00000000-0005-0000-0000-00002E000000}"/>
    <cellStyle name="20% - 강조색1 2 3 4" xfId="55" xr:uid="{00000000-0005-0000-0000-00002F000000}"/>
    <cellStyle name="20% - 강조색1 2 3 5" xfId="56" xr:uid="{00000000-0005-0000-0000-000030000000}"/>
    <cellStyle name="20% - 강조색1 2 3 6" xfId="57" xr:uid="{00000000-0005-0000-0000-000031000000}"/>
    <cellStyle name="20% - 강조색1 2 4" xfId="58" xr:uid="{00000000-0005-0000-0000-000032000000}"/>
    <cellStyle name="20% - 강조색1 2 4 2" xfId="59" xr:uid="{00000000-0005-0000-0000-000033000000}"/>
    <cellStyle name="20% - 강조색1 2 4 3" xfId="60" xr:uid="{00000000-0005-0000-0000-000034000000}"/>
    <cellStyle name="20% - 강조색1 2 4 4" xfId="61" xr:uid="{00000000-0005-0000-0000-000035000000}"/>
    <cellStyle name="20% - 강조색1 2 4 5" xfId="62" xr:uid="{00000000-0005-0000-0000-000036000000}"/>
    <cellStyle name="20% - 강조색1 2 4 6" xfId="63" xr:uid="{00000000-0005-0000-0000-000037000000}"/>
    <cellStyle name="20% - 강조색1 2 5" xfId="64" xr:uid="{00000000-0005-0000-0000-000038000000}"/>
    <cellStyle name="20% - 강조색1 2 5 2" xfId="65" xr:uid="{00000000-0005-0000-0000-000039000000}"/>
    <cellStyle name="20% - 강조색1 2 5 3" xfId="66" xr:uid="{00000000-0005-0000-0000-00003A000000}"/>
    <cellStyle name="20% - 강조색1 2 5 4" xfId="67" xr:uid="{00000000-0005-0000-0000-00003B000000}"/>
    <cellStyle name="20% - 강조색1 2 5 5" xfId="68" xr:uid="{00000000-0005-0000-0000-00003C000000}"/>
    <cellStyle name="20% - 강조색1 2 5 6" xfId="69" xr:uid="{00000000-0005-0000-0000-00003D000000}"/>
    <cellStyle name="20% - 강조색1 2 6" xfId="70" xr:uid="{00000000-0005-0000-0000-00003E000000}"/>
    <cellStyle name="20% - 강조색1 2 6 2" xfId="71" xr:uid="{00000000-0005-0000-0000-00003F000000}"/>
    <cellStyle name="20% - 강조색1 2 6 3" xfId="72" xr:uid="{00000000-0005-0000-0000-000040000000}"/>
    <cellStyle name="20% - 강조색1 2 6 4" xfId="73" xr:uid="{00000000-0005-0000-0000-000041000000}"/>
    <cellStyle name="20% - 강조색1 2 6 5" xfId="74" xr:uid="{00000000-0005-0000-0000-000042000000}"/>
    <cellStyle name="20% - 강조색1 2 6 6" xfId="75" xr:uid="{00000000-0005-0000-0000-000043000000}"/>
    <cellStyle name="20% - 강조색1 2 7" xfId="76" xr:uid="{00000000-0005-0000-0000-000044000000}"/>
    <cellStyle name="20% - 강조색1 2 7 2" xfId="77" xr:uid="{00000000-0005-0000-0000-000045000000}"/>
    <cellStyle name="20% - 강조색1 2 7 3" xfId="78" xr:uid="{00000000-0005-0000-0000-000046000000}"/>
    <cellStyle name="20% - 강조색1 2 7 4" xfId="79" xr:uid="{00000000-0005-0000-0000-000047000000}"/>
    <cellStyle name="20% - 강조색1 2 7 5" xfId="80" xr:uid="{00000000-0005-0000-0000-000048000000}"/>
    <cellStyle name="20% - 강조색1 2 7 6" xfId="81" xr:uid="{00000000-0005-0000-0000-000049000000}"/>
    <cellStyle name="20% - 강조색1 2 8" xfId="82" xr:uid="{00000000-0005-0000-0000-00004A000000}"/>
    <cellStyle name="20% - 강조색1 2 8 2" xfId="83" xr:uid="{00000000-0005-0000-0000-00004B000000}"/>
    <cellStyle name="20% - 강조색1 2 8 3" xfId="84" xr:uid="{00000000-0005-0000-0000-00004C000000}"/>
    <cellStyle name="20% - 강조색1 2 8 4" xfId="85" xr:uid="{00000000-0005-0000-0000-00004D000000}"/>
    <cellStyle name="20% - 강조색1 2 8 5" xfId="86" xr:uid="{00000000-0005-0000-0000-00004E000000}"/>
    <cellStyle name="20% - 강조색1 2 8 6" xfId="87" xr:uid="{00000000-0005-0000-0000-00004F000000}"/>
    <cellStyle name="20% - 강조색1 2 9" xfId="88" xr:uid="{00000000-0005-0000-0000-000050000000}"/>
    <cellStyle name="20% - 강조색1 2 9 2" xfId="89" xr:uid="{00000000-0005-0000-0000-000051000000}"/>
    <cellStyle name="20% - 강조색1 2 9 3" xfId="90" xr:uid="{00000000-0005-0000-0000-000052000000}"/>
    <cellStyle name="20% - 강조색1 2 9 4" xfId="91" xr:uid="{00000000-0005-0000-0000-000053000000}"/>
    <cellStyle name="20% - 강조색1 2 9 5" xfId="92" xr:uid="{00000000-0005-0000-0000-000054000000}"/>
    <cellStyle name="20% - 강조색1 2 9 6" xfId="93" xr:uid="{00000000-0005-0000-0000-000055000000}"/>
    <cellStyle name="20% - 강조색2 2" xfId="94" xr:uid="{00000000-0005-0000-0000-000056000000}"/>
    <cellStyle name="20% - 강조색2 2 10" xfId="95" xr:uid="{00000000-0005-0000-0000-000057000000}"/>
    <cellStyle name="20% - 강조색2 2 10 2" xfId="96" xr:uid="{00000000-0005-0000-0000-000058000000}"/>
    <cellStyle name="20% - 강조색2 2 10 3" xfId="97" xr:uid="{00000000-0005-0000-0000-000059000000}"/>
    <cellStyle name="20% - 강조색2 2 10 4" xfId="98" xr:uid="{00000000-0005-0000-0000-00005A000000}"/>
    <cellStyle name="20% - 강조색2 2 10 5" xfId="99" xr:uid="{00000000-0005-0000-0000-00005B000000}"/>
    <cellStyle name="20% - 강조색2 2 10 6" xfId="100" xr:uid="{00000000-0005-0000-0000-00005C000000}"/>
    <cellStyle name="20% - 강조색2 2 11" xfId="101" xr:uid="{00000000-0005-0000-0000-00005D000000}"/>
    <cellStyle name="20% - 강조색2 2 11 2" xfId="102" xr:uid="{00000000-0005-0000-0000-00005E000000}"/>
    <cellStyle name="20% - 강조색2 2 11 3" xfId="103" xr:uid="{00000000-0005-0000-0000-00005F000000}"/>
    <cellStyle name="20% - 강조색2 2 11 4" xfId="104" xr:uid="{00000000-0005-0000-0000-000060000000}"/>
    <cellStyle name="20% - 강조색2 2 11 5" xfId="105" xr:uid="{00000000-0005-0000-0000-000061000000}"/>
    <cellStyle name="20% - 강조색2 2 11 6" xfId="106" xr:uid="{00000000-0005-0000-0000-000062000000}"/>
    <cellStyle name="20% - 강조색2 2 12" xfId="107" xr:uid="{00000000-0005-0000-0000-000063000000}"/>
    <cellStyle name="20% - 강조색2 2 12 2" xfId="108" xr:uid="{00000000-0005-0000-0000-000064000000}"/>
    <cellStyle name="20% - 강조색2 2 12 3" xfId="109" xr:uid="{00000000-0005-0000-0000-000065000000}"/>
    <cellStyle name="20% - 강조색2 2 12 4" xfId="110" xr:uid="{00000000-0005-0000-0000-000066000000}"/>
    <cellStyle name="20% - 강조색2 2 12 5" xfId="111" xr:uid="{00000000-0005-0000-0000-000067000000}"/>
    <cellStyle name="20% - 강조색2 2 12 6" xfId="112" xr:uid="{00000000-0005-0000-0000-000068000000}"/>
    <cellStyle name="20% - 강조색2 2 13" xfId="113" xr:uid="{00000000-0005-0000-0000-000069000000}"/>
    <cellStyle name="20% - 강조색2 2 13 2" xfId="114" xr:uid="{00000000-0005-0000-0000-00006A000000}"/>
    <cellStyle name="20% - 강조색2 2 13 3" xfId="115" xr:uid="{00000000-0005-0000-0000-00006B000000}"/>
    <cellStyle name="20% - 강조색2 2 13 4" xfId="116" xr:uid="{00000000-0005-0000-0000-00006C000000}"/>
    <cellStyle name="20% - 강조색2 2 13 5" xfId="117" xr:uid="{00000000-0005-0000-0000-00006D000000}"/>
    <cellStyle name="20% - 강조색2 2 13 6" xfId="118" xr:uid="{00000000-0005-0000-0000-00006E000000}"/>
    <cellStyle name="20% - 강조색2 2 14" xfId="119" xr:uid="{00000000-0005-0000-0000-00006F000000}"/>
    <cellStyle name="20% - 강조색2 2 14 2" xfId="120" xr:uid="{00000000-0005-0000-0000-000070000000}"/>
    <cellStyle name="20% - 강조색2 2 14 3" xfId="121" xr:uid="{00000000-0005-0000-0000-000071000000}"/>
    <cellStyle name="20% - 강조색2 2 14 4" xfId="122" xr:uid="{00000000-0005-0000-0000-000072000000}"/>
    <cellStyle name="20% - 강조색2 2 14 5" xfId="123" xr:uid="{00000000-0005-0000-0000-000073000000}"/>
    <cellStyle name="20% - 강조색2 2 14 6" xfId="124" xr:uid="{00000000-0005-0000-0000-000074000000}"/>
    <cellStyle name="20% - 강조색2 2 15" xfId="125" xr:uid="{00000000-0005-0000-0000-000075000000}"/>
    <cellStyle name="20% - 강조색2 2 16" xfId="126" xr:uid="{00000000-0005-0000-0000-000076000000}"/>
    <cellStyle name="20% - 강조색2 2 17" xfId="127" xr:uid="{00000000-0005-0000-0000-000077000000}"/>
    <cellStyle name="20% - 강조색2 2 18" xfId="128" xr:uid="{00000000-0005-0000-0000-000078000000}"/>
    <cellStyle name="20% - 강조색2 2 19" xfId="129" xr:uid="{00000000-0005-0000-0000-000079000000}"/>
    <cellStyle name="20% - 강조색2 2 2" xfId="130" xr:uid="{00000000-0005-0000-0000-00007A000000}"/>
    <cellStyle name="20% - 강조색2 2 2 2" xfId="131" xr:uid="{00000000-0005-0000-0000-00007B000000}"/>
    <cellStyle name="20% - 강조색2 2 2 3" xfId="132" xr:uid="{00000000-0005-0000-0000-00007C000000}"/>
    <cellStyle name="20% - 강조색2 2 2 4" xfId="133" xr:uid="{00000000-0005-0000-0000-00007D000000}"/>
    <cellStyle name="20% - 강조색2 2 2 5" xfId="134" xr:uid="{00000000-0005-0000-0000-00007E000000}"/>
    <cellStyle name="20% - 강조색2 2 2 6" xfId="135" xr:uid="{00000000-0005-0000-0000-00007F000000}"/>
    <cellStyle name="20% - 강조색2 2 3" xfId="136" xr:uid="{00000000-0005-0000-0000-000080000000}"/>
    <cellStyle name="20% - 강조색2 2 3 2" xfId="137" xr:uid="{00000000-0005-0000-0000-000081000000}"/>
    <cellStyle name="20% - 강조색2 2 3 3" xfId="138" xr:uid="{00000000-0005-0000-0000-000082000000}"/>
    <cellStyle name="20% - 강조색2 2 3 4" xfId="139" xr:uid="{00000000-0005-0000-0000-000083000000}"/>
    <cellStyle name="20% - 강조색2 2 3 5" xfId="140" xr:uid="{00000000-0005-0000-0000-000084000000}"/>
    <cellStyle name="20% - 강조색2 2 3 6" xfId="141" xr:uid="{00000000-0005-0000-0000-000085000000}"/>
    <cellStyle name="20% - 강조색2 2 4" xfId="142" xr:uid="{00000000-0005-0000-0000-000086000000}"/>
    <cellStyle name="20% - 강조색2 2 4 2" xfId="143" xr:uid="{00000000-0005-0000-0000-000087000000}"/>
    <cellStyle name="20% - 강조색2 2 4 3" xfId="144" xr:uid="{00000000-0005-0000-0000-000088000000}"/>
    <cellStyle name="20% - 강조색2 2 4 4" xfId="145" xr:uid="{00000000-0005-0000-0000-000089000000}"/>
    <cellStyle name="20% - 강조색2 2 4 5" xfId="146" xr:uid="{00000000-0005-0000-0000-00008A000000}"/>
    <cellStyle name="20% - 강조색2 2 4 6" xfId="147" xr:uid="{00000000-0005-0000-0000-00008B000000}"/>
    <cellStyle name="20% - 강조색2 2 5" xfId="148" xr:uid="{00000000-0005-0000-0000-00008C000000}"/>
    <cellStyle name="20% - 강조색2 2 5 2" xfId="149" xr:uid="{00000000-0005-0000-0000-00008D000000}"/>
    <cellStyle name="20% - 강조색2 2 5 3" xfId="150" xr:uid="{00000000-0005-0000-0000-00008E000000}"/>
    <cellStyle name="20% - 강조색2 2 5 4" xfId="151" xr:uid="{00000000-0005-0000-0000-00008F000000}"/>
    <cellStyle name="20% - 강조색2 2 5 5" xfId="152" xr:uid="{00000000-0005-0000-0000-000090000000}"/>
    <cellStyle name="20% - 강조색2 2 5 6" xfId="153" xr:uid="{00000000-0005-0000-0000-000091000000}"/>
    <cellStyle name="20% - 강조색2 2 6" xfId="154" xr:uid="{00000000-0005-0000-0000-000092000000}"/>
    <cellStyle name="20% - 강조색2 2 6 2" xfId="155" xr:uid="{00000000-0005-0000-0000-000093000000}"/>
    <cellStyle name="20% - 강조색2 2 6 3" xfId="156" xr:uid="{00000000-0005-0000-0000-000094000000}"/>
    <cellStyle name="20% - 강조색2 2 6 4" xfId="157" xr:uid="{00000000-0005-0000-0000-000095000000}"/>
    <cellStyle name="20% - 강조색2 2 6 5" xfId="158" xr:uid="{00000000-0005-0000-0000-000096000000}"/>
    <cellStyle name="20% - 강조색2 2 6 6" xfId="159" xr:uid="{00000000-0005-0000-0000-000097000000}"/>
    <cellStyle name="20% - 강조색2 2 7" xfId="160" xr:uid="{00000000-0005-0000-0000-000098000000}"/>
    <cellStyle name="20% - 강조색2 2 7 2" xfId="161" xr:uid="{00000000-0005-0000-0000-000099000000}"/>
    <cellStyle name="20% - 강조색2 2 7 3" xfId="162" xr:uid="{00000000-0005-0000-0000-00009A000000}"/>
    <cellStyle name="20% - 강조색2 2 7 4" xfId="163" xr:uid="{00000000-0005-0000-0000-00009B000000}"/>
    <cellStyle name="20% - 강조색2 2 7 5" xfId="164" xr:uid="{00000000-0005-0000-0000-00009C000000}"/>
    <cellStyle name="20% - 강조색2 2 7 6" xfId="165" xr:uid="{00000000-0005-0000-0000-00009D000000}"/>
    <cellStyle name="20% - 강조색2 2 8" xfId="166" xr:uid="{00000000-0005-0000-0000-00009E000000}"/>
    <cellStyle name="20% - 강조색2 2 8 2" xfId="167" xr:uid="{00000000-0005-0000-0000-00009F000000}"/>
    <cellStyle name="20% - 강조색2 2 8 3" xfId="168" xr:uid="{00000000-0005-0000-0000-0000A0000000}"/>
    <cellStyle name="20% - 강조색2 2 8 4" xfId="169" xr:uid="{00000000-0005-0000-0000-0000A1000000}"/>
    <cellStyle name="20% - 강조색2 2 8 5" xfId="170" xr:uid="{00000000-0005-0000-0000-0000A2000000}"/>
    <cellStyle name="20% - 강조색2 2 8 6" xfId="171" xr:uid="{00000000-0005-0000-0000-0000A3000000}"/>
    <cellStyle name="20% - 강조색2 2 9" xfId="172" xr:uid="{00000000-0005-0000-0000-0000A4000000}"/>
    <cellStyle name="20% - 강조색2 2 9 2" xfId="173" xr:uid="{00000000-0005-0000-0000-0000A5000000}"/>
    <cellStyle name="20% - 강조색2 2 9 3" xfId="174" xr:uid="{00000000-0005-0000-0000-0000A6000000}"/>
    <cellStyle name="20% - 강조색2 2 9 4" xfId="175" xr:uid="{00000000-0005-0000-0000-0000A7000000}"/>
    <cellStyle name="20% - 강조색2 2 9 5" xfId="176" xr:uid="{00000000-0005-0000-0000-0000A8000000}"/>
    <cellStyle name="20% - 강조색2 2 9 6" xfId="177" xr:uid="{00000000-0005-0000-0000-0000A9000000}"/>
    <cellStyle name="20% - 강조색3 2" xfId="178" xr:uid="{00000000-0005-0000-0000-0000AA000000}"/>
    <cellStyle name="20% - 강조색3 2 10" xfId="179" xr:uid="{00000000-0005-0000-0000-0000AB000000}"/>
    <cellStyle name="20% - 강조색3 2 10 2" xfId="180" xr:uid="{00000000-0005-0000-0000-0000AC000000}"/>
    <cellStyle name="20% - 강조색3 2 10 3" xfId="181" xr:uid="{00000000-0005-0000-0000-0000AD000000}"/>
    <cellStyle name="20% - 강조색3 2 10 4" xfId="182" xr:uid="{00000000-0005-0000-0000-0000AE000000}"/>
    <cellStyle name="20% - 강조색3 2 10 5" xfId="183" xr:uid="{00000000-0005-0000-0000-0000AF000000}"/>
    <cellStyle name="20% - 강조색3 2 10 6" xfId="184" xr:uid="{00000000-0005-0000-0000-0000B0000000}"/>
    <cellStyle name="20% - 강조색3 2 11" xfId="185" xr:uid="{00000000-0005-0000-0000-0000B1000000}"/>
    <cellStyle name="20% - 강조색3 2 11 2" xfId="186" xr:uid="{00000000-0005-0000-0000-0000B2000000}"/>
    <cellStyle name="20% - 강조색3 2 11 3" xfId="187" xr:uid="{00000000-0005-0000-0000-0000B3000000}"/>
    <cellStyle name="20% - 강조색3 2 11 4" xfId="188" xr:uid="{00000000-0005-0000-0000-0000B4000000}"/>
    <cellStyle name="20% - 강조색3 2 11 5" xfId="189" xr:uid="{00000000-0005-0000-0000-0000B5000000}"/>
    <cellStyle name="20% - 강조색3 2 11 6" xfId="190" xr:uid="{00000000-0005-0000-0000-0000B6000000}"/>
    <cellStyle name="20% - 강조색3 2 12" xfId="191" xr:uid="{00000000-0005-0000-0000-0000B7000000}"/>
    <cellStyle name="20% - 강조색3 2 12 2" xfId="192" xr:uid="{00000000-0005-0000-0000-0000B8000000}"/>
    <cellStyle name="20% - 강조색3 2 12 3" xfId="193" xr:uid="{00000000-0005-0000-0000-0000B9000000}"/>
    <cellStyle name="20% - 강조색3 2 12 4" xfId="194" xr:uid="{00000000-0005-0000-0000-0000BA000000}"/>
    <cellStyle name="20% - 강조색3 2 12 5" xfId="195" xr:uid="{00000000-0005-0000-0000-0000BB000000}"/>
    <cellStyle name="20% - 강조색3 2 12 6" xfId="196" xr:uid="{00000000-0005-0000-0000-0000BC000000}"/>
    <cellStyle name="20% - 강조색3 2 13" xfId="197" xr:uid="{00000000-0005-0000-0000-0000BD000000}"/>
    <cellStyle name="20% - 강조색3 2 13 2" xfId="198" xr:uid="{00000000-0005-0000-0000-0000BE000000}"/>
    <cellStyle name="20% - 강조색3 2 13 3" xfId="199" xr:uid="{00000000-0005-0000-0000-0000BF000000}"/>
    <cellStyle name="20% - 강조색3 2 13 4" xfId="200" xr:uid="{00000000-0005-0000-0000-0000C0000000}"/>
    <cellStyle name="20% - 강조색3 2 13 5" xfId="201" xr:uid="{00000000-0005-0000-0000-0000C1000000}"/>
    <cellStyle name="20% - 강조색3 2 13 6" xfId="202" xr:uid="{00000000-0005-0000-0000-0000C2000000}"/>
    <cellStyle name="20% - 강조색3 2 14" xfId="203" xr:uid="{00000000-0005-0000-0000-0000C3000000}"/>
    <cellStyle name="20% - 강조색3 2 14 2" xfId="204" xr:uid="{00000000-0005-0000-0000-0000C4000000}"/>
    <cellStyle name="20% - 강조색3 2 14 3" xfId="205" xr:uid="{00000000-0005-0000-0000-0000C5000000}"/>
    <cellStyle name="20% - 강조색3 2 14 4" xfId="206" xr:uid="{00000000-0005-0000-0000-0000C6000000}"/>
    <cellStyle name="20% - 강조색3 2 14 5" xfId="207" xr:uid="{00000000-0005-0000-0000-0000C7000000}"/>
    <cellStyle name="20% - 강조색3 2 14 6" xfId="208" xr:uid="{00000000-0005-0000-0000-0000C8000000}"/>
    <cellStyle name="20% - 강조색3 2 15" xfId="209" xr:uid="{00000000-0005-0000-0000-0000C9000000}"/>
    <cellStyle name="20% - 강조색3 2 16" xfId="210" xr:uid="{00000000-0005-0000-0000-0000CA000000}"/>
    <cellStyle name="20% - 강조색3 2 17" xfId="211" xr:uid="{00000000-0005-0000-0000-0000CB000000}"/>
    <cellStyle name="20% - 강조색3 2 18" xfId="212" xr:uid="{00000000-0005-0000-0000-0000CC000000}"/>
    <cellStyle name="20% - 강조색3 2 19" xfId="213" xr:uid="{00000000-0005-0000-0000-0000CD000000}"/>
    <cellStyle name="20% - 강조색3 2 2" xfId="214" xr:uid="{00000000-0005-0000-0000-0000CE000000}"/>
    <cellStyle name="20% - 강조색3 2 2 2" xfId="215" xr:uid="{00000000-0005-0000-0000-0000CF000000}"/>
    <cellStyle name="20% - 강조색3 2 2 3" xfId="216" xr:uid="{00000000-0005-0000-0000-0000D0000000}"/>
    <cellStyle name="20% - 강조색3 2 2 4" xfId="217" xr:uid="{00000000-0005-0000-0000-0000D1000000}"/>
    <cellStyle name="20% - 강조색3 2 2 5" xfId="218" xr:uid="{00000000-0005-0000-0000-0000D2000000}"/>
    <cellStyle name="20% - 강조색3 2 2 6" xfId="219" xr:uid="{00000000-0005-0000-0000-0000D3000000}"/>
    <cellStyle name="20% - 강조색3 2 3" xfId="220" xr:uid="{00000000-0005-0000-0000-0000D4000000}"/>
    <cellStyle name="20% - 강조색3 2 3 2" xfId="221" xr:uid="{00000000-0005-0000-0000-0000D5000000}"/>
    <cellStyle name="20% - 강조색3 2 3 3" xfId="222" xr:uid="{00000000-0005-0000-0000-0000D6000000}"/>
    <cellStyle name="20% - 강조색3 2 3 4" xfId="223" xr:uid="{00000000-0005-0000-0000-0000D7000000}"/>
    <cellStyle name="20% - 강조색3 2 3 5" xfId="224" xr:uid="{00000000-0005-0000-0000-0000D8000000}"/>
    <cellStyle name="20% - 강조색3 2 3 6" xfId="225" xr:uid="{00000000-0005-0000-0000-0000D9000000}"/>
    <cellStyle name="20% - 강조색3 2 4" xfId="226" xr:uid="{00000000-0005-0000-0000-0000DA000000}"/>
    <cellStyle name="20% - 강조색3 2 4 2" xfId="227" xr:uid="{00000000-0005-0000-0000-0000DB000000}"/>
    <cellStyle name="20% - 강조색3 2 4 3" xfId="228" xr:uid="{00000000-0005-0000-0000-0000DC000000}"/>
    <cellStyle name="20% - 강조색3 2 4 4" xfId="229" xr:uid="{00000000-0005-0000-0000-0000DD000000}"/>
    <cellStyle name="20% - 강조색3 2 4 5" xfId="230" xr:uid="{00000000-0005-0000-0000-0000DE000000}"/>
    <cellStyle name="20% - 강조색3 2 4 6" xfId="231" xr:uid="{00000000-0005-0000-0000-0000DF000000}"/>
    <cellStyle name="20% - 강조색3 2 5" xfId="232" xr:uid="{00000000-0005-0000-0000-0000E0000000}"/>
    <cellStyle name="20% - 강조색3 2 5 2" xfId="233" xr:uid="{00000000-0005-0000-0000-0000E1000000}"/>
    <cellStyle name="20% - 강조색3 2 5 3" xfId="234" xr:uid="{00000000-0005-0000-0000-0000E2000000}"/>
    <cellStyle name="20% - 강조색3 2 5 4" xfId="235" xr:uid="{00000000-0005-0000-0000-0000E3000000}"/>
    <cellStyle name="20% - 강조색3 2 5 5" xfId="236" xr:uid="{00000000-0005-0000-0000-0000E4000000}"/>
    <cellStyle name="20% - 강조색3 2 5 6" xfId="237" xr:uid="{00000000-0005-0000-0000-0000E5000000}"/>
    <cellStyle name="20% - 강조색3 2 6" xfId="238" xr:uid="{00000000-0005-0000-0000-0000E6000000}"/>
    <cellStyle name="20% - 강조색3 2 6 2" xfId="239" xr:uid="{00000000-0005-0000-0000-0000E7000000}"/>
    <cellStyle name="20% - 강조색3 2 6 3" xfId="240" xr:uid="{00000000-0005-0000-0000-0000E8000000}"/>
    <cellStyle name="20% - 강조색3 2 6 4" xfId="241" xr:uid="{00000000-0005-0000-0000-0000E9000000}"/>
    <cellStyle name="20% - 강조색3 2 6 5" xfId="242" xr:uid="{00000000-0005-0000-0000-0000EA000000}"/>
    <cellStyle name="20% - 강조색3 2 6 6" xfId="243" xr:uid="{00000000-0005-0000-0000-0000EB000000}"/>
    <cellStyle name="20% - 강조색3 2 7" xfId="244" xr:uid="{00000000-0005-0000-0000-0000EC000000}"/>
    <cellStyle name="20% - 강조색3 2 7 2" xfId="245" xr:uid="{00000000-0005-0000-0000-0000ED000000}"/>
    <cellStyle name="20% - 강조색3 2 7 3" xfId="246" xr:uid="{00000000-0005-0000-0000-0000EE000000}"/>
    <cellStyle name="20% - 강조색3 2 7 4" xfId="247" xr:uid="{00000000-0005-0000-0000-0000EF000000}"/>
    <cellStyle name="20% - 강조색3 2 7 5" xfId="248" xr:uid="{00000000-0005-0000-0000-0000F0000000}"/>
    <cellStyle name="20% - 강조색3 2 7 6" xfId="249" xr:uid="{00000000-0005-0000-0000-0000F1000000}"/>
    <cellStyle name="20% - 강조색3 2 8" xfId="250" xr:uid="{00000000-0005-0000-0000-0000F2000000}"/>
    <cellStyle name="20% - 강조색3 2 8 2" xfId="251" xr:uid="{00000000-0005-0000-0000-0000F3000000}"/>
    <cellStyle name="20% - 강조색3 2 8 3" xfId="252" xr:uid="{00000000-0005-0000-0000-0000F4000000}"/>
    <cellStyle name="20% - 강조색3 2 8 4" xfId="253" xr:uid="{00000000-0005-0000-0000-0000F5000000}"/>
    <cellStyle name="20% - 강조색3 2 8 5" xfId="254" xr:uid="{00000000-0005-0000-0000-0000F6000000}"/>
    <cellStyle name="20% - 강조색3 2 8 6" xfId="255" xr:uid="{00000000-0005-0000-0000-0000F7000000}"/>
    <cellStyle name="20% - 강조색3 2 9" xfId="256" xr:uid="{00000000-0005-0000-0000-0000F8000000}"/>
    <cellStyle name="20% - 강조색3 2 9 2" xfId="257" xr:uid="{00000000-0005-0000-0000-0000F9000000}"/>
    <cellStyle name="20% - 강조색3 2 9 3" xfId="258" xr:uid="{00000000-0005-0000-0000-0000FA000000}"/>
    <cellStyle name="20% - 강조색3 2 9 4" xfId="259" xr:uid="{00000000-0005-0000-0000-0000FB000000}"/>
    <cellStyle name="20% - 강조색3 2 9 5" xfId="260" xr:uid="{00000000-0005-0000-0000-0000FC000000}"/>
    <cellStyle name="20% - 강조색3 2 9 6" xfId="261" xr:uid="{00000000-0005-0000-0000-0000FD000000}"/>
    <cellStyle name="20% - 강조색4 2" xfId="262" xr:uid="{00000000-0005-0000-0000-0000FE000000}"/>
    <cellStyle name="20% - 강조색4 2 10" xfId="263" xr:uid="{00000000-0005-0000-0000-0000FF000000}"/>
    <cellStyle name="20% - 강조색4 2 10 2" xfId="264" xr:uid="{00000000-0005-0000-0000-000000010000}"/>
    <cellStyle name="20% - 강조색4 2 10 3" xfId="265" xr:uid="{00000000-0005-0000-0000-000001010000}"/>
    <cellStyle name="20% - 강조색4 2 10 4" xfId="266" xr:uid="{00000000-0005-0000-0000-000002010000}"/>
    <cellStyle name="20% - 강조색4 2 10 5" xfId="267" xr:uid="{00000000-0005-0000-0000-000003010000}"/>
    <cellStyle name="20% - 강조색4 2 10 6" xfId="268" xr:uid="{00000000-0005-0000-0000-000004010000}"/>
    <cellStyle name="20% - 강조색4 2 11" xfId="269" xr:uid="{00000000-0005-0000-0000-000005010000}"/>
    <cellStyle name="20% - 강조색4 2 11 2" xfId="270" xr:uid="{00000000-0005-0000-0000-000006010000}"/>
    <cellStyle name="20% - 강조색4 2 11 3" xfId="271" xr:uid="{00000000-0005-0000-0000-000007010000}"/>
    <cellStyle name="20% - 강조색4 2 11 4" xfId="272" xr:uid="{00000000-0005-0000-0000-000008010000}"/>
    <cellStyle name="20% - 강조색4 2 11 5" xfId="273" xr:uid="{00000000-0005-0000-0000-000009010000}"/>
    <cellStyle name="20% - 강조색4 2 11 6" xfId="274" xr:uid="{00000000-0005-0000-0000-00000A010000}"/>
    <cellStyle name="20% - 강조색4 2 12" xfId="275" xr:uid="{00000000-0005-0000-0000-00000B010000}"/>
    <cellStyle name="20% - 강조색4 2 12 2" xfId="276" xr:uid="{00000000-0005-0000-0000-00000C010000}"/>
    <cellStyle name="20% - 강조색4 2 12 3" xfId="277" xr:uid="{00000000-0005-0000-0000-00000D010000}"/>
    <cellStyle name="20% - 강조색4 2 12 4" xfId="278" xr:uid="{00000000-0005-0000-0000-00000E010000}"/>
    <cellStyle name="20% - 강조색4 2 12 5" xfId="279" xr:uid="{00000000-0005-0000-0000-00000F010000}"/>
    <cellStyle name="20% - 강조색4 2 12 6" xfId="280" xr:uid="{00000000-0005-0000-0000-000010010000}"/>
    <cellStyle name="20% - 강조색4 2 13" xfId="281" xr:uid="{00000000-0005-0000-0000-000011010000}"/>
    <cellStyle name="20% - 강조색4 2 13 2" xfId="282" xr:uid="{00000000-0005-0000-0000-000012010000}"/>
    <cellStyle name="20% - 강조색4 2 13 3" xfId="283" xr:uid="{00000000-0005-0000-0000-000013010000}"/>
    <cellStyle name="20% - 강조색4 2 13 4" xfId="284" xr:uid="{00000000-0005-0000-0000-000014010000}"/>
    <cellStyle name="20% - 강조색4 2 13 5" xfId="285" xr:uid="{00000000-0005-0000-0000-000015010000}"/>
    <cellStyle name="20% - 강조색4 2 13 6" xfId="286" xr:uid="{00000000-0005-0000-0000-000016010000}"/>
    <cellStyle name="20% - 강조색4 2 14" xfId="287" xr:uid="{00000000-0005-0000-0000-000017010000}"/>
    <cellStyle name="20% - 강조색4 2 14 2" xfId="288" xr:uid="{00000000-0005-0000-0000-000018010000}"/>
    <cellStyle name="20% - 강조색4 2 14 3" xfId="289" xr:uid="{00000000-0005-0000-0000-000019010000}"/>
    <cellStyle name="20% - 강조색4 2 14 4" xfId="290" xr:uid="{00000000-0005-0000-0000-00001A010000}"/>
    <cellStyle name="20% - 강조색4 2 14 5" xfId="291" xr:uid="{00000000-0005-0000-0000-00001B010000}"/>
    <cellStyle name="20% - 강조색4 2 14 6" xfId="292" xr:uid="{00000000-0005-0000-0000-00001C010000}"/>
    <cellStyle name="20% - 강조색4 2 15" xfId="293" xr:uid="{00000000-0005-0000-0000-00001D010000}"/>
    <cellStyle name="20% - 강조색4 2 16" xfId="294" xr:uid="{00000000-0005-0000-0000-00001E010000}"/>
    <cellStyle name="20% - 강조색4 2 17" xfId="295" xr:uid="{00000000-0005-0000-0000-00001F010000}"/>
    <cellStyle name="20% - 강조색4 2 18" xfId="296" xr:uid="{00000000-0005-0000-0000-000020010000}"/>
    <cellStyle name="20% - 강조색4 2 19" xfId="297" xr:uid="{00000000-0005-0000-0000-000021010000}"/>
    <cellStyle name="20% - 강조색4 2 2" xfId="298" xr:uid="{00000000-0005-0000-0000-000022010000}"/>
    <cellStyle name="20% - 강조색4 2 2 2" xfId="299" xr:uid="{00000000-0005-0000-0000-000023010000}"/>
    <cellStyle name="20% - 강조색4 2 2 3" xfId="300" xr:uid="{00000000-0005-0000-0000-000024010000}"/>
    <cellStyle name="20% - 강조색4 2 2 4" xfId="301" xr:uid="{00000000-0005-0000-0000-000025010000}"/>
    <cellStyle name="20% - 강조색4 2 2 5" xfId="302" xr:uid="{00000000-0005-0000-0000-000026010000}"/>
    <cellStyle name="20% - 강조색4 2 2 6" xfId="303" xr:uid="{00000000-0005-0000-0000-000027010000}"/>
    <cellStyle name="20% - 강조색4 2 3" xfId="304" xr:uid="{00000000-0005-0000-0000-000028010000}"/>
    <cellStyle name="20% - 강조색4 2 3 2" xfId="305" xr:uid="{00000000-0005-0000-0000-000029010000}"/>
    <cellStyle name="20% - 강조색4 2 3 3" xfId="306" xr:uid="{00000000-0005-0000-0000-00002A010000}"/>
    <cellStyle name="20% - 강조색4 2 3 4" xfId="307" xr:uid="{00000000-0005-0000-0000-00002B010000}"/>
    <cellStyle name="20% - 강조색4 2 3 5" xfId="308" xr:uid="{00000000-0005-0000-0000-00002C010000}"/>
    <cellStyle name="20% - 강조색4 2 3 6" xfId="309" xr:uid="{00000000-0005-0000-0000-00002D010000}"/>
    <cellStyle name="20% - 강조색4 2 4" xfId="310" xr:uid="{00000000-0005-0000-0000-00002E010000}"/>
    <cellStyle name="20% - 강조색4 2 4 2" xfId="311" xr:uid="{00000000-0005-0000-0000-00002F010000}"/>
    <cellStyle name="20% - 강조색4 2 4 3" xfId="312" xr:uid="{00000000-0005-0000-0000-000030010000}"/>
    <cellStyle name="20% - 강조색4 2 4 4" xfId="313" xr:uid="{00000000-0005-0000-0000-000031010000}"/>
    <cellStyle name="20% - 강조색4 2 4 5" xfId="314" xr:uid="{00000000-0005-0000-0000-000032010000}"/>
    <cellStyle name="20% - 강조색4 2 4 6" xfId="315" xr:uid="{00000000-0005-0000-0000-000033010000}"/>
    <cellStyle name="20% - 강조색4 2 5" xfId="316" xr:uid="{00000000-0005-0000-0000-000034010000}"/>
    <cellStyle name="20% - 강조색4 2 5 2" xfId="317" xr:uid="{00000000-0005-0000-0000-000035010000}"/>
    <cellStyle name="20% - 강조색4 2 5 3" xfId="318" xr:uid="{00000000-0005-0000-0000-000036010000}"/>
    <cellStyle name="20% - 강조색4 2 5 4" xfId="319" xr:uid="{00000000-0005-0000-0000-000037010000}"/>
    <cellStyle name="20% - 강조색4 2 5 5" xfId="320" xr:uid="{00000000-0005-0000-0000-000038010000}"/>
    <cellStyle name="20% - 강조색4 2 5 6" xfId="321" xr:uid="{00000000-0005-0000-0000-000039010000}"/>
    <cellStyle name="20% - 강조색4 2 6" xfId="322" xr:uid="{00000000-0005-0000-0000-00003A010000}"/>
    <cellStyle name="20% - 강조색4 2 6 2" xfId="323" xr:uid="{00000000-0005-0000-0000-00003B010000}"/>
    <cellStyle name="20% - 강조색4 2 6 3" xfId="324" xr:uid="{00000000-0005-0000-0000-00003C010000}"/>
    <cellStyle name="20% - 강조색4 2 6 4" xfId="325" xr:uid="{00000000-0005-0000-0000-00003D010000}"/>
    <cellStyle name="20% - 강조색4 2 6 5" xfId="326" xr:uid="{00000000-0005-0000-0000-00003E010000}"/>
    <cellStyle name="20% - 강조색4 2 6 6" xfId="327" xr:uid="{00000000-0005-0000-0000-00003F010000}"/>
    <cellStyle name="20% - 강조색4 2 7" xfId="328" xr:uid="{00000000-0005-0000-0000-000040010000}"/>
    <cellStyle name="20% - 강조색4 2 7 2" xfId="329" xr:uid="{00000000-0005-0000-0000-000041010000}"/>
    <cellStyle name="20% - 강조색4 2 7 3" xfId="330" xr:uid="{00000000-0005-0000-0000-000042010000}"/>
    <cellStyle name="20% - 강조색4 2 7 4" xfId="331" xr:uid="{00000000-0005-0000-0000-000043010000}"/>
    <cellStyle name="20% - 강조색4 2 7 5" xfId="332" xr:uid="{00000000-0005-0000-0000-000044010000}"/>
    <cellStyle name="20% - 강조색4 2 7 6" xfId="333" xr:uid="{00000000-0005-0000-0000-000045010000}"/>
    <cellStyle name="20% - 강조색4 2 8" xfId="334" xr:uid="{00000000-0005-0000-0000-000046010000}"/>
    <cellStyle name="20% - 강조색4 2 8 2" xfId="335" xr:uid="{00000000-0005-0000-0000-000047010000}"/>
    <cellStyle name="20% - 강조색4 2 8 3" xfId="336" xr:uid="{00000000-0005-0000-0000-000048010000}"/>
    <cellStyle name="20% - 강조색4 2 8 4" xfId="337" xr:uid="{00000000-0005-0000-0000-000049010000}"/>
    <cellStyle name="20% - 강조색4 2 8 5" xfId="338" xr:uid="{00000000-0005-0000-0000-00004A010000}"/>
    <cellStyle name="20% - 강조색4 2 8 6" xfId="339" xr:uid="{00000000-0005-0000-0000-00004B010000}"/>
    <cellStyle name="20% - 강조색4 2 9" xfId="340" xr:uid="{00000000-0005-0000-0000-00004C010000}"/>
    <cellStyle name="20% - 강조색4 2 9 2" xfId="341" xr:uid="{00000000-0005-0000-0000-00004D010000}"/>
    <cellStyle name="20% - 강조색4 2 9 3" xfId="342" xr:uid="{00000000-0005-0000-0000-00004E010000}"/>
    <cellStyle name="20% - 강조색4 2 9 4" xfId="343" xr:uid="{00000000-0005-0000-0000-00004F010000}"/>
    <cellStyle name="20% - 강조색4 2 9 5" xfId="344" xr:uid="{00000000-0005-0000-0000-000050010000}"/>
    <cellStyle name="20% - 강조색4 2 9 6" xfId="345" xr:uid="{00000000-0005-0000-0000-000051010000}"/>
    <cellStyle name="20% - 강조색5 2" xfId="346" xr:uid="{00000000-0005-0000-0000-000052010000}"/>
    <cellStyle name="20% - 강조색5 2 10" xfId="347" xr:uid="{00000000-0005-0000-0000-000053010000}"/>
    <cellStyle name="20% - 강조색5 2 10 2" xfId="348" xr:uid="{00000000-0005-0000-0000-000054010000}"/>
    <cellStyle name="20% - 강조색5 2 10 3" xfId="349" xr:uid="{00000000-0005-0000-0000-000055010000}"/>
    <cellStyle name="20% - 강조색5 2 10 4" xfId="350" xr:uid="{00000000-0005-0000-0000-000056010000}"/>
    <cellStyle name="20% - 강조색5 2 10 5" xfId="351" xr:uid="{00000000-0005-0000-0000-000057010000}"/>
    <cellStyle name="20% - 강조색5 2 10 6" xfId="352" xr:uid="{00000000-0005-0000-0000-000058010000}"/>
    <cellStyle name="20% - 강조색5 2 11" xfId="353" xr:uid="{00000000-0005-0000-0000-000059010000}"/>
    <cellStyle name="20% - 강조색5 2 11 2" xfId="354" xr:uid="{00000000-0005-0000-0000-00005A010000}"/>
    <cellStyle name="20% - 강조색5 2 11 3" xfId="355" xr:uid="{00000000-0005-0000-0000-00005B010000}"/>
    <cellStyle name="20% - 강조색5 2 11 4" xfId="356" xr:uid="{00000000-0005-0000-0000-00005C010000}"/>
    <cellStyle name="20% - 강조색5 2 11 5" xfId="357" xr:uid="{00000000-0005-0000-0000-00005D010000}"/>
    <cellStyle name="20% - 강조색5 2 11 6" xfId="358" xr:uid="{00000000-0005-0000-0000-00005E010000}"/>
    <cellStyle name="20% - 강조색5 2 12" xfId="359" xr:uid="{00000000-0005-0000-0000-00005F010000}"/>
    <cellStyle name="20% - 강조색5 2 12 2" xfId="360" xr:uid="{00000000-0005-0000-0000-000060010000}"/>
    <cellStyle name="20% - 강조색5 2 12 3" xfId="361" xr:uid="{00000000-0005-0000-0000-000061010000}"/>
    <cellStyle name="20% - 강조색5 2 12 4" xfId="362" xr:uid="{00000000-0005-0000-0000-000062010000}"/>
    <cellStyle name="20% - 강조색5 2 12 5" xfId="363" xr:uid="{00000000-0005-0000-0000-000063010000}"/>
    <cellStyle name="20% - 강조색5 2 12 6" xfId="364" xr:uid="{00000000-0005-0000-0000-000064010000}"/>
    <cellStyle name="20% - 강조색5 2 13" xfId="365" xr:uid="{00000000-0005-0000-0000-000065010000}"/>
    <cellStyle name="20% - 강조색5 2 13 2" xfId="366" xr:uid="{00000000-0005-0000-0000-000066010000}"/>
    <cellStyle name="20% - 강조색5 2 13 3" xfId="367" xr:uid="{00000000-0005-0000-0000-000067010000}"/>
    <cellStyle name="20% - 강조색5 2 13 4" xfId="368" xr:uid="{00000000-0005-0000-0000-000068010000}"/>
    <cellStyle name="20% - 강조색5 2 13 5" xfId="369" xr:uid="{00000000-0005-0000-0000-000069010000}"/>
    <cellStyle name="20% - 강조색5 2 13 6" xfId="370" xr:uid="{00000000-0005-0000-0000-00006A010000}"/>
    <cellStyle name="20% - 강조색5 2 14" xfId="371" xr:uid="{00000000-0005-0000-0000-00006B010000}"/>
    <cellStyle name="20% - 강조색5 2 14 2" xfId="372" xr:uid="{00000000-0005-0000-0000-00006C010000}"/>
    <cellStyle name="20% - 강조색5 2 14 3" xfId="373" xr:uid="{00000000-0005-0000-0000-00006D010000}"/>
    <cellStyle name="20% - 강조색5 2 14 4" xfId="374" xr:uid="{00000000-0005-0000-0000-00006E010000}"/>
    <cellStyle name="20% - 강조색5 2 14 5" xfId="375" xr:uid="{00000000-0005-0000-0000-00006F010000}"/>
    <cellStyle name="20% - 강조색5 2 14 6" xfId="376" xr:uid="{00000000-0005-0000-0000-000070010000}"/>
    <cellStyle name="20% - 강조색5 2 15" xfId="377" xr:uid="{00000000-0005-0000-0000-000071010000}"/>
    <cellStyle name="20% - 강조색5 2 16" xfId="378" xr:uid="{00000000-0005-0000-0000-000072010000}"/>
    <cellStyle name="20% - 강조색5 2 17" xfId="379" xr:uid="{00000000-0005-0000-0000-000073010000}"/>
    <cellStyle name="20% - 강조색5 2 18" xfId="380" xr:uid="{00000000-0005-0000-0000-000074010000}"/>
    <cellStyle name="20% - 강조색5 2 19" xfId="381" xr:uid="{00000000-0005-0000-0000-000075010000}"/>
    <cellStyle name="20% - 강조색5 2 2" xfId="382" xr:uid="{00000000-0005-0000-0000-000076010000}"/>
    <cellStyle name="20% - 강조색5 2 2 2" xfId="383" xr:uid="{00000000-0005-0000-0000-000077010000}"/>
    <cellStyle name="20% - 강조색5 2 2 3" xfId="384" xr:uid="{00000000-0005-0000-0000-000078010000}"/>
    <cellStyle name="20% - 강조색5 2 2 4" xfId="385" xr:uid="{00000000-0005-0000-0000-000079010000}"/>
    <cellStyle name="20% - 강조색5 2 2 5" xfId="386" xr:uid="{00000000-0005-0000-0000-00007A010000}"/>
    <cellStyle name="20% - 강조색5 2 2 6" xfId="387" xr:uid="{00000000-0005-0000-0000-00007B010000}"/>
    <cellStyle name="20% - 강조색5 2 3" xfId="388" xr:uid="{00000000-0005-0000-0000-00007C010000}"/>
    <cellStyle name="20% - 강조색5 2 3 2" xfId="389" xr:uid="{00000000-0005-0000-0000-00007D010000}"/>
    <cellStyle name="20% - 강조색5 2 3 3" xfId="390" xr:uid="{00000000-0005-0000-0000-00007E010000}"/>
    <cellStyle name="20% - 강조색5 2 3 4" xfId="391" xr:uid="{00000000-0005-0000-0000-00007F010000}"/>
    <cellStyle name="20% - 강조색5 2 3 5" xfId="392" xr:uid="{00000000-0005-0000-0000-000080010000}"/>
    <cellStyle name="20% - 강조색5 2 3 6" xfId="393" xr:uid="{00000000-0005-0000-0000-000081010000}"/>
    <cellStyle name="20% - 강조색5 2 4" xfId="394" xr:uid="{00000000-0005-0000-0000-000082010000}"/>
    <cellStyle name="20% - 강조색5 2 4 2" xfId="395" xr:uid="{00000000-0005-0000-0000-000083010000}"/>
    <cellStyle name="20% - 강조색5 2 4 3" xfId="396" xr:uid="{00000000-0005-0000-0000-000084010000}"/>
    <cellStyle name="20% - 강조색5 2 4 4" xfId="397" xr:uid="{00000000-0005-0000-0000-000085010000}"/>
    <cellStyle name="20% - 강조색5 2 4 5" xfId="398" xr:uid="{00000000-0005-0000-0000-000086010000}"/>
    <cellStyle name="20% - 강조색5 2 4 6" xfId="399" xr:uid="{00000000-0005-0000-0000-000087010000}"/>
    <cellStyle name="20% - 강조색5 2 5" xfId="400" xr:uid="{00000000-0005-0000-0000-000088010000}"/>
    <cellStyle name="20% - 강조색5 2 5 2" xfId="401" xr:uid="{00000000-0005-0000-0000-000089010000}"/>
    <cellStyle name="20% - 강조색5 2 5 3" xfId="402" xr:uid="{00000000-0005-0000-0000-00008A010000}"/>
    <cellStyle name="20% - 강조색5 2 5 4" xfId="403" xr:uid="{00000000-0005-0000-0000-00008B010000}"/>
    <cellStyle name="20% - 강조색5 2 5 5" xfId="404" xr:uid="{00000000-0005-0000-0000-00008C010000}"/>
    <cellStyle name="20% - 강조색5 2 5 6" xfId="405" xr:uid="{00000000-0005-0000-0000-00008D010000}"/>
    <cellStyle name="20% - 강조색5 2 6" xfId="406" xr:uid="{00000000-0005-0000-0000-00008E010000}"/>
    <cellStyle name="20% - 강조색5 2 6 2" xfId="407" xr:uid="{00000000-0005-0000-0000-00008F010000}"/>
    <cellStyle name="20% - 강조색5 2 6 3" xfId="408" xr:uid="{00000000-0005-0000-0000-000090010000}"/>
    <cellStyle name="20% - 강조색5 2 6 4" xfId="409" xr:uid="{00000000-0005-0000-0000-000091010000}"/>
    <cellStyle name="20% - 강조색5 2 6 5" xfId="410" xr:uid="{00000000-0005-0000-0000-000092010000}"/>
    <cellStyle name="20% - 강조색5 2 6 6" xfId="411" xr:uid="{00000000-0005-0000-0000-000093010000}"/>
    <cellStyle name="20% - 강조색5 2 7" xfId="412" xr:uid="{00000000-0005-0000-0000-000094010000}"/>
    <cellStyle name="20% - 강조색5 2 7 2" xfId="413" xr:uid="{00000000-0005-0000-0000-000095010000}"/>
    <cellStyle name="20% - 강조색5 2 7 3" xfId="414" xr:uid="{00000000-0005-0000-0000-000096010000}"/>
    <cellStyle name="20% - 강조색5 2 7 4" xfId="415" xr:uid="{00000000-0005-0000-0000-000097010000}"/>
    <cellStyle name="20% - 강조색5 2 7 5" xfId="416" xr:uid="{00000000-0005-0000-0000-000098010000}"/>
    <cellStyle name="20% - 강조색5 2 7 6" xfId="417" xr:uid="{00000000-0005-0000-0000-000099010000}"/>
    <cellStyle name="20% - 강조색5 2 8" xfId="418" xr:uid="{00000000-0005-0000-0000-00009A010000}"/>
    <cellStyle name="20% - 강조색5 2 8 2" xfId="419" xr:uid="{00000000-0005-0000-0000-00009B010000}"/>
    <cellStyle name="20% - 강조색5 2 8 3" xfId="420" xr:uid="{00000000-0005-0000-0000-00009C010000}"/>
    <cellStyle name="20% - 강조색5 2 8 4" xfId="421" xr:uid="{00000000-0005-0000-0000-00009D010000}"/>
    <cellStyle name="20% - 강조색5 2 8 5" xfId="422" xr:uid="{00000000-0005-0000-0000-00009E010000}"/>
    <cellStyle name="20% - 강조색5 2 8 6" xfId="423" xr:uid="{00000000-0005-0000-0000-00009F010000}"/>
    <cellStyle name="20% - 강조색5 2 9" xfId="424" xr:uid="{00000000-0005-0000-0000-0000A0010000}"/>
    <cellStyle name="20% - 강조색5 2 9 2" xfId="425" xr:uid="{00000000-0005-0000-0000-0000A1010000}"/>
    <cellStyle name="20% - 강조색5 2 9 3" xfId="426" xr:uid="{00000000-0005-0000-0000-0000A2010000}"/>
    <cellStyle name="20% - 강조색5 2 9 4" xfId="427" xr:uid="{00000000-0005-0000-0000-0000A3010000}"/>
    <cellStyle name="20% - 강조색5 2 9 5" xfId="428" xr:uid="{00000000-0005-0000-0000-0000A4010000}"/>
    <cellStyle name="20% - 강조색5 2 9 6" xfId="429" xr:uid="{00000000-0005-0000-0000-0000A5010000}"/>
    <cellStyle name="20% - 강조색6 2" xfId="430" xr:uid="{00000000-0005-0000-0000-0000A6010000}"/>
    <cellStyle name="20% - 강조색6 2 10" xfId="431" xr:uid="{00000000-0005-0000-0000-0000A7010000}"/>
    <cellStyle name="20% - 강조색6 2 10 2" xfId="432" xr:uid="{00000000-0005-0000-0000-0000A8010000}"/>
    <cellStyle name="20% - 강조색6 2 10 3" xfId="433" xr:uid="{00000000-0005-0000-0000-0000A9010000}"/>
    <cellStyle name="20% - 강조색6 2 10 4" xfId="434" xr:uid="{00000000-0005-0000-0000-0000AA010000}"/>
    <cellStyle name="20% - 강조색6 2 10 5" xfId="435" xr:uid="{00000000-0005-0000-0000-0000AB010000}"/>
    <cellStyle name="20% - 강조색6 2 10 6" xfId="436" xr:uid="{00000000-0005-0000-0000-0000AC010000}"/>
    <cellStyle name="20% - 강조색6 2 11" xfId="437" xr:uid="{00000000-0005-0000-0000-0000AD010000}"/>
    <cellStyle name="20% - 강조색6 2 11 2" xfId="438" xr:uid="{00000000-0005-0000-0000-0000AE010000}"/>
    <cellStyle name="20% - 강조색6 2 11 3" xfId="439" xr:uid="{00000000-0005-0000-0000-0000AF010000}"/>
    <cellStyle name="20% - 강조색6 2 11 4" xfId="440" xr:uid="{00000000-0005-0000-0000-0000B0010000}"/>
    <cellStyle name="20% - 강조색6 2 11 5" xfId="441" xr:uid="{00000000-0005-0000-0000-0000B1010000}"/>
    <cellStyle name="20% - 강조색6 2 11 6" xfId="442" xr:uid="{00000000-0005-0000-0000-0000B2010000}"/>
    <cellStyle name="20% - 강조색6 2 12" xfId="443" xr:uid="{00000000-0005-0000-0000-0000B3010000}"/>
    <cellStyle name="20% - 강조색6 2 12 2" xfId="444" xr:uid="{00000000-0005-0000-0000-0000B4010000}"/>
    <cellStyle name="20% - 강조색6 2 12 3" xfId="445" xr:uid="{00000000-0005-0000-0000-0000B5010000}"/>
    <cellStyle name="20% - 강조색6 2 12 4" xfId="446" xr:uid="{00000000-0005-0000-0000-0000B6010000}"/>
    <cellStyle name="20% - 강조색6 2 12 5" xfId="447" xr:uid="{00000000-0005-0000-0000-0000B7010000}"/>
    <cellStyle name="20% - 강조색6 2 12 6" xfId="448" xr:uid="{00000000-0005-0000-0000-0000B8010000}"/>
    <cellStyle name="20% - 강조색6 2 13" xfId="449" xr:uid="{00000000-0005-0000-0000-0000B9010000}"/>
    <cellStyle name="20% - 강조색6 2 13 2" xfId="450" xr:uid="{00000000-0005-0000-0000-0000BA010000}"/>
    <cellStyle name="20% - 강조색6 2 13 3" xfId="451" xr:uid="{00000000-0005-0000-0000-0000BB010000}"/>
    <cellStyle name="20% - 강조색6 2 13 4" xfId="452" xr:uid="{00000000-0005-0000-0000-0000BC010000}"/>
    <cellStyle name="20% - 강조색6 2 13 5" xfId="453" xr:uid="{00000000-0005-0000-0000-0000BD010000}"/>
    <cellStyle name="20% - 강조색6 2 13 6" xfId="454" xr:uid="{00000000-0005-0000-0000-0000BE010000}"/>
    <cellStyle name="20% - 강조색6 2 14" xfId="455" xr:uid="{00000000-0005-0000-0000-0000BF010000}"/>
    <cellStyle name="20% - 강조색6 2 14 2" xfId="456" xr:uid="{00000000-0005-0000-0000-0000C0010000}"/>
    <cellStyle name="20% - 강조색6 2 14 3" xfId="457" xr:uid="{00000000-0005-0000-0000-0000C1010000}"/>
    <cellStyle name="20% - 강조색6 2 14 4" xfId="458" xr:uid="{00000000-0005-0000-0000-0000C2010000}"/>
    <cellStyle name="20% - 강조색6 2 14 5" xfId="459" xr:uid="{00000000-0005-0000-0000-0000C3010000}"/>
    <cellStyle name="20% - 강조색6 2 14 6" xfId="460" xr:uid="{00000000-0005-0000-0000-0000C4010000}"/>
    <cellStyle name="20% - 강조색6 2 15" xfId="461" xr:uid="{00000000-0005-0000-0000-0000C5010000}"/>
    <cellStyle name="20% - 강조색6 2 16" xfId="462" xr:uid="{00000000-0005-0000-0000-0000C6010000}"/>
    <cellStyle name="20% - 강조색6 2 17" xfId="463" xr:uid="{00000000-0005-0000-0000-0000C7010000}"/>
    <cellStyle name="20% - 강조색6 2 18" xfId="464" xr:uid="{00000000-0005-0000-0000-0000C8010000}"/>
    <cellStyle name="20% - 강조색6 2 19" xfId="465" xr:uid="{00000000-0005-0000-0000-0000C9010000}"/>
    <cellStyle name="20% - 강조색6 2 2" xfId="466" xr:uid="{00000000-0005-0000-0000-0000CA010000}"/>
    <cellStyle name="20% - 강조색6 2 2 2" xfId="467" xr:uid="{00000000-0005-0000-0000-0000CB010000}"/>
    <cellStyle name="20% - 강조색6 2 2 3" xfId="468" xr:uid="{00000000-0005-0000-0000-0000CC010000}"/>
    <cellStyle name="20% - 강조색6 2 2 4" xfId="469" xr:uid="{00000000-0005-0000-0000-0000CD010000}"/>
    <cellStyle name="20% - 강조색6 2 2 5" xfId="470" xr:uid="{00000000-0005-0000-0000-0000CE010000}"/>
    <cellStyle name="20% - 강조색6 2 2 6" xfId="471" xr:uid="{00000000-0005-0000-0000-0000CF010000}"/>
    <cellStyle name="20% - 강조색6 2 3" xfId="472" xr:uid="{00000000-0005-0000-0000-0000D0010000}"/>
    <cellStyle name="20% - 강조색6 2 3 2" xfId="473" xr:uid="{00000000-0005-0000-0000-0000D1010000}"/>
    <cellStyle name="20% - 강조색6 2 3 3" xfId="474" xr:uid="{00000000-0005-0000-0000-0000D2010000}"/>
    <cellStyle name="20% - 강조색6 2 3 4" xfId="475" xr:uid="{00000000-0005-0000-0000-0000D3010000}"/>
    <cellStyle name="20% - 강조색6 2 3 5" xfId="476" xr:uid="{00000000-0005-0000-0000-0000D4010000}"/>
    <cellStyle name="20% - 강조색6 2 3 6" xfId="477" xr:uid="{00000000-0005-0000-0000-0000D5010000}"/>
    <cellStyle name="20% - 강조색6 2 4" xfId="478" xr:uid="{00000000-0005-0000-0000-0000D6010000}"/>
    <cellStyle name="20% - 강조색6 2 4 2" xfId="479" xr:uid="{00000000-0005-0000-0000-0000D7010000}"/>
    <cellStyle name="20% - 강조색6 2 4 3" xfId="480" xr:uid="{00000000-0005-0000-0000-0000D8010000}"/>
    <cellStyle name="20% - 강조색6 2 4 4" xfId="481" xr:uid="{00000000-0005-0000-0000-0000D9010000}"/>
    <cellStyle name="20% - 강조색6 2 4 5" xfId="482" xr:uid="{00000000-0005-0000-0000-0000DA010000}"/>
    <cellStyle name="20% - 강조색6 2 4 6" xfId="483" xr:uid="{00000000-0005-0000-0000-0000DB010000}"/>
    <cellStyle name="20% - 강조색6 2 5" xfId="484" xr:uid="{00000000-0005-0000-0000-0000DC010000}"/>
    <cellStyle name="20% - 강조색6 2 5 2" xfId="485" xr:uid="{00000000-0005-0000-0000-0000DD010000}"/>
    <cellStyle name="20% - 강조색6 2 5 3" xfId="486" xr:uid="{00000000-0005-0000-0000-0000DE010000}"/>
    <cellStyle name="20% - 강조색6 2 5 4" xfId="487" xr:uid="{00000000-0005-0000-0000-0000DF010000}"/>
    <cellStyle name="20% - 강조색6 2 5 5" xfId="488" xr:uid="{00000000-0005-0000-0000-0000E0010000}"/>
    <cellStyle name="20% - 강조색6 2 5 6" xfId="489" xr:uid="{00000000-0005-0000-0000-0000E1010000}"/>
    <cellStyle name="20% - 강조색6 2 6" xfId="490" xr:uid="{00000000-0005-0000-0000-0000E2010000}"/>
    <cellStyle name="20% - 강조색6 2 6 2" xfId="491" xr:uid="{00000000-0005-0000-0000-0000E3010000}"/>
    <cellStyle name="20% - 강조색6 2 6 3" xfId="492" xr:uid="{00000000-0005-0000-0000-0000E4010000}"/>
    <cellStyle name="20% - 강조색6 2 6 4" xfId="493" xr:uid="{00000000-0005-0000-0000-0000E5010000}"/>
    <cellStyle name="20% - 강조색6 2 6 5" xfId="494" xr:uid="{00000000-0005-0000-0000-0000E6010000}"/>
    <cellStyle name="20% - 강조색6 2 6 6" xfId="495" xr:uid="{00000000-0005-0000-0000-0000E7010000}"/>
    <cellStyle name="20% - 강조색6 2 7" xfId="496" xr:uid="{00000000-0005-0000-0000-0000E8010000}"/>
    <cellStyle name="20% - 강조색6 2 7 2" xfId="497" xr:uid="{00000000-0005-0000-0000-0000E9010000}"/>
    <cellStyle name="20% - 강조색6 2 7 3" xfId="498" xr:uid="{00000000-0005-0000-0000-0000EA010000}"/>
    <cellStyle name="20% - 강조색6 2 7 4" xfId="499" xr:uid="{00000000-0005-0000-0000-0000EB010000}"/>
    <cellStyle name="20% - 강조색6 2 7 5" xfId="500" xr:uid="{00000000-0005-0000-0000-0000EC010000}"/>
    <cellStyle name="20% - 강조색6 2 7 6" xfId="501" xr:uid="{00000000-0005-0000-0000-0000ED010000}"/>
    <cellStyle name="20% - 강조색6 2 8" xfId="502" xr:uid="{00000000-0005-0000-0000-0000EE010000}"/>
    <cellStyle name="20% - 강조색6 2 8 2" xfId="503" xr:uid="{00000000-0005-0000-0000-0000EF010000}"/>
    <cellStyle name="20% - 강조색6 2 8 3" xfId="504" xr:uid="{00000000-0005-0000-0000-0000F0010000}"/>
    <cellStyle name="20% - 강조색6 2 8 4" xfId="505" xr:uid="{00000000-0005-0000-0000-0000F1010000}"/>
    <cellStyle name="20% - 강조색6 2 8 5" xfId="506" xr:uid="{00000000-0005-0000-0000-0000F2010000}"/>
    <cellStyle name="20% - 강조색6 2 8 6" xfId="507" xr:uid="{00000000-0005-0000-0000-0000F3010000}"/>
    <cellStyle name="20% - 강조색6 2 9" xfId="508" xr:uid="{00000000-0005-0000-0000-0000F4010000}"/>
    <cellStyle name="20% - 강조색6 2 9 2" xfId="509" xr:uid="{00000000-0005-0000-0000-0000F5010000}"/>
    <cellStyle name="20% - 강조색6 2 9 3" xfId="510" xr:uid="{00000000-0005-0000-0000-0000F6010000}"/>
    <cellStyle name="20% - 강조색6 2 9 4" xfId="511" xr:uid="{00000000-0005-0000-0000-0000F7010000}"/>
    <cellStyle name="20% - 강조색6 2 9 5" xfId="512" xr:uid="{00000000-0005-0000-0000-0000F8010000}"/>
    <cellStyle name="20% - 강조색6 2 9 6" xfId="513" xr:uid="{00000000-0005-0000-0000-0000F9010000}"/>
    <cellStyle name="40% - 강조색1 2" xfId="514" xr:uid="{00000000-0005-0000-0000-0000FA010000}"/>
    <cellStyle name="40% - 강조색1 2 10" xfId="515" xr:uid="{00000000-0005-0000-0000-0000FB010000}"/>
    <cellStyle name="40% - 강조색1 2 10 2" xfId="516" xr:uid="{00000000-0005-0000-0000-0000FC010000}"/>
    <cellStyle name="40% - 강조색1 2 10 3" xfId="517" xr:uid="{00000000-0005-0000-0000-0000FD010000}"/>
    <cellStyle name="40% - 강조색1 2 10 4" xfId="518" xr:uid="{00000000-0005-0000-0000-0000FE010000}"/>
    <cellStyle name="40% - 강조색1 2 10 5" xfId="519" xr:uid="{00000000-0005-0000-0000-0000FF010000}"/>
    <cellStyle name="40% - 강조색1 2 10 6" xfId="520" xr:uid="{00000000-0005-0000-0000-000000020000}"/>
    <cellStyle name="40% - 강조색1 2 11" xfId="521" xr:uid="{00000000-0005-0000-0000-000001020000}"/>
    <cellStyle name="40% - 강조색1 2 11 2" xfId="522" xr:uid="{00000000-0005-0000-0000-000002020000}"/>
    <cellStyle name="40% - 강조색1 2 11 3" xfId="523" xr:uid="{00000000-0005-0000-0000-000003020000}"/>
    <cellStyle name="40% - 강조색1 2 11 4" xfId="524" xr:uid="{00000000-0005-0000-0000-000004020000}"/>
    <cellStyle name="40% - 강조색1 2 11 5" xfId="525" xr:uid="{00000000-0005-0000-0000-000005020000}"/>
    <cellStyle name="40% - 강조색1 2 11 6" xfId="526" xr:uid="{00000000-0005-0000-0000-000006020000}"/>
    <cellStyle name="40% - 강조색1 2 12" xfId="527" xr:uid="{00000000-0005-0000-0000-000007020000}"/>
    <cellStyle name="40% - 강조색1 2 12 2" xfId="528" xr:uid="{00000000-0005-0000-0000-000008020000}"/>
    <cellStyle name="40% - 강조색1 2 12 3" xfId="529" xr:uid="{00000000-0005-0000-0000-000009020000}"/>
    <cellStyle name="40% - 강조색1 2 12 4" xfId="530" xr:uid="{00000000-0005-0000-0000-00000A020000}"/>
    <cellStyle name="40% - 강조색1 2 12 5" xfId="531" xr:uid="{00000000-0005-0000-0000-00000B020000}"/>
    <cellStyle name="40% - 강조색1 2 12 6" xfId="532" xr:uid="{00000000-0005-0000-0000-00000C020000}"/>
    <cellStyle name="40% - 강조색1 2 13" xfId="533" xr:uid="{00000000-0005-0000-0000-00000D020000}"/>
    <cellStyle name="40% - 강조색1 2 13 2" xfId="534" xr:uid="{00000000-0005-0000-0000-00000E020000}"/>
    <cellStyle name="40% - 강조색1 2 13 3" xfId="535" xr:uid="{00000000-0005-0000-0000-00000F020000}"/>
    <cellStyle name="40% - 강조색1 2 13 4" xfId="536" xr:uid="{00000000-0005-0000-0000-000010020000}"/>
    <cellStyle name="40% - 강조색1 2 13 5" xfId="537" xr:uid="{00000000-0005-0000-0000-000011020000}"/>
    <cellStyle name="40% - 강조색1 2 13 6" xfId="538" xr:uid="{00000000-0005-0000-0000-000012020000}"/>
    <cellStyle name="40% - 강조색1 2 14" xfId="539" xr:uid="{00000000-0005-0000-0000-000013020000}"/>
    <cellStyle name="40% - 강조색1 2 14 2" xfId="540" xr:uid="{00000000-0005-0000-0000-000014020000}"/>
    <cellStyle name="40% - 강조색1 2 14 3" xfId="541" xr:uid="{00000000-0005-0000-0000-000015020000}"/>
    <cellStyle name="40% - 강조색1 2 14 4" xfId="542" xr:uid="{00000000-0005-0000-0000-000016020000}"/>
    <cellStyle name="40% - 강조색1 2 14 5" xfId="543" xr:uid="{00000000-0005-0000-0000-000017020000}"/>
    <cellStyle name="40% - 강조색1 2 14 6" xfId="544" xr:uid="{00000000-0005-0000-0000-000018020000}"/>
    <cellStyle name="40% - 강조색1 2 15" xfId="545" xr:uid="{00000000-0005-0000-0000-000019020000}"/>
    <cellStyle name="40% - 강조색1 2 16" xfId="546" xr:uid="{00000000-0005-0000-0000-00001A020000}"/>
    <cellStyle name="40% - 강조색1 2 17" xfId="547" xr:uid="{00000000-0005-0000-0000-00001B020000}"/>
    <cellStyle name="40% - 강조색1 2 18" xfId="548" xr:uid="{00000000-0005-0000-0000-00001C020000}"/>
    <cellStyle name="40% - 강조색1 2 19" xfId="549" xr:uid="{00000000-0005-0000-0000-00001D020000}"/>
    <cellStyle name="40% - 강조색1 2 2" xfId="550" xr:uid="{00000000-0005-0000-0000-00001E020000}"/>
    <cellStyle name="40% - 강조색1 2 2 2" xfId="551" xr:uid="{00000000-0005-0000-0000-00001F020000}"/>
    <cellStyle name="40% - 강조색1 2 2 3" xfId="552" xr:uid="{00000000-0005-0000-0000-000020020000}"/>
    <cellStyle name="40% - 강조색1 2 2 4" xfId="553" xr:uid="{00000000-0005-0000-0000-000021020000}"/>
    <cellStyle name="40% - 강조색1 2 2 5" xfId="554" xr:uid="{00000000-0005-0000-0000-000022020000}"/>
    <cellStyle name="40% - 강조색1 2 2 6" xfId="555" xr:uid="{00000000-0005-0000-0000-000023020000}"/>
    <cellStyle name="40% - 강조색1 2 3" xfId="556" xr:uid="{00000000-0005-0000-0000-000024020000}"/>
    <cellStyle name="40% - 강조색1 2 3 2" xfId="557" xr:uid="{00000000-0005-0000-0000-000025020000}"/>
    <cellStyle name="40% - 강조색1 2 3 3" xfId="558" xr:uid="{00000000-0005-0000-0000-000026020000}"/>
    <cellStyle name="40% - 강조색1 2 3 4" xfId="559" xr:uid="{00000000-0005-0000-0000-000027020000}"/>
    <cellStyle name="40% - 강조색1 2 3 5" xfId="560" xr:uid="{00000000-0005-0000-0000-000028020000}"/>
    <cellStyle name="40% - 강조색1 2 3 6" xfId="561" xr:uid="{00000000-0005-0000-0000-000029020000}"/>
    <cellStyle name="40% - 강조색1 2 4" xfId="562" xr:uid="{00000000-0005-0000-0000-00002A020000}"/>
    <cellStyle name="40% - 강조색1 2 4 2" xfId="563" xr:uid="{00000000-0005-0000-0000-00002B020000}"/>
    <cellStyle name="40% - 강조색1 2 4 3" xfId="564" xr:uid="{00000000-0005-0000-0000-00002C020000}"/>
    <cellStyle name="40% - 강조색1 2 4 4" xfId="565" xr:uid="{00000000-0005-0000-0000-00002D020000}"/>
    <cellStyle name="40% - 강조색1 2 4 5" xfId="566" xr:uid="{00000000-0005-0000-0000-00002E020000}"/>
    <cellStyle name="40% - 강조색1 2 4 6" xfId="567" xr:uid="{00000000-0005-0000-0000-00002F020000}"/>
    <cellStyle name="40% - 강조색1 2 5" xfId="568" xr:uid="{00000000-0005-0000-0000-000030020000}"/>
    <cellStyle name="40% - 강조색1 2 5 2" xfId="569" xr:uid="{00000000-0005-0000-0000-000031020000}"/>
    <cellStyle name="40% - 강조색1 2 5 3" xfId="570" xr:uid="{00000000-0005-0000-0000-000032020000}"/>
    <cellStyle name="40% - 강조색1 2 5 4" xfId="571" xr:uid="{00000000-0005-0000-0000-000033020000}"/>
    <cellStyle name="40% - 강조색1 2 5 5" xfId="572" xr:uid="{00000000-0005-0000-0000-000034020000}"/>
    <cellStyle name="40% - 강조색1 2 5 6" xfId="573" xr:uid="{00000000-0005-0000-0000-000035020000}"/>
    <cellStyle name="40% - 강조색1 2 6" xfId="574" xr:uid="{00000000-0005-0000-0000-000036020000}"/>
    <cellStyle name="40% - 강조색1 2 6 2" xfId="575" xr:uid="{00000000-0005-0000-0000-000037020000}"/>
    <cellStyle name="40% - 강조색1 2 6 3" xfId="576" xr:uid="{00000000-0005-0000-0000-000038020000}"/>
    <cellStyle name="40% - 강조색1 2 6 4" xfId="577" xr:uid="{00000000-0005-0000-0000-000039020000}"/>
    <cellStyle name="40% - 강조색1 2 6 5" xfId="578" xr:uid="{00000000-0005-0000-0000-00003A020000}"/>
    <cellStyle name="40% - 강조색1 2 6 6" xfId="579" xr:uid="{00000000-0005-0000-0000-00003B020000}"/>
    <cellStyle name="40% - 강조색1 2 7" xfId="580" xr:uid="{00000000-0005-0000-0000-00003C020000}"/>
    <cellStyle name="40% - 강조색1 2 7 2" xfId="581" xr:uid="{00000000-0005-0000-0000-00003D020000}"/>
    <cellStyle name="40% - 강조색1 2 7 3" xfId="582" xr:uid="{00000000-0005-0000-0000-00003E020000}"/>
    <cellStyle name="40% - 강조색1 2 7 4" xfId="583" xr:uid="{00000000-0005-0000-0000-00003F020000}"/>
    <cellStyle name="40% - 강조색1 2 7 5" xfId="584" xr:uid="{00000000-0005-0000-0000-000040020000}"/>
    <cellStyle name="40% - 강조색1 2 7 6" xfId="585" xr:uid="{00000000-0005-0000-0000-000041020000}"/>
    <cellStyle name="40% - 강조색1 2 8" xfId="586" xr:uid="{00000000-0005-0000-0000-000042020000}"/>
    <cellStyle name="40% - 강조색1 2 8 2" xfId="587" xr:uid="{00000000-0005-0000-0000-000043020000}"/>
    <cellStyle name="40% - 강조색1 2 8 3" xfId="588" xr:uid="{00000000-0005-0000-0000-000044020000}"/>
    <cellStyle name="40% - 강조색1 2 8 4" xfId="589" xr:uid="{00000000-0005-0000-0000-000045020000}"/>
    <cellStyle name="40% - 강조색1 2 8 5" xfId="590" xr:uid="{00000000-0005-0000-0000-000046020000}"/>
    <cellStyle name="40% - 강조색1 2 8 6" xfId="591" xr:uid="{00000000-0005-0000-0000-000047020000}"/>
    <cellStyle name="40% - 강조색1 2 9" xfId="592" xr:uid="{00000000-0005-0000-0000-000048020000}"/>
    <cellStyle name="40% - 강조색1 2 9 2" xfId="593" xr:uid="{00000000-0005-0000-0000-000049020000}"/>
    <cellStyle name="40% - 강조색1 2 9 3" xfId="594" xr:uid="{00000000-0005-0000-0000-00004A020000}"/>
    <cellStyle name="40% - 강조색1 2 9 4" xfId="595" xr:uid="{00000000-0005-0000-0000-00004B020000}"/>
    <cellStyle name="40% - 강조색1 2 9 5" xfId="596" xr:uid="{00000000-0005-0000-0000-00004C020000}"/>
    <cellStyle name="40% - 강조색1 2 9 6" xfId="597" xr:uid="{00000000-0005-0000-0000-00004D020000}"/>
    <cellStyle name="40% - 강조색2 2" xfId="598" xr:uid="{00000000-0005-0000-0000-00004E020000}"/>
    <cellStyle name="40% - 강조색2 2 10" xfId="599" xr:uid="{00000000-0005-0000-0000-00004F020000}"/>
    <cellStyle name="40% - 강조색2 2 10 2" xfId="600" xr:uid="{00000000-0005-0000-0000-000050020000}"/>
    <cellStyle name="40% - 강조색2 2 10 3" xfId="601" xr:uid="{00000000-0005-0000-0000-000051020000}"/>
    <cellStyle name="40% - 강조색2 2 10 4" xfId="602" xr:uid="{00000000-0005-0000-0000-000052020000}"/>
    <cellStyle name="40% - 강조색2 2 10 5" xfId="603" xr:uid="{00000000-0005-0000-0000-000053020000}"/>
    <cellStyle name="40% - 강조색2 2 10 6" xfId="604" xr:uid="{00000000-0005-0000-0000-000054020000}"/>
    <cellStyle name="40% - 강조색2 2 11" xfId="605" xr:uid="{00000000-0005-0000-0000-000055020000}"/>
    <cellStyle name="40% - 강조색2 2 11 2" xfId="606" xr:uid="{00000000-0005-0000-0000-000056020000}"/>
    <cellStyle name="40% - 강조색2 2 11 3" xfId="607" xr:uid="{00000000-0005-0000-0000-000057020000}"/>
    <cellStyle name="40% - 강조색2 2 11 4" xfId="608" xr:uid="{00000000-0005-0000-0000-000058020000}"/>
    <cellStyle name="40% - 강조색2 2 11 5" xfId="609" xr:uid="{00000000-0005-0000-0000-000059020000}"/>
    <cellStyle name="40% - 강조색2 2 11 6" xfId="610" xr:uid="{00000000-0005-0000-0000-00005A020000}"/>
    <cellStyle name="40% - 강조색2 2 12" xfId="611" xr:uid="{00000000-0005-0000-0000-00005B020000}"/>
    <cellStyle name="40% - 강조색2 2 12 2" xfId="612" xr:uid="{00000000-0005-0000-0000-00005C020000}"/>
    <cellStyle name="40% - 강조색2 2 12 3" xfId="613" xr:uid="{00000000-0005-0000-0000-00005D020000}"/>
    <cellStyle name="40% - 강조색2 2 12 4" xfId="614" xr:uid="{00000000-0005-0000-0000-00005E020000}"/>
    <cellStyle name="40% - 강조색2 2 12 5" xfId="615" xr:uid="{00000000-0005-0000-0000-00005F020000}"/>
    <cellStyle name="40% - 강조색2 2 12 6" xfId="616" xr:uid="{00000000-0005-0000-0000-000060020000}"/>
    <cellStyle name="40% - 강조색2 2 13" xfId="617" xr:uid="{00000000-0005-0000-0000-000061020000}"/>
    <cellStyle name="40% - 강조색2 2 13 2" xfId="618" xr:uid="{00000000-0005-0000-0000-000062020000}"/>
    <cellStyle name="40% - 강조색2 2 13 3" xfId="619" xr:uid="{00000000-0005-0000-0000-000063020000}"/>
    <cellStyle name="40% - 강조색2 2 13 4" xfId="620" xr:uid="{00000000-0005-0000-0000-000064020000}"/>
    <cellStyle name="40% - 강조색2 2 13 5" xfId="621" xr:uid="{00000000-0005-0000-0000-000065020000}"/>
    <cellStyle name="40% - 강조색2 2 13 6" xfId="622" xr:uid="{00000000-0005-0000-0000-000066020000}"/>
    <cellStyle name="40% - 강조색2 2 14" xfId="623" xr:uid="{00000000-0005-0000-0000-000067020000}"/>
    <cellStyle name="40% - 강조색2 2 14 2" xfId="624" xr:uid="{00000000-0005-0000-0000-000068020000}"/>
    <cellStyle name="40% - 강조색2 2 14 3" xfId="625" xr:uid="{00000000-0005-0000-0000-000069020000}"/>
    <cellStyle name="40% - 강조색2 2 14 4" xfId="626" xr:uid="{00000000-0005-0000-0000-00006A020000}"/>
    <cellStyle name="40% - 강조색2 2 14 5" xfId="627" xr:uid="{00000000-0005-0000-0000-00006B020000}"/>
    <cellStyle name="40% - 강조색2 2 14 6" xfId="628" xr:uid="{00000000-0005-0000-0000-00006C020000}"/>
    <cellStyle name="40% - 강조색2 2 15" xfId="629" xr:uid="{00000000-0005-0000-0000-00006D020000}"/>
    <cellStyle name="40% - 강조색2 2 16" xfId="630" xr:uid="{00000000-0005-0000-0000-00006E020000}"/>
    <cellStyle name="40% - 강조색2 2 17" xfId="631" xr:uid="{00000000-0005-0000-0000-00006F020000}"/>
    <cellStyle name="40% - 강조색2 2 18" xfId="632" xr:uid="{00000000-0005-0000-0000-000070020000}"/>
    <cellStyle name="40% - 강조색2 2 19" xfId="633" xr:uid="{00000000-0005-0000-0000-000071020000}"/>
    <cellStyle name="40% - 강조색2 2 2" xfId="634" xr:uid="{00000000-0005-0000-0000-000072020000}"/>
    <cellStyle name="40% - 강조색2 2 2 2" xfId="635" xr:uid="{00000000-0005-0000-0000-000073020000}"/>
    <cellStyle name="40% - 강조색2 2 2 3" xfId="636" xr:uid="{00000000-0005-0000-0000-000074020000}"/>
    <cellStyle name="40% - 강조색2 2 2 4" xfId="637" xr:uid="{00000000-0005-0000-0000-000075020000}"/>
    <cellStyle name="40% - 강조색2 2 2 5" xfId="638" xr:uid="{00000000-0005-0000-0000-000076020000}"/>
    <cellStyle name="40% - 강조색2 2 2 6" xfId="639" xr:uid="{00000000-0005-0000-0000-000077020000}"/>
    <cellStyle name="40% - 강조색2 2 3" xfId="640" xr:uid="{00000000-0005-0000-0000-000078020000}"/>
    <cellStyle name="40% - 강조색2 2 3 2" xfId="641" xr:uid="{00000000-0005-0000-0000-000079020000}"/>
    <cellStyle name="40% - 강조색2 2 3 3" xfId="642" xr:uid="{00000000-0005-0000-0000-00007A020000}"/>
    <cellStyle name="40% - 강조색2 2 3 4" xfId="643" xr:uid="{00000000-0005-0000-0000-00007B020000}"/>
    <cellStyle name="40% - 강조색2 2 3 5" xfId="644" xr:uid="{00000000-0005-0000-0000-00007C020000}"/>
    <cellStyle name="40% - 강조색2 2 3 6" xfId="645" xr:uid="{00000000-0005-0000-0000-00007D020000}"/>
    <cellStyle name="40% - 강조색2 2 4" xfId="646" xr:uid="{00000000-0005-0000-0000-00007E020000}"/>
    <cellStyle name="40% - 강조색2 2 4 2" xfId="647" xr:uid="{00000000-0005-0000-0000-00007F020000}"/>
    <cellStyle name="40% - 강조색2 2 4 3" xfId="648" xr:uid="{00000000-0005-0000-0000-000080020000}"/>
    <cellStyle name="40% - 강조색2 2 4 4" xfId="649" xr:uid="{00000000-0005-0000-0000-000081020000}"/>
    <cellStyle name="40% - 강조색2 2 4 5" xfId="650" xr:uid="{00000000-0005-0000-0000-000082020000}"/>
    <cellStyle name="40% - 강조색2 2 4 6" xfId="651" xr:uid="{00000000-0005-0000-0000-000083020000}"/>
    <cellStyle name="40% - 강조색2 2 5" xfId="652" xr:uid="{00000000-0005-0000-0000-000084020000}"/>
    <cellStyle name="40% - 강조색2 2 5 2" xfId="653" xr:uid="{00000000-0005-0000-0000-000085020000}"/>
    <cellStyle name="40% - 강조색2 2 5 3" xfId="654" xr:uid="{00000000-0005-0000-0000-000086020000}"/>
    <cellStyle name="40% - 강조색2 2 5 4" xfId="655" xr:uid="{00000000-0005-0000-0000-000087020000}"/>
    <cellStyle name="40% - 강조색2 2 5 5" xfId="656" xr:uid="{00000000-0005-0000-0000-000088020000}"/>
    <cellStyle name="40% - 강조색2 2 5 6" xfId="657" xr:uid="{00000000-0005-0000-0000-000089020000}"/>
    <cellStyle name="40% - 강조색2 2 6" xfId="658" xr:uid="{00000000-0005-0000-0000-00008A020000}"/>
    <cellStyle name="40% - 강조색2 2 6 2" xfId="659" xr:uid="{00000000-0005-0000-0000-00008B020000}"/>
    <cellStyle name="40% - 강조색2 2 6 3" xfId="660" xr:uid="{00000000-0005-0000-0000-00008C020000}"/>
    <cellStyle name="40% - 강조색2 2 6 4" xfId="661" xr:uid="{00000000-0005-0000-0000-00008D020000}"/>
    <cellStyle name="40% - 강조색2 2 6 5" xfId="662" xr:uid="{00000000-0005-0000-0000-00008E020000}"/>
    <cellStyle name="40% - 강조색2 2 6 6" xfId="663" xr:uid="{00000000-0005-0000-0000-00008F020000}"/>
    <cellStyle name="40% - 강조색2 2 7" xfId="664" xr:uid="{00000000-0005-0000-0000-000090020000}"/>
    <cellStyle name="40% - 강조색2 2 7 2" xfId="665" xr:uid="{00000000-0005-0000-0000-000091020000}"/>
    <cellStyle name="40% - 강조색2 2 7 3" xfId="666" xr:uid="{00000000-0005-0000-0000-000092020000}"/>
    <cellStyle name="40% - 강조색2 2 7 4" xfId="667" xr:uid="{00000000-0005-0000-0000-000093020000}"/>
    <cellStyle name="40% - 강조색2 2 7 5" xfId="668" xr:uid="{00000000-0005-0000-0000-000094020000}"/>
    <cellStyle name="40% - 강조색2 2 7 6" xfId="669" xr:uid="{00000000-0005-0000-0000-000095020000}"/>
    <cellStyle name="40% - 강조색2 2 8" xfId="670" xr:uid="{00000000-0005-0000-0000-000096020000}"/>
    <cellStyle name="40% - 강조색2 2 8 2" xfId="671" xr:uid="{00000000-0005-0000-0000-000097020000}"/>
    <cellStyle name="40% - 강조색2 2 8 3" xfId="672" xr:uid="{00000000-0005-0000-0000-000098020000}"/>
    <cellStyle name="40% - 강조색2 2 8 4" xfId="673" xr:uid="{00000000-0005-0000-0000-000099020000}"/>
    <cellStyle name="40% - 강조색2 2 8 5" xfId="674" xr:uid="{00000000-0005-0000-0000-00009A020000}"/>
    <cellStyle name="40% - 강조색2 2 8 6" xfId="675" xr:uid="{00000000-0005-0000-0000-00009B020000}"/>
    <cellStyle name="40% - 강조색2 2 9" xfId="676" xr:uid="{00000000-0005-0000-0000-00009C020000}"/>
    <cellStyle name="40% - 강조색2 2 9 2" xfId="677" xr:uid="{00000000-0005-0000-0000-00009D020000}"/>
    <cellStyle name="40% - 강조색2 2 9 3" xfId="678" xr:uid="{00000000-0005-0000-0000-00009E020000}"/>
    <cellStyle name="40% - 강조색2 2 9 4" xfId="679" xr:uid="{00000000-0005-0000-0000-00009F020000}"/>
    <cellStyle name="40% - 강조색2 2 9 5" xfId="680" xr:uid="{00000000-0005-0000-0000-0000A0020000}"/>
    <cellStyle name="40% - 강조색2 2 9 6" xfId="681" xr:uid="{00000000-0005-0000-0000-0000A1020000}"/>
    <cellStyle name="40% - 강조색3 2" xfId="682" xr:uid="{00000000-0005-0000-0000-0000A2020000}"/>
    <cellStyle name="40% - 강조색3 2 10" xfId="683" xr:uid="{00000000-0005-0000-0000-0000A3020000}"/>
    <cellStyle name="40% - 강조색3 2 10 2" xfId="684" xr:uid="{00000000-0005-0000-0000-0000A4020000}"/>
    <cellStyle name="40% - 강조색3 2 10 3" xfId="685" xr:uid="{00000000-0005-0000-0000-0000A5020000}"/>
    <cellStyle name="40% - 강조색3 2 10 4" xfId="686" xr:uid="{00000000-0005-0000-0000-0000A6020000}"/>
    <cellStyle name="40% - 강조색3 2 10 5" xfId="687" xr:uid="{00000000-0005-0000-0000-0000A7020000}"/>
    <cellStyle name="40% - 강조색3 2 10 6" xfId="688" xr:uid="{00000000-0005-0000-0000-0000A8020000}"/>
    <cellStyle name="40% - 강조색3 2 11" xfId="689" xr:uid="{00000000-0005-0000-0000-0000A9020000}"/>
    <cellStyle name="40% - 강조색3 2 11 2" xfId="690" xr:uid="{00000000-0005-0000-0000-0000AA020000}"/>
    <cellStyle name="40% - 강조색3 2 11 3" xfId="691" xr:uid="{00000000-0005-0000-0000-0000AB020000}"/>
    <cellStyle name="40% - 강조색3 2 11 4" xfId="692" xr:uid="{00000000-0005-0000-0000-0000AC020000}"/>
    <cellStyle name="40% - 강조색3 2 11 5" xfId="693" xr:uid="{00000000-0005-0000-0000-0000AD020000}"/>
    <cellStyle name="40% - 강조색3 2 11 6" xfId="694" xr:uid="{00000000-0005-0000-0000-0000AE020000}"/>
    <cellStyle name="40% - 강조색3 2 12" xfId="695" xr:uid="{00000000-0005-0000-0000-0000AF020000}"/>
    <cellStyle name="40% - 강조색3 2 12 2" xfId="696" xr:uid="{00000000-0005-0000-0000-0000B0020000}"/>
    <cellStyle name="40% - 강조색3 2 12 3" xfId="697" xr:uid="{00000000-0005-0000-0000-0000B1020000}"/>
    <cellStyle name="40% - 강조색3 2 12 4" xfId="698" xr:uid="{00000000-0005-0000-0000-0000B2020000}"/>
    <cellStyle name="40% - 강조색3 2 12 5" xfId="699" xr:uid="{00000000-0005-0000-0000-0000B3020000}"/>
    <cellStyle name="40% - 강조색3 2 12 6" xfId="700" xr:uid="{00000000-0005-0000-0000-0000B4020000}"/>
    <cellStyle name="40% - 강조색3 2 13" xfId="701" xr:uid="{00000000-0005-0000-0000-0000B5020000}"/>
    <cellStyle name="40% - 강조색3 2 13 2" xfId="702" xr:uid="{00000000-0005-0000-0000-0000B6020000}"/>
    <cellStyle name="40% - 강조색3 2 13 3" xfId="703" xr:uid="{00000000-0005-0000-0000-0000B7020000}"/>
    <cellStyle name="40% - 강조색3 2 13 4" xfId="704" xr:uid="{00000000-0005-0000-0000-0000B8020000}"/>
    <cellStyle name="40% - 강조색3 2 13 5" xfId="705" xr:uid="{00000000-0005-0000-0000-0000B9020000}"/>
    <cellStyle name="40% - 강조색3 2 13 6" xfId="706" xr:uid="{00000000-0005-0000-0000-0000BA020000}"/>
    <cellStyle name="40% - 강조색3 2 14" xfId="707" xr:uid="{00000000-0005-0000-0000-0000BB020000}"/>
    <cellStyle name="40% - 강조색3 2 14 2" xfId="708" xr:uid="{00000000-0005-0000-0000-0000BC020000}"/>
    <cellStyle name="40% - 강조색3 2 14 3" xfId="709" xr:uid="{00000000-0005-0000-0000-0000BD020000}"/>
    <cellStyle name="40% - 강조색3 2 14 4" xfId="710" xr:uid="{00000000-0005-0000-0000-0000BE020000}"/>
    <cellStyle name="40% - 강조색3 2 14 5" xfId="711" xr:uid="{00000000-0005-0000-0000-0000BF020000}"/>
    <cellStyle name="40% - 강조색3 2 14 6" xfId="712" xr:uid="{00000000-0005-0000-0000-0000C0020000}"/>
    <cellStyle name="40% - 강조색3 2 15" xfId="713" xr:uid="{00000000-0005-0000-0000-0000C1020000}"/>
    <cellStyle name="40% - 강조색3 2 16" xfId="714" xr:uid="{00000000-0005-0000-0000-0000C2020000}"/>
    <cellStyle name="40% - 강조색3 2 17" xfId="715" xr:uid="{00000000-0005-0000-0000-0000C3020000}"/>
    <cellStyle name="40% - 강조색3 2 18" xfId="716" xr:uid="{00000000-0005-0000-0000-0000C4020000}"/>
    <cellStyle name="40% - 강조색3 2 19" xfId="717" xr:uid="{00000000-0005-0000-0000-0000C5020000}"/>
    <cellStyle name="40% - 강조색3 2 2" xfId="718" xr:uid="{00000000-0005-0000-0000-0000C6020000}"/>
    <cellStyle name="40% - 강조색3 2 2 2" xfId="719" xr:uid="{00000000-0005-0000-0000-0000C7020000}"/>
    <cellStyle name="40% - 강조색3 2 2 3" xfId="720" xr:uid="{00000000-0005-0000-0000-0000C8020000}"/>
    <cellStyle name="40% - 강조색3 2 2 4" xfId="721" xr:uid="{00000000-0005-0000-0000-0000C9020000}"/>
    <cellStyle name="40% - 강조색3 2 2 5" xfId="722" xr:uid="{00000000-0005-0000-0000-0000CA020000}"/>
    <cellStyle name="40% - 강조색3 2 2 6" xfId="723" xr:uid="{00000000-0005-0000-0000-0000CB020000}"/>
    <cellStyle name="40% - 강조색3 2 3" xfId="724" xr:uid="{00000000-0005-0000-0000-0000CC020000}"/>
    <cellStyle name="40% - 강조색3 2 3 2" xfId="725" xr:uid="{00000000-0005-0000-0000-0000CD020000}"/>
    <cellStyle name="40% - 강조색3 2 3 3" xfId="726" xr:uid="{00000000-0005-0000-0000-0000CE020000}"/>
    <cellStyle name="40% - 강조색3 2 3 4" xfId="727" xr:uid="{00000000-0005-0000-0000-0000CF020000}"/>
    <cellStyle name="40% - 강조색3 2 3 5" xfId="728" xr:uid="{00000000-0005-0000-0000-0000D0020000}"/>
    <cellStyle name="40% - 강조색3 2 3 6" xfId="729" xr:uid="{00000000-0005-0000-0000-0000D1020000}"/>
    <cellStyle name="40% - 강조색3 2 4" xfId="730" xr:uid="{00000000-0005-0000-0000-0000D2020000}"/>
    <cellStyle name="40% - 강조색3 2 4 2" xfId="731" xr:uid="{00000000-0005-0000-0000-0000D3020000}"/>
    <cellStyle name="40% - 강조색3 2 4 3" xfId="732" xr:uid="{00000000-0005-0000-0000-0000D4020000}"/>
    <cellStyle name="40% - 강조색3 2 4 4" xfId="733" xr:uid="{00000000-0005-0000-0000-0000D5020000}"/>
    <cellStyle name="40% - 강조색3 2 4 5" xfId="734" xr:uid="{00000000-0005-0000-0000-0000D6020000}"/>
    <cellStyle name="40% - 강조색3 2 4 6" xfId="735" xr:uid="{00000000-0005-0000-0000-0000D7020000}"/>
    <cellStyle name="40% - 강조색3 2 5" xfId="736" xr:uid="{00000000-0005-0000-0000-0000D8020000}"/>
    <cellStyle name="40% - 강조색3 2 5 2" xfId="737" xr:uid="{00000000-0005-0000-0000-0000D9020000}"/>
    <cellStyle name="40% - 강조색3 2 5 3" xfId="738" xr:uid="{00000000-0005-0000-0000-0000DA020000}"/>
    <cellStyle name="40% - 강조색3 2 5 4" xfId="739" xr:uid="{00000000-0005-0000-0000-0000DB020000}"/>
    <cellStyle name="40% - 강조색3 2 5 5" xfId="740" xr:uid="{00000000-0005-0000-0000-0000DC020000}"/>
    <cellStyle name="40% - 강조색3 2 5 6" xfId="741" xr:uid="{00000000-0005-0000-0000-0000DD020000}"/>
    <cellStyle name="40% - 강조색3 2 6" xfId="742" xr:uid="{00000000-0005-0000-0000-0000DE020000}"/>
    <cellStyle name="40% - 강조색3 2 6 2" xfId="743" xr:uid="{00000000-0005-0000-0000-0000DF020000}"/>
    <cellStyle name="40% - 강조색3 2 6 3" xfId="744" xr:uid="{00000000-0005-0000-0000-0000E0020000}"/>
    <cellStyle name="40% - 강조색3 2 6 4" xfId="745" xr:uid="{00000000-0005-0000-0000-0000E1020000}"/>
    <cellStyle name="40% - 강조색3 2 6 5" xfId="746" xr:uid="{00000000-0005-0000-0000-0000E2020000}"/>
    <cellStyle name="40% - 강조색3 2 6 6" xfId="747" xr:uid="{00000000-0005-0000-0000-0000E3020000}"/>
    <cellStyle name="40% - 강조색3 2 7" xfId="748" xr:uid="{00000000-0005-0000-0000-0000E4020000}"/>
    <cellStyle name="40% - 강조색3 2 7 2" xfId="749" xr:uid="{00000000-0005-0000-0000-0000E5020000}"/>
    <cellStyle name="40% - 강조색3 2 7 3" xfId="750" xr:uid="{00000000-0005-0000-0000-0000E6020000}"/>
    <cellStyle name="40% - 강조색3 2 7 4" xfId="751" xr:uid="{00000000-0005-0000-0000-0000E7020000}"/>
    <cellStyle name="40% - 강조색3 2 7 5" xfId="752" xr:uid="{00000000-0005-0000-0000-0000E8020000}"/>
    <cellStyle name="40% - 강조색3 2 7 6" xfId="753" xr:uid="{00000000-0005-0000-0000-0000E9020000}"/>
    <cellStyle name="40% - 강조색3 2 8" xfId="754" xr:uid="{00000000-0005-0000-0000-0000EA020000}"/>
    <cellStyle name="40% - 강조색3 2 8 2" xfId="755" xr:uid="{00000000-0005-0000-0000-0000EB020000}"/>
    <cellStyle name="40% - 강조색3 2 8 3" xfId="756" xr:uid="{00000000-0005-0000-0000-0000EC020000}"/>
    <cellStyle name="40% - 강조색3 2 8 4" xfId="757" xr:uid="{00000000-0005-0000-0000-0000ED020000}"/>
    <cellStyle name="40% - 강조색3 2 8 5" xfId="758" xr:uid="{00000000-0005-0000-0000-0000EE020000}"/>
    <cellStyle name="40% - 강조색3 2 8 6" xfId="759" xr:uid="{00000000-0005-0000-0000-0000EF020000}"/>
    <cellStyle name="40% - 강조색3 2 9" xfId="760" xr:uid="{00000000-0005-0000-0000-0000F0020000}"/>
    <cellStyle name="40% - 강조색3 2 9 2" xfId="761" xr:uid="{00000000-0005-0000-0000-0000F1020000}"/>
    <cellStyle name="40% - 강조색3 2 9 3" xfId="762" xr:uid="{00000000-0005-0000-0000-0000F2020000}"/>
    <cellStyle name="40% - 강조색3 2 9 4" xfId="763" xr:uid="{00000000-0005-0000-0000-0000F3020000}"/>
    <cellStyle name="40% - 강조색3 2 9 5" xfId="764" xr:uid="{00000000-0005-0000-0000-0000F4020000}"/>
    <cellStyle name="40% - 강조색3 2 9 6" xfId="765" xr:uid="{00000000-0005-0000-0000-0000F5020000}"/>
    <cellStyle name="40% - 강조색4 2" xfId="766" xr:uid="{00000000-0005-0000-0000-0000F6020000}"/>
    <cellStyle name="40% - 강조색4 2 10" xfId="767" xr:uid="{00000000-0005-0000-0000-0000F7020000}"/>
    <cellStyle name="40% - 강조색4 2 10 2" xfId="768" xr:uid="{00000000-0005-0000-0000-0000F8020000}"/>
    <cellStyle name="40% - 강조색4 2 10 3" xfId="769" xr:uid="{00000000-0005-0000-0000-0000F9020000}"/>
    <cellStyle name="40% - 강조색4 2 10 4" xfId="770" xr:uid="{00000000-0005-0000-0000-0000FA020000}"/>
    <cellStyle name="40% - 강조색4 2 10 5" xfId="771" xr:uid="{00000000-0005-0000-0000-0000FB020000}"/>
    <cellStyle name="40% - 강조색4 2 10 6" xfId="772" xr:uid="{00000000-0005-0000-0000-0000FC020000}"/>
    <cellStyle name="40% - 강조색4 2 11" xfId="773" xr:uid="{00000000-0005-0000-0000-0000FD020000}"/>
    <cellStyle name="40% - 강조색4 2 11 2" xfId="774" xr:uid="{00000000-0005-0000-0000-0000FE020000}"/>
    <cellStyle name="40% - 강조색4 2 11 3" xfId="775" xr:uid="{00000000-0005-0000-0000-0000FF020000}"/>
    <cellStyle name="40% - 강조색4 2 11 4" xfId="776" xr:uid="{00000000-0005-0000-0000-000000030000}"/>
    <cellStyle name="40% - 강조색4 2 11 5" xfId="777" xr:uid="{00000000-0005-0000-0000-000001030000}"/>
    <cellStyle name="40% - 강조색4 2 11 6" xfId="778" xr:uid="{00000000-0005-0000-0000-000002030000}"/>
    <cellStyle name="40% - 강조색4 2 12" xfId="779" xr:uid="{00000000-0005-0000-0000-000003030000}"/>
    <cellStyle name="40% - 강조색4 2 12 2" xfId="780" xr:uid="{00000000-0005-0000-0000-000004030000}"/>
    <cellStyle name="40% - 강조색4 2 12 3" xfId="781" xr:uid="{00000000-0005-0000-0000-000005030000}"/>
    <cellStyle name="40% - 강조색4 2 12 4" xfId="782" xr:uid="{00000000-0005-0000-0000-000006030000}"/>
    <cellStyle name="40% - 강조색4 2 12 5" xfId="783" xr:uid="{00000000-0005-0000-0000-000007030000}"/>
    <cellStyle name="40% - 강조색4 2 12 6" xfId="784" xr:uid="{00000000-0005-0000-0000-000008030000}"/>
    <cellStyle name="40% - 강조색4 2 13" xfId="785" xr:uid="{00000000-0005-0000-0000-000009030000}"/>
    <cellStyle name="40% - 강조색4 2 13 2" xfId="786" xr:uid="{00000000-0005-0000-0000-00000A030000}"/>
    <cellStyle name="40% - 강조색4 2 13 3" xfId="787" xr:uid="{00000000-0005-0000-0000-00000B030000}"/>
    <cellStyle name="40% - 강조색4 2 13 4" xfId="788" xr:uid="{00000000-0005-0000-0000-00000C030000}"/>
    <cellStyle name="40% - 강조색4 2 13 5" xfId="789" xr:uid="{00000000-0005-0000-0000-00000D030000}"/>
    <cellStyle name="40% - 강조색4 2 13 6" xfId="790" xr:uid="{00000000-0005-0000-0000-00000E030000}"/>
    <cellStyle name="40% - 강조색4 2 14" xfId="791" xr:uid="{00000000-0005-0000-0000-00000F030000}"/>
    <cellStyle name="40% - 강조색4 2 14 2" xfId="792" xr:uid="{00000000-0005-0000-0000-000010030000}"/>
    <cellStyle name="40% - 강조색4 2 14 3" xfId="793" xr:uid="{00000000-0005-0000-0000-000011030000}"/>
    <cellStyle name="40% - 강조색4 2 14 4" xfId="794" xr:uid="{00000000-0005-0000-0000-000012030000}"/>
    <cellStyle name="40% - 강조색4 2 14 5" xfId="795" xr:uid="{00000000-0005-0000-0000-000013030000}"/>
    <cellStyle name="40% - 강조색4 2 14 6" xfId="796" xr:uid="{00000000-0005-0000-0000-000014030000}"/>
    <cellStyle name="40% - 강조색4 2 15" xfId="797" xr:uid="{00000000-0005-0000-0000-000015030000}"/>
    <cellStyle name="40% - 강조색4 2 16" xfId="798" xr:uid="{00000000-0005-0000-0000-000016030000}"/>
    <cellStyle name="40% - 강조색4 2 17" xfId="799" xr:uid="{00000000-0005-0000-0000-000017030000}"/>
    <cellStyle name="40% - 강조색4 2 18" xfId="800" xr:uid="{00000000-0005-0000-0000-000018030000}"/>
    <cellStyle name="40% - 강조색4 2 19" xfId="801" xr:uid="{00000000-0005-0000-0000-000019030000}"/>
    <cellStyle name="40% - 강조색4 2 2" xfId="802" xr:uid="{00000000-0005-0000-0000-00001A030000}"/>
    <cellStyle name="40% - 강조색4 2 2 2" xfId="803" xr:uid="{00000000-0005-0000-0000-00001B030000}"/>
    <cellStyle name="40% - 강조색4 2 2 3" xfId="804" xr:uid="{00000000-0005-0000-0000-00001C030000}"/>
    <cellStyle name="40% - 강조색4 2 2 4" xfId="805" xr:uid="{00000000-0005-0000-0000-00001D030000}"/>
    <cellStyle name="40% - 강조색4 2 2 5" xfId="806" xr:uid="{00000000-0005-0000-0000-00001E030000}"/>
    <cellStyle name="40% - 강조색4 2 2 6" xfId="807" xr:uid="{00000000-0005-0000-0000-00001F030000}"/>
    <cellStyle name="40% - 강조색4 2 3" xfId="808" xr:uid="{00000000-0005-0000-0000-000020030000}"/>
    <cellStyle name="40% - 강조색4 2 3 2" xfId="809" xr:uid="{00000000-0005-0000-0000-000021030000}"/>
    <cellStyle name="40% - 강조색4 2 3 3" xfId="810" xr:uid="{00000000-0005-0000-0000-000022030000}"/>
    <cellStyle name="40% - 강조색4 2 3 4" xfId="811" xr:uid="{00000000-0005-0000-0000-000023030000}"/>
    <cellStyle name="40% - 강조색4 2 3 5" xfId="812" xr:uid="{00000000-0005-0000-0000-000024030000}"/>
    <cellStyle name="40% - 강조색4 2 3 6" xfId="813" xr:uid="{00000000-0005-0000-0000-000025030000}"/>
    <cellStyle name="40% - 강조색4 2 4" xfId="814" xr:uid="{00000000-0005-0000-0000-000026030000}"/>
    <cellStyle name="40% - 강조색4 2 4 2" xfId="815" xr:uid="{00000000-0005-0000-0000-000027030000}"/>
    <cellStyle name="40% - 강조색4 2 4 3" xfId="816" xr:uid="{00000000-0005-0000-0000-000028030000}"/>
    <cellStyle name="40% - 강조색4 2 4 4" xfId="817" xr:uid="{00000000-0005-0000-0000-000029030000}"/>
    <cellStyle name="40% - 강조색4 2 4 5" xfId="818" xr:uid="{00000000-0005-0000-0000-00002A030000}"/>
    <cellStyle name="40% - 강조색4 2 4 6" xfId="819" xr:uid="{00000000-0005-0000-0000-00002B030000}"/>
    <cellStyle name="40% - 강조색4 2 5" xfId="820" xr:uid="{00000000-0005-0000-0000-00002C030000}"/>
    <cellStyle name="40% - 강조색4 2 5 2" xfId="821" xr:uid="{00000000-0005-0000-0000-00002D030000}"/>
    <cellStyle name="40% - 강조색4 2 5 3" xfId="822" xr:uid="{00000000-0005-0000-0000-00002E030000}"/>
    <cellStyle name="40% - 강조색4 2 5 4" xfId="823" xr:uid="{00000000-0005-0000-0000-00002F030000}"/>
    <cellStyle name="40% - 강조색4 2 5 5" xfId="824" xr:uid="{00000000-0005-0000-0000-000030030000}"/>
    <cellStyle name="40% - 강조색4 2 5 6" xfId="825" xr:uid="{00000000-0005-0000-0000-000031030000}"/>
    <cellStyle name="40% - 강조색4 2 6" xfId="826" xr:uid="{00000000-0005-0000-0000-000032030000}"/>
    <cellStyle name="40% - 강조색4 2 6 2" xfId="827" xr:uid="{00000000-0005-0000-0000-000033030000}"/>
    <cellStyle name="40% - 강조색4 2 6 3" xfId="828" xr:uid="{00000000-0005-0000-0000-000034030000}"/>
    <cellStyle name="40% - 강조색4 2 6 4" xfId="829" xr:uid="{00000000-0005-0000-0000-000035030000}"/>
    <cellStyle name="40% - 강조색4 2 6 5" xfId="830" xr:uid="{00000000-0005-0000-0000-000036030000}"/>
    <cellStyle name="40% - 강조색4 2 6 6" xfId="831" xr:uid="{00000000-0005-0000-0000-000037030000}"/>
    <cellStyle name="40% - 강조색4 2 7" xfId="832" xr:uid="{00000000-0005-0000-0000-000038030000}"/>
    <cellStyle name="40% - 강조색4 2 7 2" xfId="833" xr:uid="{00000000-0005-0000-0000-000039030000}"/>
    <cellStyle name="40% - 강조색4 2 7 3" xfId="834" xr:uid="{00000000-0005-0000-0000-00003A030000}"/>
    <cellStyle name="40% - 강조색4 2 7 4" xfId="835" xr:uid="{00000000-0005-0000-0000-00003B030000}"/>
    <cellStyle name="40% - 강조색4 2 7 5" xfId="836" xr:uid="{00000000-0005-0000-0000-00003C030000}"/>
    <cellStyle name="40% - 강조색4 2 7 6" xfId="837" xr:uid="{00000000-0005-0000-0000-00003D030000}"/>
    <cellStyle name="40% - 강조색4 2 8" xfId="838" xr:uid="{00000000-0005-0000-0000-00003E030000}"/>
    <cellStyle name="40% - 강조색4 2 8 2" xfId="839" xr:uid="{00000000-0005-0000-0000-00003F030000}"/>
    <cellStyle name="40% - 강조색4 2 8 3" xfId="840" xr:uid="{00000000-0005-0000-0000-000040030000}"/>
    <cellStyle name="40% - 강조색4 2 8 4" xfId="841" xr:uid="{00000000-0005-0000-0000-000041030000}"/>
    <cellStyle name="40% - 강조색4 2 8 5" xfId="842" xr:uid="{00000000-0005-0000-0000-000042030000}"/>
    <cellStyle name="40% - 강조색4 2 8 6" xfId="843" xr:uid="{00000000-0005-0000-0000-000043030000}"/>
    <cellStyle name="40% - 강조색4 2 9" xfId="844" xr:uid="{00000000-0005-0000-0000-000044030000}"/>
    <cellStyle name="40% - 강조색4 2 9 2" xfId="845" xr:uid="{00000000-0005-0000-0000-000045030000}"/>
    <cellStyle name="40% - 강조색4 2 9 3" xfId="846" xr:uid="{00000000-0005-0000-0000-000046030000}"/>
    <cellStyle name="40% - 강조색4 2 9 4" xfId="847" xr:uid="{00000000-0005-0000-0000-000047030000}"/>
    <cellStyle name="40% - 강조색4 2 9 5" xfId="848" xr:uid="{00000000-0005-0000-0000-000048030000}"/>
    <cellStyle name="40% - 강조색4 2 9 6" xfId="849" xr:uid="{00000000-0005-0000-0000-000049030000}"/>
    <cellStyle name="40% - 강조색5 2" xfId="850" xr:uid="{00000000-0005-0000-0000-00004A030000}"/>
    <cellStyle name="40% - 강조색5 2 10" xfId="851" xr:uid="{00000000-0005-0000-0000-00004B030000}"/>
    <cellStyle name="40% - 강조색5 2 10 2" xfId="852" xr:uid="{00000000-0005-0000-0000-00004C030000}"/>
    <cellStyle name="40% - 강조색5 2 10 3" xfId="853" xr:uid="{00000000-0005-0000-0000-00004D030000}"/>
    <cellStyle name="40% - 강조색5 2 10 4" xfId="854" xr:uid="{00000000-0005-0000-0000-00004E030000}"/>
    <cellStyle name="40% - 강조색5 2 10 5" xfId="855" xr:uid="{00000000-0005-0000-0000-00004F030000}"/>
    <cellStyle name="40% - 강조색5 2 10 6" xfId="856" xr:uid="{00000000-0005-0000-0000-000050030000}"/>
    <cellStyle name="40% - 강조색5 2 11" xfId="857" xr:uid="{00000000-0005-0000-0000-000051030000}"/>
    <cellStyle name="40% - 강조색5 2 11 2" xfId="858" xr:uid="{00000000-0005-0000-0000-000052030000}"/>
    <cellStyle name="40% - 강조색5 2 11 3" xfId="859" xr:uid="{00000000-0005-0000-0000-000053030000}"/>
    <cellStyle name="40% - 강조색5 2 11 4" xfId="860" xr:uid="{00000000-0005-0000-0000-000054030000}"/>
    <cellStyle name="40% - 강조색5 2 11 5" xfId="861" xr:uid="{00000000-0005-0000-0000-000055030000}"/>
    <cellStyle name="40% - 강조색5 2 11 6" xfId="862" xr:uid="{00000000-0005-0000-0000-000056030000}"/>
    <cellStyle name="40% - 강조색5 2 12" xfId="863" xr:uid="{00000000-0005-0000-0000-000057030000}"/>
    <cellStyle name="40% - 강조색5 2 12 2" xfId="864" xr:uid="{00000000-0005-0000-0000-000058030000}"/>
    <cellStyle name="40% - 강조색5 2 12 3" xfId="865" xr:uid="{00000000-0005-0000-0000-000059030000}"/>
    <cellStyle name="40% - 강조색5 2 12 4" xfId="866" xr:uid="{00000000-0005-0000-0000-00005A030000}"/>
    <cellStyle name="40% - 강조색5 2 12 5" xfId="867" xr:uid="{00000000-0005-0000-0000-00005B030000}"/>
    <cellStyle name="40% - 강조색5 2 12 6" xfId="868" xr:uid="{00000000-0005-0000-0000-00005C030000}"/>
    <cellStyle name="40% - 강조색5 2 13" xfId="869" xr:uid="{00000000-0005-0000-0000-00005D030000}"/>
    <cellStyle name="40% - 강조색5 2 13 2" xfId="870" xr:uid="{00000000-0005-0000-0000-00005E030000}"/>
    <cellStyle name="40% - 강조색5 2 13 3" xfId="871" xr:uid="{00000000-0005-0000-0000-00005F030000}"/>
    <cellStyle name="40% - 강조색5 2 13 4" xfId="872" xr:uid="{00000000-0005-0000-0000-000060030000}"/>
    <cellStyle name="40% - 강조색5 2 13 5" xfId="873" xr:uid="{00000000-0005-0000-0000-000061030000}"/>
    <cellStyle name="40% - 강조색5 2 13 6" xfId="874" xr:uid="{00000000-0005-0000-0000-000062030000}"/>
    <cellStyle name="40% - 강조색5 2 14" xfId="875" xr:uid="{00000000-0005-0000-0000-000063030000}"/>
    <cellStyle name="40% - 강조색5 2 14 2" xfId="876" xr:uid="{00000000-0005-0000-0000-000064030000}"/>
    <cellStyle name="40% - 강조색5 2 14 3" xfId="877" xr:uid="{00000000-0005-0000-0000-000065030000}"/>
    <cellStyle name="40% - 강조색5 2 14 4" xfId="878" xr:uid="{00000000-0005-0000-0000-000066030000}"/>
    <cellStyle name="40% - 강조색5 2 14 5" xfId="879" xr:uid="{00000000-0005-0000-0000-000067030000}"/>
    <cellStyle name="40% - 강조색5 2 14 6" xfId="880" xr:uid="{00000000-0005-0000-0000-000068030000}"/>
    <cellStyle name="40% - 강조색5 2 15" xfId="881" xr:uid="{00000000-0005-0000-0000-000069030000}"/>
    <cellStyle name="40% - 강조색5 2 16" xfId="882" xr:uid="{00000000-0005-0000-0000-00006A030000}"/>
    <cellStyle name="40% - 강조색5 2 17" xfId="883" xr:uid="{00000000-0005-0000-0000-00006B030000}"/>
    <cellStyle name="40% - 강조색5 2 18" xfId="884" xr:uid="{00000000-0005-0000-0000-00006C030000}"/>
    <cellStyle name="40% - 강조색5 2 19" xfId="885" xr:uid="{00000000-0005-0000-0000-00006D030000}"/>
    <cellStyle name="40% - 강조색5 2 2" xfId="886" xr:uid="{00000000-0005-0000-0000-00006E030000}"/>
    <cellStyle name="40% - 강조색5 2 2 2" xfId="887" xr:uid="{00000000-0005-0000-0000-00006F030000}"/>
    <cellStyle name="40% - 강조색5 2 2 3" xfId="888" xr:uid="{00000000-0005-0000-0000-000070030000}"/>
    <cellStyle name="40% - 강조색5 2 2 4" xfId="889" xr:uid="{00000000-0005-0000-0000-000071030000}"/>
    <cellStyle name="40% - 강조색5 2 2 5" xfId="890" xr:uid="{00000000-0005-0000-0000-000072030000}"/>
    <cellStyle name="40% - 강조색5 2 2 6" xfId="891" xr:uid="{00000000-0005-0000-0000-000073030000}"/>
    <cellStyle name="40% - 강조색5 2 3" xfId="892" xr:uid="{00000000-0005-0000-0000-000074030000}"/>
    <cellStyle name="40% - 강조색5 2 3 2" xfId="893" xr:uid="{00000000-0005-0000-0000-000075030000}"/>
    <cellStyle name="40% - 강조색5 2 3 3" xfId="894" xr:uid="{00000000-0005-0000-0000-000076030000}"/>
    <cellStyle name="40% - 강조색5 2 3 4" xfId="895" xr:uid="{00000000-0005-0000-0000-000077030000}"/>
    <cellStyle name="40% - 강조색5 2 3 5" xfId="896" xr:uid="{00000000-0005-0000-0000-000078030000}"/>
    <cellStyle name="40% - 강조색5 2 3 6" xfId="897" xr:uid="{00000000-0005-0000-0000-000079030000}"/>
    <cellStyle name="40% - 강조색5 2 4" xfId="898" xr:uid="{00000000-0005-0000-0000-00007A030000}"/>
    <cellStyle name="40% - 강조색5 2 4 2" xfId="899" xr:uid="{00000000-0005-0000-0000-00007B030000}"/>
    <cellStyle name="40% - 강조색5 2 4 3" xfId="900" xr:uid="{00000000-0005-0000-0000-00007C030000}"/>
    <cellStyle name="40% - 강조색5 2 4 4" xfId="901" xr:uid="{00000000-0005-0000-0000-00007D030000}"/>
    <cellStyle name="40% - 강조색5 2 4 5" xfId="902" xr:uid="{00000000-0005-0000-0000-00007E030000}"/>
    <cellStyle name="40% - 강조색5 2 4 6" xfId="903" xr:uid="{00000000-0005-0000-0000-00007F030000}"/>
    <cellStyle name="40% - 강조색5 2 5" xfId="904" xr:uid="{00000000-0005-0000-0000-000080030000}"/>
    <cellStyle name="40% - 강조색5 2 5 2" xfId="905" xr:uid="{00000000-0005-0000-0000-000081030000}"/>
    <cellStyle name="40% - 강조색5 2 5 3" xfId="906" xr:uid="{00000000-0005-0000-0000-000082030000}"/>
    <cellStyle name="40% - 강조색5 2 5 4" xfId="907" xr:uid="{00000000-0005-0000-0000-000083030000}"/>
    <cellStyle name="40% - 강조색5 2 5 5" xfId="908" xr:uid="{00000000-0005-0000-0000-000084030000}"/>
    <cellStyle name="40% - 강조색5 2 5 6" xfId="909" xr:uid="{00000000-0005-0000-0000-000085030000}"/>
    <cellStyle name="40% - 강조색5 2 6" xfId="910" xr:uid="{00000000-0005-0000-0000-000086030000}"/>
    <cellStyle name="40% - 강조색5 2 6 2" xfId="911" xr:uid="{00000000-0005-0000-0000-000087030000}"/>
    <cellStyle name="40% - 강조색5 2 6 3" xfId="912" xr:uid="{00000000-0005-0000-0000-000088030000}"/>
    <cellStyle name="40% - 강조색5 2 6 4" xfId="913" xr:uid="{00000000-0005-0000-0000-000089030000}"/>
    <cellStyle name="40% - 강조색5 2 6 5" xfId="914" xr:uid="{00000000-0005-0000-0000-00008A030000}"/>
    <cellStyle name="40% - 강조색5 2 6 6" xfId="915" xr:uid="{00000000-0005-0000-0000-00008B030000}"/>
    <cellStyle name="40% - 강조색5 2 7" xfId="916" xr:uid="{00000000-0005-0000-0000-00008C030000}"/>
    <cellStyle name="40% - 강조색5 2 7 2" xfId="917" xr:uid="{00000000-0005-0000-0000-00008D030000}"/>
    <cellStyle name="40% - 강조색5 2 7 3" xfId="918" xr:uid="{00000000-0005-0000-0000-00008E030000}"/>
    <cellStyle name="40% - 강조색5 2 7 4" xfId="919" xr:uid="{00000000-0005-0000-0000-00008F030000}"/>
    <cellStyle name="40% - 강조색5 2 7 5" xfId="920" xr:uid="{00000000-0005-0000-0000-000090030000}"/>
    <cellStyle name="40% - 강조색5 2 7 6" xfId="921" xr:uid="{00000000-0005-0000-0000-000091030000}"/>
    <cellStyle name="40% - 강조색5 2 8" xfId="922" xr:uid="{00000000-0005-0000-0000-000092030000}"/>
    <cellStyle name="40% - 강조색5 2 8 2" xfId="923" xr:uid="{00000000-0005-0000-0000-000093030000}"/>
    <cellStyle name="40% - 강조색5 2 8 3" xfId="924" xr:uid="{00000000-0005-0000-0000-000094030000}"/>
    <cellStyle name="40% - 강조색5 2 8 4" xfId="925" xr:uid="{00000000-0005-0000-0000-000095030000}"/>
    <cellStyle name="40% - 강조색5 2 8 5" xfId="926" xr:uid="{00000000-0005-0000-0000-000096030000}"/>
    <cellStyle name="40% - 강조색5 2 8 6" xfId="927" xr:uid="{00000000-0005-0000-0000-000097030000}"/>
    <cellStyle name="40% - 강조색5 2 9" xfId="928" xr:uid="{00000000-0005-0000-0000-000098030000}"/>
    <cellStyle name="40% - 강조색5 2 9 2" xfId="929" xr:uid="{00000000-0005-0000-0000-000099030000}"/>
    <cellStyle name="40% - 강조색5 2 9 3" xfId="930" xr:uid="{00000000-0005-0000-0000-00009A030000}"/>
    <cellStyle name="40% - 강조색5 2 9 4" xfId="931" xr:uid="{00000000-0005-0000-0000-00009B030000}"/>
    <cellStyle name="40% - 강조색5 2 9 5" xfId="932" xr:uid="{00000000-0005-0000-0000-00009C030000}"/>
    <cellStyle name="40% - 강조색5 2 9 6" xfId="933" xr:uid="{00000000-0005-0000-0000-00009D030000}"/>
    <cellStyle name="40% - 강조색6 2" xfId="934" xr:uid="{00000000-0005-0000-0000-00009E030000}"/>
    <cellStyle name="40% - 강조색6 2 10" xfId="935" xr:uid="{00000000-0005-0000-0000-00009F030000}"/>
    <cellStyle name="40% - 강조색6 2 10 2" xfId="936" xr:uid="{00000000-0005-0000-0000-0000A0030000}"/>
    <cellStyle name="40% - 강조색6 2 10 3" xfId="937" xr:uid="{00000000-0005-0000-0000-0000A1030000}"/>
    <cellStyle name="40% - 강조색6 2 10 4" xfId="938" xr:uid="{00000000-0005-0000-0000-0000A2030000}"/>
    <cellStyle name="40% - 강조색6 2 10 5" xfId="939" xr:uid="{00000000-0005-0000-0000-0000A3030000}"/>
    <cellStyle name="40% - 강조색6 2 10 6" xfId="940" xr:uid="{00000000-0005-0000-0000-0000A4030000}"/>
    <cellStyle name="40% - 강조색6 2 11" xfId="941" xr:uid="{00000000-0005-0000-0000-0000A5030000}"/>
    <cellStyle name="40% - 강조색6 2 11 2" xfId="942" xr:uid="{00000000-0005-0000-0000-0000A6030000}"/>
    <cellStyle name="40% - 강조색6 2 11 3" xfId="943" xr:uid="{00000000-0005-0000-0000-0000A7030000}"/>
    <cellStyle name="40% - 강조색6 2 11 4" xfId="944" xr:uid="{00000000-0005-0000-0000-0000A8030000}"/>
    <cellStyle name="40% - 강조색6 2 11 5" xfId="945" xr:uid="{00000000-0005-0000-0000-0000A9030000}"/>
    <cellStyle name="40% - 강조색6 2 11 6" xfId="946" xr:uid="{00000000-0005-0000-0000-0000AA030000}"/>
    <cellStyle name="40% - 강조색6 2 12" xfId="947" xr:uid="{00000000-0005-0000-0000-0000AB030000}"/>
    <cellStyle name="40% - 강조색6 2 12 2" xfId="948" xr:uid="{00000000-0005-0000-0000-0000AC030000}"/>
    <cellStyle name="40% - 강조색6 2 12 3" xfId="949" xr:uid="{00000000-0005-0000-0000-0000AD030000}"/>
    <cellStyle name="40% - 강조색6 2 12 4" xfId="950" xr:uid="{00000000-0005-0000-0000-0000AE030000}"/>
    <cellStyle name="40% - 강조색6 2 12 5" xfId="951" xr:uid="{00000000-0005-0000-0000-0000AF030000}"/>
    <cellStyle name="40% - 강조색6 2 12 6" xfId="952" xr:uid="{00000000-0005-0000-0000-0000B0030000}"/>
    <cellStyle name="40% - 강조색6 2 13" xfId="953" xr:uid="{00000000-0005-0000-0000-0000B1030000}"/>
    <cellStyle name="40% - 강조색6 2 13 2" xfId="954" xr:uid="{00000000-0005-0000-0000-0000B2030000}"/>
    <cellStyle name="40% - 강조색6 2 13 3" xfId="955" xr:uid="{00000000-0005-0000-0000-0000B3030000}"/>
    <cellStyle name="40% - 강조색6 2 13 4" xfId="956" xr:uid="{00000000-0005-0000-0000-0000B4030000}"/>
    <cellStyle name="40% - 강조색6 2 13 5" xfId="957" xr:uid="{00000000-0005-0000-0000-0000B5030000}"/>
    <cellStyle name="40% - 강조색6 2 13 6" xfId="958" xr:uid="{00000000-0005-0000-0000-0000B6030000}"/>
    <cellStyle name="40% - 강조색6 2 14" xfId="959" xr:uid="{00000000-0005-0000-0000-0000B7030000}"/>
    <cellStyle name="40% - 강조색6 2 14 2" xfId="960" xr:uid="{00000000-0005-0000-0000-0000B8030000}"/>
    <cellStyle name="40% - 강조색6 2 14 3" xfId="961" xr:uid="{00000000-0005-0000-0000-0000B9030000}"/>
    <cellStyle name="40% - 강조색6 2 14 4" xfId="962" xr:uid="{00000000-0005-0000-0000-0000BA030000}"/>
    <cellStyle name="40% - 강조색6 2 14 5" xfId="963" xr:uid="{00000000-0005-0000-0000-0000BB030000}"/>
    <cellStyle name="40% - 강조색6 2 14 6" xfId="964" xr:uid="{00000000-0005-0000-0000-0000BC030000}"/>
    <cellStyle name="40% - 강조색6 2 15" xfId="965" xr:uid="{00000000-0005-0000-0000-0000BD030000}"/>
    <cellStyle name="40% - 강조색6 2 16" xfId="966" xr:uid="{00000000-0005-0000-0000-0000BE030000}"/>
    <cellStyle name="40% - 강조색6 2 17" xfId="967" xr:uid="{00000000-0005-0000-0000-0000BF030000}"/>
    <cellStyle name="40% - 강조색6 2 18" xfId="968" xr:uid="{00000000-0005-0000-0000-0000C0030000}"/>
    <cellStyle name="40% - 강조색6 2 19" xfId="969" xr:uid="{00000000-0005-0000-0000-0000C1030000}"/>
    <cellStyle name="40% - 강조색6 2 2" xfId="970" xr:uid="{00000000-0005-0000-0000-0000C2030000}"/>
    <cellStyle name="40% - 강조색6 2 2 2" xfId="971" xr:uid="{00000000-0005-0000-0000-0000C3030000}"/>
    <cellStyle name="40% - 강조색6 2 2 3" xfId="972" xr:uid="{00000000-0005-0000-0000-0000C4030000}"/>
    <cellStyle name="40% - 강조색6 2 2 4" xfId="973" xr:uid="{00000000-0005-0000-0000-0000C5030000}"/>
    <cellStyle name="40% - 강조색6 2 2 5" xfId="974" xr:uid="{00000000-0005-0000-0000-0000C6030000}"/>
    <cellStyle name="40% - 강조색6 2 2 6" xfId="975" xr:uid="{00000000-0005-0000-0000-0000C7030000}"/>
    <cellStyle name="40% - 강조색6 2 3" xfId="976" xr:uid="{00000000-0005-0000-0000-0000C8030000}"/>
    <cellStyle name="40% - 강조색6 2 3 2" xfId="977" xr:uid="{00000000-0005-0000-0000-0000C9030000}"/>
    <cellStyle name="40% - 강조색6 2 3 3" xfId="978" xr:uid="{00000000-0005-0000-0000-0000CA030000}"/>
    <cellStyle name="40% - 강조색6 2 3 4" xfId="979" xr:uid="{00000000-0005-0000-0000-0000CB030000}"/>
    <cellStyle name="40% - 강조색6 2 3 5" xfId="980" xr:uid="{00000000-0005-0000-0000-0000CC030000}"/>
    <cellStyle name="40% - 강조색6 2 3 6" xfId="981" xr:uid="{00000000-0005-0000-0000-0000CD030000}"/>
    <cellStyle name="40% - 강조색6 2 4" xfId="982" xr:uid="{00000000-0005-0000-0000-0000CE030000}"/>
    <cellStyle name="40% - 강조색6 2 4 2" xfId="983" xr:uid="{00000000-0005-0000-0000-0000CF030000}"/>
    <cellStyle name="40% - 강조색6 2 4 3" xfId="984" xr:uid="{00000000-0005-0000-0000-0000D0030000}"/>
    <cellStyle name="40% - 강조색6 2 4 4" xfId="985" xr:uid="{00000000-0005-0000-0000-0000D1030000}"/>
    <cellStyle name="40% - 강조색6 2 4 5" xfId="986" xr:uid="{00000000-0005-0000-0000-0000D2030000}"/>
    <cellStyle name="40% - 강조색6 2 4 6" xfId="987" xr:uid="{00000000-0005-0000-0000-0000D3030000}"/>
    <cellStyle name="40% - 강조색6 2 5" xfId="988" xr:uid="{00000000-0005-0000-0000-0000D4030000}"/>
    <cellStyle name="40% - 강조색6 2 5 2" xfId="989" xr:uid="{00000000-0005-0000-0000-0000D5030000}"/>
    <cellStyle name="40% - 강조색6 2 5 3" xfId="990" xr:uid="{00000000-0005-0000-0000-0000D6030000}"/>
    <cellStyle name="40% - 강조색6 2 5 4" xfId="991" xr:uid="{00000000-0005-0000-0000-0000D7030000}"/>
    <cellStyle name="40% - 강조색6 2 5 5" xfId="992" xr:uid="{00000000-0005-0000-0000-0000D8030000}"/>
    <cellStyle name="40% - 강조색6 2 5 6" xfId="993" xr:uid="{00000000-0005-0000-0000-0000D9030000}"/>
    <cellStyle name="40% - 강조색6 2 6" xfId="994" xr:uid="{00000000-0005-0000-0000-0000DA030000}"/>
    <cellStyle name="40% - 강조색6 2 6 2" xfId="995" xr:uid="{00000000-0005-0000-0000-0000DB030000}"/>
    <cellStyle name="40% - 강조색6 2 6 3" xfId="996" xr:uid="{00000000-0005-0000-0000-0000DC030000}"/>
    <cellStyle name="40% - 강조색6 2 6 4" xfId="997" xr:uid="{00000000-0005-0000-0000-0000DD030000}"/>
    <cellStyle name="40% - 강조색6 2 6 5" xfId="998" xr:uid="{00000000-0005-0000-0000-0000DE030000}"/>
    <cellStyle name="40% - 강조색6 2 6 6" xfId="999" xr:uid="{00000000-0005-0000-0000-0000DF030000}"/>
    <cellStyle name="40% - 강조색6 2 7" xfId="1000" xr:uid="{00000000-0005-0000-0000-0000E0030000}"/>
    <cellStyle name="40% - 강조색6 2 7 2" xfId="1001" xr:uid="{00000000-0005-0000-0000-0000E1030000}"/>
    <cellStyle name="40% - 강조색6 2 7 3" xfId="1002" xr:uid="{00000000-0005-0000-0000-0000E2030000}"/>
    <cellStyle name="40% - 강조색6 2 7 4" xfId="1003" xr:uid="{00000000-0005-0000-0000-0000E3030000}"/>
    <cellStyle name="40% - 강조색6 2 7 5" xfId="1004" xr:uid="{00000000-0005-0000-0000-0000E4030000}"/>
    <cellStyle name="40% - 강조색6 2 7 6" xfId="1005" xr:uid="{00000000-0005-0000-0000-0000E5030000}"/>
    <cellStyle name="40% - 강조색6 2 8" xfId="1006" xr:uid="{00000000-0005-0000-0000-0000E6030000}"/>
    <cellStyle name="40% - 강조색6 2 8 2" xfId="1007" xr:uid="{00000000-0005-0000-0000-0000E7030000}"/>
    <cellStyle name="40% - 강조색6 2 8 3" xfId="1008" xr:uid="{00000000-0005-0000-0000-0000E8030000}"/>
    <cellStyle name="40% - 강조색6 2 8 4" xfId="1009" xr:uid="{00000000-0005-0000-0000-0000E9030000}"/>
    <cellStyle name="40% - 강조색6 2 8 5" xfId="1010" xr:uid="{00000000-0005-0000-0000-0000EA030000}"/>
    <cellStyle name="40% - 강조색6 2 8 6" xfId="1011" xr:uid="{00000000-0005-0000-0000-0000EB030000}"/>
    <cellStyle name="40% - 강조색6 2 9" xfId="1012" xr:uid="{00000000-0005-0000-0000-0000EC030000}"/>
    <cellStyle name="40% - 강조색6 2 9 2" xfId="1013" xr:uid="{00000000-0005-0000-0000-0000ED030000}"/>
    <cellStyle name="40% - 강조색6 2 9 3" xfId="1014" xr:uid="{00000000-0005-0000-0000-0000EE030000}"/>
    <cellStyle name="40% - 강조색6 2 9 4" xfId="1015" xr:uid="{00000000-0005-0000-0000-0000EF030000}"/>
    <cellStyle name="40% - 강조색6 2 9 5" xfId="1016" xr:uid="{00000000-0005-0000-0000-0000F0030000}"/>
    <cellStyle name="40% - 강조색6 2 9 6" xfId="1017" xr:uid="{00000000-0005-0000-0000-0000F1030000}"/>
    <cellStyle name="60% - 강조색1 2" xfId="1018" xr:uid="{00000000-0005-0000-0000-0000F2030000}"/>
    <cellStyle name="60% - 강조색2 2" xfId="1019" xr:uid="{00000000-0005-0000-0000-0000F3030000}"/>
    <cellStyle name="60% - 강조색3 2" xfId="1020" xr:uid="{00000000-0005-0000-0000-0000F4030000}"/>
    <cellStyle name="60% - 강조색4 2" xfId="1021" xr:uid="{00000000-0005-0000-0000-0000F5030000}"/>
    <cellStyle name="60% - 강조색5 2" xfId="1022" xr:uid="{00000000-0005-0000-0000-0000F6030000}"/>
    <cellStyle name="60% - 강조색6 2" xfId="1023" xr:uid="{00000000-0005-0000-0000-0000F7030000}"/>
    <cellStyle name="aryInformation" xfId="3130" xr:uid="{00000000-0005-0000-0000-0000F8030000}"/>
    <cellStyle name="category" xfId="1024" xr:uid="{00000000-0005-0000-0000-0000F9030000}"/>
    <cellStyle name="Comma" xfId="1025" xr:uid="{00000000-0005-0000-0000-0000FA030000}"/>
    <cellStyle name="Comma [0]_판매계획 (2)" xfId="3131" xr:uid="{00000000-0005-0000-0000-0000FB030000}"/>
    <cellStyle name="Comma [0]Ctls" xfId="3132" xr:uid="{00000000-0005-0000-0000-0000FC030000}"/>
    <cellStyle name="Comma_판매계획 (2)" xfId="3133" xr:uid="{00000000-0005-0000-0000-0000FD030000}"/>
    <cellStyle name="CRevision Log" xfId="3134" xr:uid="{00000000-0005-0000-0000-0000FE030000}"/>
    <cellStyle name="Currency" xfId="1026" xr:uid="{00000000-0005-0000-0000-0000FF030000}"/>
    <cellStyle name="Currency [0]_판매계획 (2)" xfId="3135" xr:uid="{00000000-0005-0000-0000-000000040000}"/>
    <cellStyle name="Currency_판매계획 (2)" xfId="3136" xr:uid="{00000000-0005-0000-0000-000001040000}"/>
    <cellStyle name="Date" xfId="1027" xr:uid="{00000000-0005-0000-0000-000002040000}"/>
    <cellStyle name="Fixed" xfId="1028" xr:uid="{00000000-0005-0000-0000-000003040000}"/>
    <cellStyle name="Grey" xfId="1029" xr:uid="{00000000-0005-0000-0000-000004040000}"/>
    <cellStyle name="HEADER" xfId="1030" xr:uid="{00000000-0005-0000-0000-000005040000}"/>
    <cellStyle name="Header1" xfId="1031" xr:uid="{00000000-0005-0000-0000-000006040000}"/>
    <cellStyle name="Header2" xfId="1032" xr:uid="{00000000-0005-0000-0000-000007040000}"/>
    <cellStyle name="Heading1" xfId="1033" xr:uid="{00000000-0005-0000-0000-000008040000}"/>
    <cellStyle name="Heading2" xfId="1034" xr:uid="{00000000-0005-0000-0000-000009040000}"/>
    <cellStyle name="Input [yellow]" xfId="1035" xr:uid="{00000000-0005-0000-0000-00000A040000}"/>
    <cellStyle name="kbook" xfId="3137" xr:uid="{00000000-0005-0000-0000-00000B040000}"/>
    <cellStyle name="Model" xfId="1036" xr:uid="{00000000-0005-0000-0000-00000C040000}"/>
    <cellStyle name="Normal - Style1" xfId="1037" xr:uid="{00000000-0005-0000-0000-00000D040000}"/>
    <cellStyle name="Normal_Certs Q2" xfId="3138" xr:uid="{00000000-0005-0000-0000-00000E040000}"/>
    <cellStyle name="OJECT_CUR" xfId="3139" xr:uid="{00000000-0005-0000-0000-00000F040000}"/>
    <cellStyle name="on" xfId="3140" xr:uid="{00000000-0005-0000-0000-000010040000}"/>
    <cellStyle name="Percent" xfId="1038" xr:uid="{00000000-0005-0000-0000-000011040000}"/>
    <cellStyle name="Percent [2]" xfId="1039" xr:uid="{00000000-0005-0000-0000-000012040000}"/>
    <cellStyle name="subhead" xfId="1040" xr:uid="{00000000-0005-0000-0000-000013040000}"/>
    <cellStyle name="Total" xfId="1041" xr:uid="{00000000-0005-0000-0000-000014040000}"/>
    <cellStyle name="yInformation" xfId="3141" xr:uid="{00000000-0005-0000-0000-000015040000}"/>
    <cellStyle name="ㄱ" xfId="3142" xr:uid="{00000000-0005-0000-0000-000016040000}"/>
    <cellStyle name="강조색1 2" xfId="1042" xr:uid="{00000000-0005-0000-0000-000017040000}"/>
    <cellStyle name="강조색2 2" xfId="1043" xr:uid="{00000000-0005-0000-0000-000018040000}"/>
    <cellStyle name="강조색3 2" xfId="1044" xr:uid="{00000000-0005-0000-0000-000019040000}"/>
    <cellStyle name="강조색4 2" xfId="1045" xr:uid="{00000000-0005-0000-0000-00001A040000}"/>
    <cellStyle name="강조색5 2" xfId="1046" xr:uid="{00000000-0005-0000-0000-00001B040000}"/>
    <cellStyle name="강조색6 2" xfId="1047" xr:uid="{00000000-0005-0000-0000-00001C040000}"/>
    <cellStyle name="경고문 2" xfId="1048" xr:uid="{00000000-0005-0000-0000-00001D040000}"/>
    <cellStyle name="계산 2" xfId="1049" xr:uid="{00000000-0005-0000-0000-00001E040000}"/>
    <cellStyle name="나쁨 2" xfId="1050" xr:uid="{00000000-0005-0000-0000-00001F040000}"/>
    <cellStyle name="메모 2" xfId="1051" xr:uid="{00000000-0005-0000-0000-000020040000}"/>
    <cellStyle name="백분율" xfId="8" builtinId="5"/>
    <cellStyle name="백분율 10" xfId="3297" xr:uid="{00000000-0005-0000-0000-000022040000}"/>
    <cellStyle name="백분율 11" xfId="3518" xr:uid="{00000000-0005-0000-0000-000023040000}"/>
    <cellStyle name="백분율 12" xfId="1052" xr:uid="{00000000-0005-0000-0000-000024040000}"/>
    <cellStyle name="백분율 2" xfId="3" xr:uid="{00000000-0005-0000-0000-000025040000}"/>
    <cellStyle name="백분율 2 10" xfId="1054" xr:uid="{00000000-0005-0000-0000-000026040000}"/>
    <cellStyle name="백분율 2 10 2" xfId="1055" xr:uid="{00000000-0005-0000-0000-000027040000}"/>
    <cellStyle name="백분율 2 10 3" xfId="1056" xr:uid="{00000000-0005-0000-0000-000028040000}"/>
    <cellStyle name="백분율 2 11" xfId="1057" xr:uid="{00000000-0005-0000-0000-000029040000}"/>
    <cellStyle name="백분율 2 11 2" xfId="1058" xr:uid="{00000000-0005-0000-0000-00002A040000}"/>
    <cellStyle name="백분율 2 11 3" xfId="1059" xr:uid="{00000000-0005-0000-0000-00002B040000}"/>
    <cellStyle name="백분율 2 12" xfId="1060" xr:uid="{00000000-0005-0000-0000-00002C040000}"/>
    <cellStyle name="백분율 2 12 2" xfId="1061" xr:uid="{00000000-0005-0000-0000-00002D040000}"/>
    <cellStyle name="백분율 2 12 3" xfId="1062" xr:uid="{00000000-0005-0000-0000-00002E040000}"/>
    <cellStyle name="백분율 2 13" xfId="1063" xr:uid="{00000000-0005-0000-0000-00002F040000}"/>
    <cellStyle name="백분율 2 14" xfId="1064" xr:uid="{00000000-0005-0000-0000-000030040000}"/>
    <cellStyle name="백분율 2 15" xfId="1065" xr:uid="{00000000-0005-0000-0000-000031040000}"/>
    <cellStyle name="백분율 2 16" xfId="1066" xr:uid="{00000000-0005-0000-0000-000032040000}"/>
    <cellStyle name="백분율 2 17" xfId="1067" xr:uid="{00000000-0005-0000-0000-000033040000}"/>
    <cellStyle name="백분율 2 18" xfId="1068" xr:uid="{00000000-0005-0000-0000-000034040000}"/>
    <cellStyle name="백분율 2 19" xfId="1069" xr:uid="{00000000-0005-0000-0000-000035040000}"/>
    <cellStyle name="백분율 2 2" xfId="1070" xr:uid="{00000000-0005-0000-0000-000036040000}"/>
    <cellStyle name="백분율 2 2 10" xfId="1071" xr:uid="{00000000-0005-0000-0000-000037040000}"/>
    <cellStyle name="백분율 2 2 2" xfId="1072" xr:uid="{00000000-0005-0000-0000-000038040000}"/>
    <cellStyle name="백분율 2 2 2 2" xfId="1073" xr:uid="{00000000-0005-0000-0000-000039040000}"/>
    <cellStyle name="백분율 2 2 2 2 2" xfId="1074" xr:uid="{00000000-0005-0000-0000-00003A040000}"/>
    <cellStyle name="백분율 2 2 2 2 3" xfId="1075" xr:uid="{00000000-0005-0000-0000-00003B040000}"/>
    <cellStyle name="백분율 2 2 3" xfId="1076" xr:uid="{00000000-0005-0000-0000-00003C040000}"/>
    <cellStyle name="백분율 2 2 4" xfId="1077" xr:uid="{00000000-0005-0000-0000-00003D040000}"/>
    <cellStyle name="백분율 2 2 5" xfId="1078" xr:uid="{00000000-0005-0000-0000-00003E040000}"/>
    <cellStyle name="백분율 2 2 5 2" xfId="1079" xr:uid="{00000000-0005-0000-0000-00003F040000}"/>
    <cellStyle name="백분율 2 2 5 3" xfId="1080" xr:uid="{00000000-0005-0000-0000-000040040000}"/>
    <cellStyle name="백분율 2 2 5 3 2" xfId="1081" xr:uid="{00000000-0005-0000-0000-000041040000}"/>
    <cellStyle name="백분율 2 2 5 4" xfId="1082" xr:uid="{00000000-0005-0000-0000-000042040000}"/>
    <cellStyle name="백분율 2 2 6" xfId="1083" xr:uid="{00000000-0005-0000-0000-000043040000}"/>
    <cellStyle name="백분율 2 2 6 2" xfId="1084" xr:uid="{00000000-0005-0000-0000-000044040000}"/>
    <cellStyle name="백분율 2 2 6 2 2" xfId="1085" xr:uid="{00000000-0005-0000-0000-000045040000}"/>
    <cellStyle name="백분율 2 2 7" xfId="1086" xr:uid="{00000000-0005-0000-0000-000046040000}"/>
    <cellStyle name="백분율 2 2 8" xfId="1087" xr:uid="{00000000-0005-0000-0000-000047040000}"/>
    <cellStyle name="백분율 2 2 9" xfId="1088" xr:uid="{00000000-0005-0000-0000-000048040000}"/>
    <cellStyle name="백분율 2 20" xfId="1089" xr:uid="{00000000-0005-0000-0000-000049040000}"/>
    <cellStyle name="백분율 2 21" xfId="1090" xr:uid="{00000000-0005-0000-0000-00004A040000}"/>
    <cellStyle name="백분율 2 22" xfId="1091" xr:uid="{00000000-0005-0000-0000-00004B040000}"/>
    <cellStyle name="백분율 2 23" xfId="1092" xr:uid="{00000000-0005-0000-0000-00004C040000}"/>
    <cellStyle name="백분율 2 24" xfId="1093" xr:uid="{00000000-0005-0000-0000-00004D040000}"/>
    <cellStyle name="백분율 2 25" xfId="1094" xr:uid="{00000000-0005-0000-0000-00004E040000}"/>
    <cellStyle name="백분율 2 25 2" xfId="1095" xr:uid="{00000000-0005-0000-0000-00004F040000}"/>
    <cellStyle name="백분율 2 26" xfId="3144" xr:uid="{00000000-0005-0000-0000-000050040000}"/>
    <cellStyle name="백분율 2 27" xfId="1053" xr:uid="{00000000-0005-0000-0000-000051040000}"/>
    <cellStyle name="백분율 2 3" xfId="1096" xr:uid="{00000000-0005-0000-0000-000052040000}"/>
    <cellStyle name="백분율 2 3 2" xfId="1097" xr:uid="{00000000-0005-0000-0000-000053040000}"/>
    <cellStyle name="백분율 2 3 2 2" xfId="1098" xr:uid="{00000000-0005-0000-0000-000054040000}"/>
    <cellStyle name="백분율 2 3 2 2 2" xfId="1099" xr:uid="{00000000-0005-0000-0000-000055040000}"/>
    <cellStyle name="백분율 2 3 2 3" xfId="1100" xr:uid="{00000000-0005-0000-0000-000056040000}"/>
    <cellStyle name="백분율 2 3 3" xfId="1101" xr:uid="{00000000-0005-0000-0000-000057040000}"/>
    <cellStyle name="백분율 2 3 4" xfId="1102" xr:uid="{00000000-0005-0000-0000-000058040000}"/>
    <cellStyle name="백분율 2 3 5" xfId="1103" xr:uid="{00000000-0005-0000-0000-000059040000}"/>
    <cellStyle name="백분율 2 3 6" xfId="1104" xr:uid="{00000000-0005-0000-0000-00005A040000}"/>
    <cellStyle name="백분율 2 3 7" xfId="1105" xr:uid="{00000000-0005-0000-0000-00005B040000}"/>
    <cellStyle name="백분율 2 4" xfId="1106" xr:uid="{00000000-0005-0000-0000-00005C040000}"/>
    <cellStyle name="백분율 2 4 2" xfId="1107" xr:uid="{00000000-0005-0000-0000-00005D040000}"/>
    <cellStyle name="백분율 2 4 2 2" xfId="1108" xr:uid="{00000000-0005-0000-0000-00005E040000}"/>
    <cellStyle name="백분율 2 4 3" xfId="1109" xr:uid="{00000000-0005-0000-0000-00005F040000}"/>
    <cellStyle name="백분율 2 5" xfId="1110" xr:uid="{00000000-0005-0000-0000-000060040000}"/>
    <cellStyle name="백분율 2 5 2" xfId="1111" xr:uid="{00000000-0005-0000-0000-000061040000}"/>
    <cellStyle name="백분율 2 5 3" xfId="1112" xr:uid="{00000000-0005-0000-0000-000062040000}"/>
    <cellStyle name="백분율 2 6" xfId="1113" xr:uid="{00000000-0005-0000-0000-000063040000}"/>
    <cellStyle name="백분율 2 6 2" xfId="1114" xr:uid="{00000000-0005-0000-0000-000064040000}"/>
    <cellStyle name="백분율 2 6 3" xfId="1115" xr:uid="{00000000-0005-0000-0000-000065040000}"/>
    <cellStyle name="백분율 2 7" xfId="1116" xr:uid="{00000000-0005-0000-0000-000066040000}"/>
    <cellStyle name="백분율 2 7 2" xfId="1117" xr:uid="{00000000-0005-0000-0000-000067040000}"/>
    <cellStyle name="백분율 2 7 3" xfId="1118" xr:uid="{00000000-0005-0000-0000-000068040000}"/>
    <cellStyle name="백분율 2 8" xfId="1119" xr:uid="{00000000-0005-0000-0000-000069040000}"/>
    <cellStyle name="백분율 2 8 2" xfId="1120" xr:uid="{00000000-0005-0000-0000-00006A040000}"/>
    <cellStyle name="백분율 2 8 3" xfId="1121" xr:uid="{00000000-0005-0000-0000-00006B040000}"/>
    <cellStyle name="백분율 2 9" xfId="1122" xr:uid="{00000000-0005-0000-0000-00006C040000}"/>
    <cellStyle name="백분율 2 9 2" xfId="1123" xr:uid="{00000000-0005-0000-0000-00006D040000}"/>
    <cellStyle name="백분율 2 9 3" xfId="1124" xr:uid="{00000000-0005-0000-0000-00006E040000}"/>
    <cellStyle name="백분율 24" xfId="1125" xr:uid="{00000000-0005-0000-0000-00006F040000}"/>
    <cellStyle name="백분율 24 2" xfId="1126" xr:uid="{00000000-0005-0000-0000-000070040000}"/>
    <cellStyle name="백분율 3" xfId="3114" xr:uid="{00000000-0005-0000-0000-000071040000}"/>
    <cellStyle name="백분율 3 2" xfId="1127" xr:uid="{00000000-0005-0000-0000-000072040000}"/>
    <cellStyle name="백분율 3 3" xfId="1128" xr:uid="{00000000-0005-0000-0000-000073040000}"/>
    <cellStyle name="백분율 4" xfId="3124" xr:uid="{00000000-0005-0000-0000-000074040000}"/>
    <cellStyle name="백분율 5" xfId="3143" xr:uid="{00000000-0005-0000-0000-000075040000}"/>
    <cellStyle name="백분율 6" xfId="3174" xr:uid="{00000000-0005-0000-0000-000076040000}"/>
    <cellStyle name="백분율 7" xfId="3183" xr:uid="{00000000-0005-0000-0000-000077040000}"/>
    <cellStyle name="백분율 8" xfId="3196" xr:uid="{00000000-0005-0000-0000-000078040000}"/>
    <cellStyle name="백분율 9" xfId="3239" xr:uid="{00000000-0005-0000-0000-000079040000}"/>
    <cellStyle name="보통 2" xfId="1129" xr:uid="{00000000-0005-0000-0000-00007A040000}"/>
    <cellStyle name="설명 텍스트 2" xfId="1130" xr:uid="{00000000-0005-0000-0000-00007B040000}"/>
    <cellStyle name="셀 확인 2" xfId="1131" xr:uid="{00000000-0005-0000-0000-00007C040000}"/>
    <cellStyle name="쉼표 [0]" xfId="1" builtinId="6"/>
    <cellStyle name="쉼표 [0] 10" xfId="1133" xr:uid="{00000000-0005-0000-0000-00007E040000}"/>
    <cellStyle name="쉼표 [0] 10 10" xfId="1134" xr:uid="{00000000-0005-0000-0000-00007F040000}"/>
    <cellStyle name="쉼표 [0] 10 11" xfId="1135" xr:uid="{00000000-0005-0000-0000-000080040000}"/>
    <cellStyle name="쉼표 [0] 10 12" xfId="1136" xr:uid="{00000000-0005-0000-0000-000081040000}"/>
    <cellStyle name="쉼표 [0] 10 2" xfId="1137" xr:uid="{00000000-0005-0000-0000-000082040000}"/>
    <cellStyle name="쉼표 [0] 10 3" xfId="1138" xr:uid="{00000000-0005-0000-0000-000083040000}"/>
    <cellStyle name="쉼표 [0] 10 4" xfId="1139" xr:uid="{00000000-0005-0000-0000-000084040000}"/>
    <cellStyle name="쉼표 [0] 10 5" xfId="1140" xr:uid="{00000000-0005-0000-0000-000085040000}"/>
    <cellStyle name="쉼표 [0] 10 6" xfId="1141" xr:uid="{00000000-0005-0000-0000-000086040000}"/>
    <cellStyle name="쉼표 [0] 10 7" xfId="1142" xr:uid="{00000000-0005-0000-0000-000087040000}"/>
    <cellStyle name="쉼표 [0] 10 8" xfId="1143" xr:uid="{00000000-0005-0000-0000-000088040000}"/>
    <cellStyle name="쉼표 [0] 10 9" xfId="1144" xr:uid="{00000000-0005-0000-0000-000089040000}"/>
    <cellStyle name="쉼표 [0] 11" xfId="1145" xr:uid="{00000000-0005-0000-0000-00008A040000}"/>
    <cellStyle name="쉼표 [0] 11 10" xfId="1146" xr:uid="{00000000-0005-0000-0000-00008B040000}"/>
    <cellStyle name="쉼표 [0] 11 11" xfId="1147" xr:uid="{00000000-0005-0000-0000-00008C040000}"/>
    <cellStyle name="쉼표 [0] 11 12" xfId="1148" xr:uid="{00000000-0005-0000-0000-00008D040000}"/>
    <cellStyle name="쉼표 [0] 11 2" xfId="1149" xr:uid="{00000000-0005-0000-0000-00008E040000}"/>
    <cellStyle name="쉼표 [0] 11 3" xfId="1150" xr:uid="{00000000-0005-0000-0000-00008F040000}"/>
    <cellStyle name="쉼표 [0] 11 4" xfId="1151" xr:uid="{00000000-0005-0000-0000-000090040000}"/>
    <cellStyle name="쉼표 [0] 11 5" xfId="1152" xr:uid="{00000000-0005-0000-0000-000091040000}"/>
    <cellStyle name="쉼표 [0] 11 6" xfId="1153" xr:uid="{00000000-0005-0000-0000-000092040000}"/>
    <cellStyle name="쉼표 [0] 11 7" xfId="1154" xr:uid="{00000000-0005-0000-0000-000093040000}"/>
    <cellStyle name="쉼표 [0] 11 8" xfId="1155" xr:uid="{00000000-0005-0000-0000-000094040000}"/>
    <cellStyle name="쉼표 [0] 11 9" xfId="1156" xr:uid="{00000000-0005-0000-0000-000095040000}"/>
    <cellStyle name="쉼표 [0] 12" xfId="1157" xr:uid="{00000000-0005-0000-0000-000096040000}"/>
    <cellStyle name="쉼표 [0] 12 2" xfId="1158" xr:uid="{00000000-0005-0000-0000-000097040000}"/>
    <cellStyle name="쉼표 [0] 12 2 2" xfId="1159" xr:uid="{00000000-0005-0000-0000-000098040000}"/>
    <cellStyle name="쉼표 [0] 12 2 2 2" xfId="1160" xr:uid="{00000000-0005-0000-0000-000099040000}"/>
    <cellStyle name="쉼표 [0] 12 2 2 2 2" xfId="1161" xr:uid="{00000000-0005-0000-0000-00009A040000}"/>
    <cellStyle name="쉼표 [0] 12 2 3" xfId="1162" xr:uid="{00000000-0005-0000-0000-00009B040000}"/>
    <cellStyle name="쉼표 [0] 12 2 4" xfId="1163" xr:uid="{00000000-0005-0000-0000-00009C040000}"/>
    <cellStyle name="쉼표 [0] 12 2 5" xfId="1164" xr:uid="{00000000-0005-0000-0000-00009D040000}"/>
    <cellStyle name="쉼표 [0] 12 2 6" xfId="1165" xr:uid="{00000000-0005-0000-0000-00009E040000}"/>
    <cellStyle name="쉼표 [0] 12 3" xfId="1166" xr:uid="{00000000-0005-0000-0000-00009F040000}"/>
    <cellStyle name="쉼표 [0] 12 3 2" xfId="1167" xr:uid="{00000000-0005-0000-0000-0000A0040000}"/>
    <cellStyle name="쉼표 [0] 12 3 2 2" xfId="1168" xr:uid="{00000000-0005-0000-0000-0000A1040000}"/>
    <cellStyle name="쉼표 [0] 12 3 2 2 2" xfId="1169" xr:uid="{00000000-0005-0000-0000-0000A2040000}"/>
    <cellStyle name="쉼표 [0] 12 3 3" xfId="1170" xr:uid="{00000000-0005-0000-0000-0000A3040000}"/>
    <cellStyle name="쉼표 [0] 12 3 4" xfId="1171" xr:uid="{00000000-0005-0000-0000-0000A4040000}"/>
    <cellStyle name="쉼표 [0] 12 3 5" xfId="1172" xr:uid="{00000000-0005-0000-0000-0000A5040000}"/>
    <cellStyle name="쉼표 [0] 12 3 6" xfId="1173" xr:uid="{00000000-0005-0000-0000-0000A6040000}"/>
    <cellStyle name="쉼표 [0] 12 4" xfId="1174" xr:uid="{00000000-0005-0000-0000-0000A7040000}"/>
    <cellStyle name="쉼표 [0] 12 4 2" xfId="1175" xr:uid="{00000000-0005-0000-0000-0000A8040000}"/>
    <cellStyle name="쉼표 [0] 12 4 2 2" xfId="1176" xr:uid="{00000000-0005-0000-0000-0000A9040000}"/>
    <cellStyle name="쉼표 [0] 12 4 2 2 2" xfId="1177" xr:uid="{00000000-0005-0000-0000-0000AA040000}"/>
    <cellStyle name="쉼표 [0] 12 4 3" xfId="1178" xr:uid="{00000000-0005-0000-0000-0000AB040000}"/>
    <cellStyle name="쉼표 [0] 12 4 4" xfId="1179" xr:uid="{00000000-0005-0000-0000-0000AC040000}"/>
    <cellStyle name="쉼표 [0] 12 4 5" xfId="1180" xr:uid="{00000000-0005-0000-0000-0000AD040000}"/>
    <cellStyle name="쉼표 [0] 12 4 6" xfId="1181" xr:uid="{00000000-0005-0000-0000-0000AE040000}"/>
    <cellStyle name="쉼표 [0] 12 5" xfId="1182" xr:uid="{00000000-0005-0000-0000-0000AF040000}"/>
    <cellStyle name="쉼표 [0] 12 5 2" xfId="1183" xr:uid="{00000000-0005-0000-0000-0000B0040000}"/>
    <cellStyle name="쉼표 [0] 12 5 2 2" xfId="1184" xr:uid="{00000000-0005-0000-0000-0000B1040000}"/>
    <cellStyle name="쉼표 [0] 12 6" xfId="1185" xr:uid="{00000000-0005-0000-0000-0000B2040000}"/>
    <cellStyle name="쉼표 [0] 12 7" xfId="1186" xr:uid="{00000000-0005-0000-0000-0000B3040000}"/>
    <cellStyle name="쉼표 [0] 12 8" xfId="1187" xr:uid="{00000000-0005-0000-0000-0000B4040000}"/>
    <cellStyle name="쉼표 [0] 12 9" xfId="1188" xr:uid="{00000000-0005-0000-0000-0000B5040000}"/>
    <cellStyle name="쉼표 [0] 13" xfId="1189" xr:uid="{00000000-0005-0000-0000-0000B6040000}"/>
    <cellStyle name="쉼표 [0] 13 10" xfId="1190" xr:uid="{00000000-0005-0000-0000-0000B7040000}"/>
    <cellStyle name="쉼표 [0] 13 11" xfId="1191" xr:uid="{00000000-0005-0000-0000-0000B8040000}"/>
    <cellStyle name="쉼표 [0] 13 12" xfId="1192" xr:uid="{00000000-0005-0000-0000-0000B9040000}"/>
    <cellStyle name="쉼표 [0] 13 2" xfId="1193" xr:uid="{00000000-0005-0000-0000-0000BA040000}"/>
    <cellStyle name="쉼표 [0] 13 2 2" xfId="1194" xr:uid="{00000000-0005-0000-0000-0000BB040000}"/>
    <cellStyle name="쉼표 [0] 13 2 2 2" xfId="1195" xr:uid="{00000000-0005-0000-0000-0000BC040000}"/>
    <cellStyle name="쉼표 [0] 13 2 2 2 2" xfId="1196" xr:uid="{00000000-0005-0000-0000-0000BD040000}"/>
    <cellStyle name="쉼표 [0] 13 2 3" xfId="1197" xr:uid="{00000000-0005-0000-0000-0000BE040000}"/>
    <cellStyle name="쉼표 [0] 13 2 4" xfId="1198" xr:uid="{00000000-0005-0000-0000-0000BF040000}"/>
    <cellStyle name="쉼표 [0] 13 2 5" xfId="1199" xr:uid="{00000000-0005-0000-0000-0000C0040000}"/>
    <cellStyle name="쉼표 [0] 13 2 6" xfId="1200" xr:uid="{00000000-0005-0000-0000-0000C1040000}"/>
    <cellStyle name="쉼표 [0] 13 3" xfId="1201" xr:uid="{00000000-0005-0000-0000-0000C2040000}"/>
    <cellStyle name="쉼표 [0] 13 3 2" xfId="1202" xr:uid="{00000000-0005-0000-0000-0000C3040000}"/>
    <cellStyle name="쉼표 [0] 13 3 2 2" xfId="1203" xr:uid="{00000000-0005-0000-0000-0000C4040000}"/>
    <cellStyle name="쉼표 [0] 13 3 2 2 2" xfId="1204" xr:uid="{00000000-0005-0000-0000-0000C5040000}"/>
    <cellStyle name="쉼표 [0] 13 3 3" xfId="1205" xr:uid="{00000000-0005-0000-0000-0000C6040000}"/>
    <cellStyle name="쉼표 [0] 13 3 4" xfId="1206" xr:uid="{00000000-0005-0000-0000-0000C7040000}"/>
    <cellStyle name="쉼표 [0] 13 3 5" xfId="1207" xr:uid="{00000000-0005-0000-0000-0000C8040000}"/>
    <cellStyle name="쉼표 [0] 13 3 6" xfId="1208" xr:uid="{00000000-0005-0000-0000-0000C9040000}"/>
    <cellStyle name="쉼표 [0] 13 4" xfId="1209" xr:uid="{00000000-0005-0000-0000-0000CA040000}"/>
    <cellStyle name="쉼표 [0] 13 4 2" xfId="1210" xr:uid="{00000000-0005-0000-0000-0000CB040000}"/>
    <cellStyle name="쉼표 [0] 13 4 2 2" xfId="1211" xr:uid="{00000000-0005-0000-0000-0000CC040000}"/>
    <cellStyle name="쉼표 [0] 13 4 2 2 2" xfId="1212" xr:uid="{00000000-0005-0000-0000-0000CD040000}"/>
    <cellStyle name="쉼표 [0] 13 4 3" xfId="1213" xr:uid="{00000000-0005-0000-0000-0000CE040000}"/>
    <cellStyle name="쉼표 [0] 13 4 4" xfId="1214" xr:uid="{00000000-0005-0000-0000-0000CF040000}"/>
    <cellStyle name="쉼표 [0] 13 4 5" xfId="1215" xr:uid="{00000000-0005-0000-0000-0000D0040000}"/>
    <cellStyle name="쉼표 [0] 13 4 6" xfId="1216" xr:uid="{00000000-0005-0000-0000-0000D1040000}"/>
    <cellStyle name="쉼표 [0] 13 5" xfId="1217" xr:uid="{00000000-0005-0000-0000-0000D2040000}"/>
    <cellStyle name="쉼표 [0] 13 5 2" xfId="1218" xr:uid="{00000000-0005-0000-0000-0000D3040000}"/>
    <cellStyle name="쉼표 [0] 13 5 2 2" xfId="1219" xr:uid="{00000000-0005-0000-0000-0000D4040000}"/>
    <cellStyle name="쉼표 [0] 13 5 2 2 2" xfId="1220" xr:uid="{00000000-0005-0000-0000-0000D5040000}"/>
    <cellStyle name="쉼표 [0] 13 5 3" xfId="1221" xr:uid="{00000000-0005-0000-0000-0000D6040000}"/>
    <cellStyle name="쉼표 [0] 13 5 4" xfId="1222" xr:uid="{00000000-0005-0000-0000-0000D7040000}"/>
    <cellStyle name="쉼표 [0] 13 5 5" xfId="1223" xr:uid="{00000000-0005-0000-0000-0000D8040000}"/>
    <cellStyle name="쉼표 [0] 13 5 6" xfId="1224" xr:uid="{00000000-0005-0000-0000-0000D9040000}"/>
    <cellStyle name="쉼표 [0] 13 6" xfId="1225" xr:uid="{00000000-0005-0000-0000-0000DA040000}"/>
    <cellStyle name="쉼표 [0] 13 6 2" xfId="1226" xr:uid="{00000000-0005-0000-0000-0000DB040000}"/>
    <cellStyle name="쉼표 [0] 13 6 2 2" xfId="1227" xr:uid="{00000000-0005-0000-0000-0000DC040000}"/>
    <cellStyle name="쉼표 [0] 13 6 2 2 2" xfId="1228" xr:uid="{00000000-0005-0000-0000-0000DD040000}"/>
    <cellStyle name="쉼표 [0] 13 6 3" xfId="1229" xr:uid="{00000000-0005-0000-0000-0000DE040000}"/>
    <cellStyle name="쉼표 [0] 13 6 4" xfId="1230" xr:uid="{00000000-0005-0000-0000-0000DF040000}"/>
    <cellStyle name="쉼표 [0] 13 6 5" xfId="1231" xr:uid="{00000000-0005-0000-0000-0000E0040000}"/>
    <cellStyle name="쉼표 [0] 13 6 6" xfId="1232" xr:uid="{00000000-0005-0000-0000-0000E1040000}"/>
    <cellStyle name="쉼표 [0] 13 7" xfId="1233" xr:uid="{00000000-0005-0000-0000-0000E2040000}"/>
    <cellStyle name="쉼표 [0] 13 7 2" xfId="1234" xr:uid="{00000000-0005-0000-0000-0000E3040000}"/>
    <cellStyle name="쉼표 [0] 13 7 2 2" xfId="1235" xr:uid="{00000000-0005-0000-0000-0000E4040000}"/>
    <cellStyle name="쉼표 [0] 13 7 2 2 2" xfId="1236" xr:uid="{00000000-0005-0000-0000-0000E5040000}"/>
    <cellStyle name="쉼표 [0] 13 7 3" xfId="1237" xr:uid="{00000000-0005-0000-0000-0000E6040000}"/>
    <cellStyle name="쉼표 [0] 13 7 4" xfId="1238" xr:uid="{00000000-0005-0000-0000-0000E7040000}"/>
    <cellStyle name="쉼표 [0] 13 7 5" xfId="1239" xr:uid="{00000000-0005-0000-0000-0000E8040000}"/>
    <cellStyle name="쉼표 [0] 13 7 6" xfId="1240" xr:uid="{00000000-0005-0000-0000-0000E9040000}"/>
    <cellStyle name="쉼표 [0] 13 8" xfId="1241" xr:uid="{00000000-0005-0000-0000-0000EA040000}"/>
    <cellStyle name="쉼표 [0] 13 8 2" xfId="1242" xr:uid="{00000000-0005-0000-0000-0000EB040000}"/>
    <cellStyle name="쉼표 [0] 13 8 2 2" xfId="1243" xr:uid="{00000000-0005-0000-0000-0000EC040000}"/>
    <cellStyle name="쉼표 [0] 13 9" xfId="1244" xr:uid="{00000000-0005-0000-0000-0000ED040000}"/>
    <cellStyle name="쉼표 [0] 14" xfId="3115" xr:uid="{00000000-0005-0000-0000-0000EE040000}"/>
    <cellStyle name="쉼표 [0] 14 2" xfId="1245" xr:uid="{00000000-0005-0000-0000-0000EF040000}"/>
    <cellStyle name="쉼표 [0] 14 3" xfId="1246" xr:uid="{00000000-0005-0000-0000-0000F0040000}"/>
    <cellStyle name="쉼표 [0] 15" xfId="1247" xr:uid="{00000000-0005-0000-0000-0000F1040000}"/>
    <cellStyle name="쉼표 [0] 16" xfId="1248" xr:uid="{00000000-0005-0000-0000-0000F2040000}"/>
    <cellStyle name="쉼표 [0] 17" xfId="1249" xr:uid="{00000000-0005-0000-0000-0000F3040000}"/>
    <cellStyle name="쉼표 [0] 18" xfId="1250" xr:uid="{00000000-0005-0000-0000-0000F4040000}"/>
    <cellStyle name="쉼표 [0] 19" xfId="1251" xr:uid="{00000000-0005-0000-0000-0000F5040000}"/>
    <cellStyle name="쉼표 [0] 2" xfId="4" xr:uid="{00000000-0005-0000-0000-0000F6040000}"/>
    <cellStyle name="쉼표 [0] 2 10" xfId="1253" xr:uid="{00000000-0005-0000-0000-0000F7040000}"/>
    <cellStyle name="쉼표 [0] 2 10 2" xfId="1254" xr:uid="{00000000-0005-0000-0000-0000F8040000}"/>
    <cellStyle name="쉼표 [0] 2 10 2 2" xfId="1255" xr:uid="{00000000-0005-0000-0000-0000F9040000}"/>
    <cellStyle name="쉼표 [0] 2 10 2 2 2" xfId="1256" xr:uid="{00000000-0005-0000-0000-0000FA040000}"/>
    <cellStyle name="쉼표 [0] 2 10 2 3" xfId="1257" xr:uid="{00000000-0005-0000-0000-0000FB040000}"/>
    <cellStyle name="쉼표 [0] 2 10 3" xfId="1258" xr:uid="{00000000-0005-0000-0000-0000FC040000}"/>
    <cellStyle name="쉼표 [0] 2 10 4" xfId="1259" xr:uid="{00000000-0005-0000-0000-0000FD040000}"/>
    <cellStyle name="쉼표 [0] 2 10 5" xfId="1260" xr:uid="{00000000-0005-0000-0000-0000FE040000}"/>
    <cellStyle name="쉼표 [0] 2 10 6" xfId="1261" xr:uid="{00000000-0005-0000-0000-0000FF040000}"/>
    <cellStyle name="쉼표 [0] 2 10 7" xfId="1262" xr:uid="{00000000-0005-0000-0000-000000050000}"/>
    <cellStyle name="쉼표 [0] 2 11" xfId="1263" xr:uid="{00000000-0005-0000-0000-000001050000}"/>
    <cellStyle name="쉼표 [0] 2 11 2" xfId="1264" xr:uid="{00000000-0005-0000-0000-000002050000}"/>
    <cellStyle name="쉼표 [0] 2 11 2 2" xfId="1265" xr:uid="{00000000-0005-0000-0000-000003050000}"/>
    <cellStyle name="쉼표 [0] 2 11 2 2 2" xfId="1266" xr:uid="{00000000-0005-0000-0000-000004050000}"/>
    <cellStyle name="쉼표 [0] 2 11 2 3" xfId="1267" xr:uid="{00000000-0005-0000-0000-000005050000}"/>
    <cellStyle name="쉼표 [0] 2 11 3" xfId="1268" xr:uid="{00000000-0005-0000-0000-000006050000}"/>
    <cellStyle name="쉼표 [0] 2 11 4" xfId="1269" xr:uid="{00000000-0005-0000-0000-000007050000}"/>
    <cellStyle name="쉼표 [0] 2 11 5" xfId="1270" xr:uid="{00000000-0005-0000-0000-000008050000}"/>
    <cellStyle name="쉼표 [0] 2 11 6" xfId="1271" xr:uid="{00000000-0005-0000-0000-000009050000}"/>
    <cellStyle name="쉼표 [0] 2 11 7" xfId="1272" xr:uid="{00000000-0005-0000-0000-00000A050000}"/>
    <cellStyle name="쉼표 [0] 2 12" xfId="1273" xr:uid="{00000000-0005-0000-0000-00000B050000}"/>
    <cellStyle name="쉼표 [0] 2 12 2" xfId="1274" xr:uid="{00000000-0005-0000-0000-00000C050000}"/>
    <cellStyle name="쉼표 [0] 2 12 2 2" xfId="1275" xr:uid="{00000000-0005-0000-0000-00000D050000}"/>
    <cellStyle name="쉼표 [0] 2 12 2 2 2" xfId="1276" xr:uid="{00000000-0005-0000-0000-00000E050000}"/>
    <cellStyle name="쉼표 [0] 2 12 2 3" xfId="1277" xr:uid="{00000000-0005-0000-0000-00000F050000}"/>
    <cellStyle name="쉼표 [0] 2 12 3" xfId="1278" xr:uid="{00000000-0005-0000-0000-000010050000}"/>
    <cellStyle name="쉼표 [0] 2 12 4" xfId="1279" xr:uid="{00000000-0005-0000-0000-000011050000}"/>
    <cellStyle name="쉼표 [0] 2 12 5" xfId="1280" xr:uid="{00000000-0005-0000-0000-000012050000}"/>
    <cellStyle name="쉼표 [0] 2 12 6" xfId="1281" xr:uid="{00000000-0005-0000-0000-000013050000}"/>
    <cellStyle name="쉼표 [0] 2 12 7" xfId="1282" xr:uid="{00000000-0005-0000-0000-000014050000}"/>
    <cellStyle name="쉼표 [0] 2 13" xfId="1283" xr:uid="{00000000-0005-0000-0000-000015050000}"/>
    <cellStyle name="쉼표 [0] 2 13 2" xfId="1284" xr:uid="{00000000-0005-0000-0000-000016050000}"/>
    <cellStyle name="쉼표 [0] 2 13 2 2" xfId="1285" xr:uid="{00000000-0005-0000-0000-000017050000}"/>
    <cellStyle name="쉼표 [0] 2 13 2 2 2" xfId="1286" xr:uid="{00000000-0005-0000-0000-000018050000}"/>
    <cellStyle name="쉼표 [0] 2 13 2 3" xfId="1287" xr:uid="{00000000-0005-0000-0000-000019050000}"/>
    <cellStyle name="쉼표 [0] 2 13 3" xfId="1288" xr:uid="{00000000-0005-0000-0000-00001A050000}"/>
    <cellStyle name="쉼표 [0] 2 13 4" xfId="1289" xr:uid="{00000000-0005-0000-0000-00001B050000}"/>
    <cellStyle name="쉼표 [0] 2 13 5" xfId="1290" xr:uid="{00000000-0005-0000-0000-00001C050000}"/>
    <cellStyle name="쉼표 [0] 2 13 6" xfId="1291" xr:uid="{00000000-0005-0000-0000-00001D050000}"/>
    <cellStyle name="쉼표 [0] 2 13 7" xfId="1292" xr:uid="{00000000-0005-0000-0000-00001E050000}"/>
    <cellStyle name="쉼표 [0] 2 14" xfId="1293" xr:uid="{00000000-0005-0000-0000-00001F050000}"/>
    <cellStyle name="쉼표 [0] 2 14 2" xfId="1294" xr:uid="{00000000-0005-0000-0000-000020050000}"/>
    <cellStyle name="쉼표 [0] 2 14 2 2" xfId="1295" xr:uid="{00000000-0005-0000-0000-000021050000}"/>
    <cellStyle name="쉼표 [0] 2 14 2 2 2" xfId="1296" xr:uid="{00000000-0005-0000-0000-000022050000}"/>
    <cellStyle name="쉼표 [0] 2 14 2 3" xfId="1297" xr:uid="{00000000-0005-0000-0000-000023050000}"/>
    <cellStyle name="쉼표 [0] 2 14 3" xfId="1298" xr:uid="{00000000-0005-0000-0000-000024050000}"/>
    <cellStyle name="쉼표 [0] 2 14 4" xfId="1299" xr:uid="{00000000-0005-0000-0000-000025050000}"/>
    <cellStyle name="쉼표 [0] 2 14 5" xfId="1300" xr:uid="{00000000-0005-0000-0000-000026050000}"/>
    <cellStyle name="쉼표 [0] 2 14 6" xfId="1301" xr:uid="{00000000-0005-0000-0000-000027050000}"/>
    <cellStyle name="쉼표 [0] 2 14 7" xfId="1302" xr:uid="{00000000-0005-0000-0000-000028050000}"/>
    <cellStyle name="쉼표 [0] 2 15" xfId="1303" xr:uid="{00000000-0005-0000-0000-000029050000}"/>
    <cellStyle name="쉼표 [0] 2 15 2" xfId="1304" xr:uid="{00000000-0005-0000-0000-00002A050000}"/>
    <cellStyle name="쉼표 [0] 2 15 2 2" xfId="1305" xr:uid="{00000000-0005-0000-0000-00002B050000}"/>
    <cellStyle name="쉼표 [0] 2 15 2 2 2" xfId="1306" xr:uid="{00000000-0005-0000-0000-00002C050000}"/>
    <cellStyle name="쉼표 [0] 2 15 2 3" xfId="1307" xr:uid="{00000000-0005-0000-0000-00002D050000}"/>
    <cellStyle name="쉼표 [0] 2 15 3" xfId="1308" xr:uid="{00000000-0005-0000-0000-00002E050000}"/>
    <cellStyle name="쉼표 [0] 2 15 4" xfId="1309" xr:uid="{00000000-0005-0000-0000-00002F050000}"/>
    <cellStyle name="쉼표 [0] 2 15 5" xfId="1310" xr:uid="{00000000-0005-0000-0000-000030050000}"/>
    <cellStyle name="쉼표 [0] 2 15 6" xfId="1311" xr:uid="{00000000-0005-0000-0000-000031050000}"/>
    <cellStyle name="쉼표 [0] 2 15 7" xfId="1312" xr:uid="{00000000-0005-0000-0000-000032050000}"/>
    <cellStyle name="쉼표 [0] 2 16" xfId="1313" xr:uid="{00000000-0005-0000-0000-000033050000}"/>
    <cellStyle name="쉼표 [0] 2 16 2" xfId="1314" xr:uid="{00000000-0005-0000-0000-000034050000}"/>
    <cellStyle name="쉼표 [0] 2 16 2 2" xfId="1315" xr:uid="{00000000-0005-0000-0000-000035050000}"/>
    <cellStyle name="쉼표 [0] 2 16 2 2 2" xfId="1316" xr:uid="{00000000-0005-0000-0000-000036050000}"/>
    <cellStyle name="쉼표 [0] 2 16 2 3" xfId="1317" xr:uid="{00000000-0005-0000-0000-000037050000}"/>
    <cellStyle name="쉼표 [0] 2 16 3" xfId="1318" xr:uid="{00000000-0005-0000-0000-000038050000}"/>
    <cellStyle name="쉼표 [0] 2 16 4" xfId="1319" xr:uid="{00000000-0005-0000-0000-000039050000}"/>
    <cellStyle name="쉼표 [0] 2 16 5" xfId="1320" xr:uid="{00000000-0005-0000-0000-00003A050000}"/>
    <cellStyle name="쉼표 [0] 2 16 6" xfId="1321" xr:uid="{00000000-0005-0000-0000-00003B050000}"/>
    <cellStyle name="쉼표 [0] 2 16 7" xfId="1322" xr:uid="{00000000-0005-0000-0000-00003C050000}"/>
    <cellStyle name="쉼표 [0] 2 17" xfId="1323" xr:uid="{00000000-0005-0000-0000-00003D050000}"/>
    <cellStyle name="쉼표 [0] 2 17 2" xfId="1324" xr:uid="{00000000-0005-0000-0000-00003E050000}"/>
    <cellStyle name="쉼표 [0] 2 17 2 2" xfId="1325" xr:uid="{00000000-0005-0000-0000-00003F050000}"/>
    <cellStyle name="쉼표 [0] 2 17 2 2 2" xfId="1326" xr:uid="{00000000-0005-0000-0000-000040050000}"/>
    <cellStyle name="쉼표 [0] 2 17 2 3" xfId="1327" xr:uid="{00000000-0005-0000-0000-000041050000}"/>
    <cellStyle name="쉼표 [0] 2 17 3" xfId="1328" xr:uid="{00000000-0005-0000-0000-000042050000}"/>
    <cellStyle name="쉼표 [0] 2 17 4" xfId="1329" xr:uid="{00000000-0005-0000-0000-000043050000}"/>
    <cellStyle name="쉼표 [0] 2 17 5" xfId="1330" xr:uid="{00000000-0005-0000-0000-000044050000}"/>
    <cellStyle name="쉼표 [0] 2 17 6" xfId="1331" xr:uid="{00000000-0005-0000-0000-000045050000}"/>
    <cellStyle name="쉼표 [0] 2 17 7" xfId="1332" xr:uid="{00000000-0005-0000-0000-000046050000}"/>
    <cellStyle name="쉼표 [0] 2 18" xfId="1333" xr:uid="{00000000-0005-0000-0000-000047050000}"/>
    <cellStyle name="쉼표 [0] 2 18 2" xfId="1334" xr:uid="{00000000-0005-0000-0000-000048050000}"/>
    <cellStyle name="쉼표 [0] 2 18 2 2" xfId="1335" xr:uid="{00000000-0005-0000-0000-000049050000}"/>
    <cellStyle name="쉼표 [0] 2 18 2 2 2" xfId="1336" xr:uid="{00000000-0005-0000-0000-00004A050000}"/>
    <cellStyle name="쉼표 [0] 2 18 2 3" xfId="1337" xr:uid="{00000000-0005-0000-0000-00004B050000}"/>
    <cellStyle name="쉼표 [0] 2 18 3" xfId="1338" xr:uid="{00000000-0005-0000-0000-00004C050000}"/>
    <cellStyle name="쉼표 [0] 2 18 4" xfId="1339" xr:uid="{00000000-0005-0000-0000-00004D050000}"/>
    <cellStyle name="쉼표 [0] 2 18 5" xfId="1340" xr:uid="{00000000-0005-0000-0000-00004E050000}"/>
    <cellStyle name="쉼표 [0] 2 18 6" xfId="1341" xr:uid="{00000000-0005-0000-0000-00004F050000}"/>
    <cellStyle name="쉼표 [0] 2 18 7" xfId="1342" xr:uid="{00000000-0005-0000-0000-000050050000}"/>
    <cellStyle name="쉼표 [0] 2 19" xfId="1343" xr:uid="{00000000-0005-0000-0000-000051050000}"/>
    <cellStyle name="쉼표 [0] 2 19 10" xfId="1344" xr:uid="{00000000-0005-0000-0000-000052050000}"/>
    <cellStyle name="쉼표 [0] 2 19 11" xfId="1345" xr:uid="{00000000-0005-0000-0000-000053050000}"/>
    <cellStyle name="쉼표 [0] 2 19 12" xfId="1346" xr:uid="{00000000-0005-0000-0000-000054050000}"/>
    <cellStyle name="쉼표 [0] 2 19 2" xfId="1347" xr:uid="{00000000-0005-0000-0000-000055050000}"/>
    <cellStyle name="쉼표 [0] 2 19 2 10" xfId="1348" xr:uid="{00000000-0005-0000-0000-000056050000}"/>
    <cellStyle name="쉼표 [0] 2 19 2 10 2" xfId="1349" xr:uid="{00000000-0005-0000-0000-000057050000}"/>
    <cellStyle name="쉼표 [0] 2 19 2 11" xfId="1350" xr:uid="{00000000-0005-0000-0000-000058050000}"/>
    <cellStyle name="쉼표 [0] 2 19 2 11 2" xfId="1351" xr:uid="{00000000-0005-0000-0000-000059050000}"/>
    <cellStyle name="쉼표 [0] 2 19 2 12" xfId="1352" xr:uid="{00000000-0005-0000-0000-00005A050000}"/>
    <cellStyle name="쉼표 [0] 2 19 2 12 2" xfId="1353" xr:uid="{00000000-0005-0000-0000-00005B050000}"/>
    <cellStyle name="쉼표 [0] 2 19 2 13" xfId="1354" xr:uid="{00000000-0005-0000-0000-00005C050000}"/>
    <cellStyle name="쉼표 [0] 2 19 2 14" xfId="1355" xr:uid="{00000000-0005-0000-0000-00005D050000}"/>
    <cellStyle name="쉼표 [0] 2 19 2 15" xfId="1356" xr:uid="{00000000-0005-0000-0000-00005E050000}"/>
    <cellStyle name="쉼표 [0] 2 19 2 16" xfId="1357" xr:uid="{00000000-0005-0000-0000-00005F050000}"/>
    <cellStyle name="쉼표 [0] 2 19 2 17" xfId="1358" xr:uid="{00000000-0005-0000-0000-000060050000}"/>
    <cellStyle name="쉼표 [0] 2 19 2 2" xfId="1359" xr:uid="{00000000-0005-0000-0000-000061050000}"/>
    <cellStyle name="쉼표 [0] 2 19 2 2 2" xfId="1360" xr:uid="{00000000-0005-0000-0000-000062050000}"/>
    <cellStyle name="쉼표 [0] 2 19 2 2 2 2" xfId="1361" xr:uid="{00000000-0005-0000-0000-000063050000}"/>
    <cellStyle name="쉼표 [0] 2 19 2 2 3" xfId="1362" xr:uid="{00000000-0005-0000-0000-000064050000}"/>
    <cellStyle name="쉼표 [0] 2 19 2 2 3 2" xfId="1363" xr:uid="{00000000-0005-0000-0000-000065050000}"/>
    <cellStyle name="쉼표 [0] 2 19 2 3" xfId="1364" xr:uid="{00000000-0005-0000-0000-000066050000}"/>
    <cellStyle name="쉼표 [0] 2 19 2 3 2" xfId="1365" xr:uid="{00000000-0005-0000-0000-000067050000}"/>
    <cellStyle name="쉼표 [0] 2 19 2 4" xfId="1366" xr:uid="{00000000-0005-0000-0000-000068050000}"/>
    <cellStyle name="쉼표 [0] 2 19 2 4 2" xfId="1367" xr:uid="{00000000-0005-0000-0000-000069050000}"/>
    <cellStyle name="쉼표 [0] 2 19 2 5" xfId="1368" xr:uid="{00000000-0005-0000-0000-00006A050000}"/>
    <cellStyle name="쉼표 [0] 2 19 2 5 2" xfId="1369" xr:uid="{00000000-0005-0000-0000-00006B050000}"/>
    <cellStyle name="쉼표 [0] 2 19 2 6" xfId="1370" xr:uid="{00000000-0005-0000-0000-00006C050000}"/>
    <cellStyle name="쉼표 [0] 2 19 2 6 2" xfId="1371" xr:uid="{00000000-0005-0000-0000-00006D050000}"/>
    <cellStyle name="쉼표 [0] 2 19 2 7" xfId="1372" xr:uid="{00000000-0005-0000-0000-00006E050000}"/>
    <cellStyle name="쉼표 [0] 2 19 2 7 2" xfId="1373" xr:uid="{00000000-0005-0000-0000-00006F050000}"/>
    <cellStyle name="쉼표 [0] 2 19 2 8" xfId="1374" xr:uid="{00000000-0005-0000-0000-000070050000}"/>
    <cellStyle name="쉼표 [0] 2 19 2 8 2" xfId="1375" xr:uid="{00000000-0005-0000-0000-000071050000}"/>
    <cellStyle name="쉼표 [0] 2 19 2 9" xfId="1376" xr:uid="{00000000-0005-0000-0000-000072050000}"/>
    <cellStyle name="쉼표 [0] 2 19 2 9 2" xfId="1377" xr:uid="{00000000-0005-0000-0000-000073050000}"/>
    <cellStyle name="쉼표 [0] 2 19 3" xfId="1378" xr:uid="{00000000-0005-0000-0000-000074050000}"/>
    <cellStyle name="쉼표 [0] 2 19 3 2" xfId="1379" xr:uid="{00000000-0005-0000-0000-000075050000}"/>
    <cellStyle name="쉼표 [0] 2 19 3 3" xfId="1380" xr:uid="{00000000-0005-0000-0000-000076050000}"/>
    <cellStyle name="쉼표 [0] 2 19 4" xfId="1381" xr:uid="{00000000-0005-0000-0000-000077050000}"/>
    <cellStyle name="쉼표 [0] 2 19 5" xfId="1382" xr:uid="{00000000-0005-0000-0000-000078050000}"/>
    <cellStyle name="쉼표 [0] 2 19 6" xfId="1383" xr:uid="{00000000-0005-0000-0000-000079050000}"/>
    <cellStyle name="쉼표 [0] 2 19 7" xfId="1384" xr:uid="{00000000-0005-0000-0000-00007A050000}"/>
    <cellStyle name="쉼표 [0] 2 19 8" xfId="1385" xr:uid="{00000000-0005-0000-0000-00007B050000}"/>
    <cellStyle name="쉼표 [0] 2 19 9" xfId="1386" xr:uid="{00000000-0005-0000-0000-00007C050000}"/>
    <cellStyle name="쉼표 [0] 2 2" xfId="1387" xr:uid="{00000000-0005-0000-0000-00007D050000}"/>
    <cellStyle name="쉼표 [0] 2 2 2" xfId="1388" xr:uid="{00000000-0005-0000-0000-00007E050000}"/>
    <cellStyle name="쉼표 [0] 2 2 2 2" xfId="1389" xr:uid="{00000000-0005-0000-0000-00007F050000}"/>
    <cellStyle name="쉼표 [0] 2 2 2 2 2" xfId="1390" xr:uid="{00000000-0005-0000-0000-000080050000}"/>
    <cellStyle name="쉼표 [0] 2 2 2 2 2 2" xfId="1391" xr:uid="{00000000-0005-0000-0000-000081050000}"/>
    <cellStyle name="쉼표 [0] 2 2 2 3" xfId="1392" xr:uid="{00000000-0005-0000-0000-000082050000}"/>
    <cellStyle name="쉼표 [0] 2 2 2 3 2" xfId="1393" xr:uid="{00000000-0005-0000-0000-000083050000}"/>
    <cellStyle name="쉼표 [0] 2 2 2 4" xfId="1394" xr:uid="{00000000-0005-0000-0000-000084050000}"/>
    <cellStyle name="쉼표 [0] 2 2 3" xfId="1395" xr:uid="{00000000-0005-0000-0000-000085050000}"/>
    <cellStyle name="쉼표 [0] 2 2 3 2" xfId="3218" xr:uid="{00000000-0005-0000-0000-000086050000}"/>
    <cellStyle name="쉼표 [0] 2 2 4" xfId="1396" xr:uid="{00000000-0005-0000-0000-000087050000}"/>
    <cellStyle name="쉼표 [0] 2 2 5" xfId="1397" xr:uid="{00000000-0005-0000-0000-000088050000}"/>
    <cellStyle name="쉼표 [0] 2 2 6" xfId="1398" xr:uid="{00000000-0005-0000-0000-000089050000}"/>
    <cellStyle name="쉼표 [0] 2 2 7" xfId="1399" xr:uid="{00000000-0005-0000-0000-00008A050000}"/>
    <cellStyle name="쉼표 [0] 2 20" xfId="1400" xr:uid="{00000000-0005-0000-0000-00008B050000}"/>
    <cellStyle name="쉼표 [0] 2 20 2" xfId="1401" xr:uid="{00000000-0005-0000-0000-00008C050000}"/>
    <cellStyle name="쉼표 [0] 2 20 2 2" xfId="1402" xr:uid="{00000000-0005-0000-0000-00008D050000}"/>
    <cellStyle name="쉼표 [0] 2 20 2 2 2" xfId="1403" xr:uid="{00000000-0005-0000-0000-00008E050000}"/>
    <cellStyle name="쉼표 [0] 2 20 2 3" xfId="1404" xr:uid="{00000000-0005-0000-0000-00008F050000}"/>
    <cellStyle name="쉼표 [0] 2 20 3" xfId="1405" xr:uid="{00000000-0005-0000-0000-000090050000}"/>
    <cellStyle name="쉼표 [0] 2 20 4" xfId="1406" xr:uid="{00000000-0005-0000-0000-000091050000}"/>
    <cellStyle name="쉼표 [0] 2 20 5" xfId="1407" xr:uid="{00000000-0005-0000-0000-000092050000}"/>
    <cellStyle name="쉼표 [0] 2 20 6" xfId="1408" xr:uid="{00000000-0005-0000-0000-000093050000}"/>
    <cellStyle name="쉼표 [0] 2 20 7" xfId="1409" xr:uid="{00000000-0005-0000-0000-000094050000}"/>
    <cellStyle name="쉼표 [0] 2 21" xfId="1410" xr:uid="{00000000-0005-0000-0000-000095050000}"/>
    <cellStyle name="쉼표 [0] 2 21 10" xfId="1411" xr:uid="{00000000-0005-0000-0000-000096050000}"/>
    <cellStyle name="쉼표 [0] 2 21 11" xfId="1412" xr:uid="{00000000-0005-0000-0000-000097050000}"/>
    <cellStyle name="쉼표 [0] 2 21 12" xfId="1413" xr:uid="{00000000-0005-0000-0000-000098050000}"/>
    <cellStyle name="쉼표 [0] 2 21 2" xfId="1414" xr:uid="{00000000-0005-0000-0000-000099050000}"/>
    <cellStyle name="쉼표 [0] 2 21 2 2" xfId="1415" xr:uid="{00000000-0005-0000-0000-00009A050000}"/>
    <cellStyle name="쉼표 [0] 2 21 2 3" xfId="1416" xr:uid="{00000000-0005-0000-0000-00009B050000}"/>
    <cellStyle name="쉼표 [0] 2 21 3" xfId="1417" xr:uid="{00000000-0005-0000-0000-00009C050000}"/>
    <cellStyle name="쉼표 [0] 2 21 4" xfId="1418" xr:uid="{00000000-0005-0000-0000-00009D050000}"/>
    <cellStyle name="쉼표 [0] 2 21 5" xfId="1419" xr:uid="{00000000-0005-0000-0000-00009E050000}"/>
    <cellStyle name="쉼표 [0] 2 21 6" xfId="1420" xr:uid="{00000000-0005-0000-0000-00009F050000}"/>
    <cellStyle name="쉼표 [0] 2 21 7" xfId="1421" xr:uid="{00000000-0005-0000-0000-0000A0050000}"/>
    <cellStyle name="쉼표 [0] 2 21 8" xfId="1422" xr:uid="{00000000-0005-0000-0000-0000A1050000}"/>
    <cellStyle name="쉼표 [0] 2 21 9" xfId="1423" xr:uid="{00000000-0005-0000-0000-0000A2050000}"/>
    <cellStyle name="쉼표 [0] 2 22" xfId="1424" xr:uid="{00000000-0005-0000-0000-0000A3050000}"/>
    <cellStyle name="쉼표 [0] 2 22 2" xfId="1425" xr:uid="{00000000-0005-0000-0000-0000A4050000}"/>
    <cellStyle name="쉼표 [0] 2 22 2 2" xfId="1426" xr:uid="{00000000-0005-0000-0000-0000A5050000}"/>
    <cellStyle name="쉼표 [0] 2 22 2 2 2" xfId="1427" xr:uid="{00000000-0005-0000-0000-0000A6050000}"/>
    <cellStyle name="쉼표 [0] 2 22 2 3" xfId="1428" xr:uid="{00000000-0005-0000-0000-0000A7050000}"/>
    <cellStyle name="쉼표 [0] 2 22 3" xfId="1429" xr:uid="{00000000-0005-0000-0000-0000A8050000}"/>
    <cellStyle name="쉼표 [0] 2 22 4" xfId="1430" xr:uid="{00000000-0005-0000-0000-0000A9050000}"/>
    <cellStyle name="쉼표 [0] 2 22 5" xfId="1431" xr:uid="{00000000-0005-0000-0000-0000AA050000}"/>
    <cellStyle name="쉼표 [0] 2 22 6" xfId="1432" xr:uid="{00000000-0005-0000-0000-0000AB050000}"/>
    <cellStyle name="쉼표 [0] 2 22 7" xfId="1433" xr:uid="{00000000-0005-0000-0000-0000AC050000}"/>
    <cellStyle name="쉼표 [0] 2 23" xfId="1434" xr:uid="{00000000-0005-0000-0000-0000AD050000}"/>
    <cellStyle name="쉼표 [0] 2 23 2" xfId="1435" xr:uid="{00000000-0005-0000-0000-0000AE050000}"/>
    <cellStyle name="쉼표 [0] 2 23 2 2" xfId="1436" xr:uid="{00000000-0005-0000-0000-0000AF050000}"/>
    <cellStyle name="쉼표 [0] 2 23 2 2 2" xfId="1437" xr:uid="{00000000-0005-0000-0000-0000B0050000}"/>
    <cellStyle name="쉼표 [0] 2 23 2 3" xfId="1438" xr:uid="{00000000-0005-0000-0000-0000B1050000}"/>
    <cellStyle name="쉼표 [0] 2 23 3" xfId="1439" xr:uid="{00000000-0005-0000-0000-0000B2050000}"/>
    <cellStyle name="쉼표 [0] 2 23 4" xfId="1440" xr:uid="{00000000-0005-0000-0000-0000B3050000}"/>
    <cellStyle name="쉼표 [0] 2 23 5" xfId="1441" xr:uid="{00000000-0005-0000-0000-0000B4050000}"/>
    <cellStyle name="쉼표 [0] 2 23 6" xfId="1442" xr:uid="{00000000-0005-0000-0000-0000B5050000}"/>
    <cellStyle name="쉼표 [0] 2 23 7" xfId="1443" xr:uid="{00000000-0005-0000-0000-0000B6050000}"/>
    <cellStyle name="쉼표 [0] 2 24" xfId="1444" xr:uid="{00000000-0005-0000-0000-0000B7050000}"/>
    <cellStyle name="쉼표 [0] 2 24 2" xfId="1445" xr:uid="{00000000-0005-0000-0000-0000B8050000}"/>
    <cellStyle name="쉼표 [0] 2 24 2 2" xfId="1446" xr:uid="{00000000-0005-0000-0000-0000B9050000}"/>
    <cellStyle name="쉼표 [0] 2 24 2 2 2" xfId="1447" xr:uid="{00000000-0005-0000-0000-0000BA050000}"/>
    <cellStyle name="쉼표 [0] 2 24 2 3" xfId="1448" xr:uid="{00000000-0005-0000-0000-0000BB050000}"/>
    <cellStyle name="쉼표 [0] 2 24 3" xfId="1449" xr:uid="{00000000-0005-0000-0000-0000BC050000}"/>
    <cellStyle name="쉼표 [0] 2 24 4" xfId="1450" xr:uid="{00000000-0005-0000-0000-0000BD050000}"/>
    <cellStyle name="쉼표 [0] 2 24 5" xfId="1451" xr:uid="{00000000-0005-0000-0000-0000BE050000}"/>
    <cellStyle name="쉼표 [0] 2 24 6" xfId="1452" xr:uid="{00000000-0005-0000-0000-0000BF050000}"/>
    <cellStyle name="쉼표 [0] 2 24 7" xfId="1453" xr:uid="{00000000-0005-0000-0000-0000C0050000}"/>
    <cellStyle name="쉼표 [0] 2 25" xfId="1454" xr:uid="{00000000-0005-0000-0000-0000C1050000}"/>
    <cellStyle name="쉼표 [0] 2 25 2" xfId="1455" xr:uid="{00000000-0005-0000-0000-0000C2050000}"/>
    <cellStyle name="쉼표 [0] 2 25 2 2" xfId="1456" xr:uid="{00000000-0005-0000-0000-0000C3050000}"/>
    <cellStyle name="쉼표 [0] 2 25 2 2 2" xfId="1457" xr:uid="{00000000-0005-0000-0000-0000C4050000}"/>
    <cellStyle name="쉼표 [0] 2 25 2 3" xfId="1458" xr:uid="{00000000-0005-0000-0000-0000C5050000}"/>
    <cellStyle name="쉼표 [0] 2 25 3" xfId="1459" xr:uid="{00000000-0005-0000-0000-0000C6050000}"/>
    <cellStyle name="쉼표 [0] 2 25 4" xfId="1460" xr:uid="{00000000-0005-0000-0000-0000C7050000}"/>
    <cellStyle name="쉼표 [0] 2 25 5" xfId="1461" xr:uid="{00000000-0005-0000-0000-0000C8050000}"/>
    <cellStyle name="쉼표 [0] 2 25 6" xfId="1462" xr:uid="{00000000-0005-0000-0000-0000C9050000}"/>
    <cellStyle name="쉼표 [0] 2 25 7" xfId="1463" xr:uid="{00000000-0005-0000-0000-0000CA050000}"/>
    <cellStyle name="쉼표 [0] 2 26" xfId="1464" xr:uid="{00000000-0005-0000-0000-0000CB050000}"/>
    <cellStyle name="쉼표 [0] 2 26 2" xfId="1465" xr:uid="{00000000-0005-0000-0000-0000CC050000}"/>
    <cellStyle name="쉼표 [0] 2 26 2 2" xfId="1466" xr:uid="{00000000-0005-0000-0000-0000CD050000}"/>
    <cellStyle name="쉼표 [0] 2 26 2 2 2" xfId="1467" xr:uid="{00000000-0005-0000-0000-0000CE050000}"/>
    <cellStyle name="쉼표 [0] 2 26 2 3" xfId="1468" xr:uid="{00000000-0005-0000-0000-0000CF050000}"/>
    <cellStyle name="쉼표 [0] 2 26 3" xfId="1469" xr:uid="{00000000-0005-0000-0000-0000D0050000}"/>
    <cellStyle name="쉼표 [0] 2 26 4" xfId="1470" xr:uid="{00000000-0005-0000-0000-0000D1050000}"/>
    <cellStyle name="쉼표 [0] 2 26 5" xfId="1471" xr:uid="{00000000-0005-0000-0000-0000D2050000}"/>
    <cellStyle name="쉼표 [0] 2 26 6" xfId="1472" xr:uid="{00000000-0005-0000-0000-0000D3050000}"/>
    <cellStyle name="쉼표 [0] 2 26 7" xfId="1473" xr:uid="{00000000-0005-0000-0000-0000D4050000}"/>
    <cellStyle name="쉼표 [0] 2 27" xfId="1474" xr:uid="{00000000-0005-0000-0000-0000D5050000}"/>
    <cellStyle name="쉼표 [0] 2 27 2" xfId="1475" xr:uid="{00000000-0005-0000-0000-0000D6050000}"/>
    <cellStyle name="쉼표 [0] 2 27 2 2" xfId="1476" xr:uid="{00000000-0005-0000-0000-0000D7050000}"/>
    <cellStyle name="쉼표 [0] 2 27 2 2 2" xfId="1477" xr:uid="{00000000-0005-0000-0000-0000D8050000}"/>
    <cellStyle name="쉼표 [0] 2 27 2 3" xfId="1478" xr:uid="{00000000-0005-0000-0000-0000D9050000}"/>
    <cellStyle name="쉼표 [0] 2 27 3" xfId="1479" xr:uid="{00000000-0005-0000-0000-0000DA050000}"/>
    <cellStyle name="쉼표 [0] 2 27 4" xfId="1480" xr:uid="{00000000-0005-0000-0000-0000DB050000}"/>
    <cellStyle name="쉼표 [0] 2 27 5" xfId="1481" xr:uid="{00000000-0005-0000-0000-0000DC050000}"/>
    <cellStyle name="쉼표 [0] 2 27 6" xfId="1482" xr:uid="{00000000-0005-0000-0000-0000DD050000}"/>
    <cellStyle name="쉼표 [0] 2 27 7" xfId="1483" xr:uid="{00000000-0005-0000-0000-0000DE050000}"/>
    <cellStyle name="쉼표 [0] 2 28" xfId="1484" xr:uid="{00000000-0005-0000-0000-0000DF050000}"/>
    <cellStyle name="쉼표 [0] 2 28 2" xfId="1485" xr:uid="{00000000-0005-0000-0000-0000E0050000}"/>
    <cellStyle name="쉼표 [0] 2 28 2 2" xfId="1486" xr:uid="{00000000-0005-0000-0000-0000E1050000}"/>
    <cellStyle name="쉼표 [0] 2 28 2 2 2" xfId="1487" xr:uid="{00000000-0005-0000-0000-0000E2050000}"/>
    <cellStyle name="쉼표 [0] 2 28 2 3" xfId="1488" xr:uid="{00000000-0005-0000-0000-0000E3050000}"/>
    <cellStyle name="쉼표 [0] 2 28 3" xfId="1489" xr:uid="{00000000-0005-0000-0000-0000E4050000}"/>
    <cellStyle name="쉼표 [0] 2 28 4" xfId="1490" xr:uid="{00000000-0005-0000-0000-0000E5050000}"/>
    <cellStyle name="쉼표 [0] 2 28 5" xfId="1491" xr:uid="{00000000-0005-0000-0000-0000E6050000}"/>
    <cellStyle name="쉼표 [0] 2 28 6" xfId="1492" xr:uid="{00000000-0005-0000-0000-0000E7050000}"/>
    <cellStyle name="쉼표 [0] 2 28 7" xfId="1493" xr:uid="{00000000-0005-0000-0000-0000E8050000}"/>
    <cellStyle name="쉼표 [0] 2 29" xfId="1494" xr:uid="{00000000-0005-0000-0000-0000E9050000}"/>
    <cellStyle name="쉼표 [0] 2 29 2" xfId="1495" xr:uid="{00000000-0005-0000-0000-0000EA050000}"/>
    <cellStyle name="쉼표 [0] 2 29 2 2" xfId="1496" xr:uid="{00000000-0005-0000-0000-0000EB050000}"/>
    <cellStyle name="쉼표 [0] 2 29 2 2 2" xfId="1497" xr:uid="{00000000-0005-0000-0000-0000EC050000}"/>
    <cellStyle name="쉼표 [0] 2 29 2 3" xfId="1498" xr:uid="{00000000-0005-0000-0000-0000ED050000}"/>
    <cellStyle name="쉼표 [0] 2 29 3" xfId="1499" xr:uid="{00000000-0005-0000-0000-0000EE050000}"/>
    <cellStyle name="쉼표 [0] 2 29 4" xfId="1500" xr:uid="{00000000-0005-0000-0000-0000EF050000}"/>
    <cellStyle name="쉼표 [0] 2 29 5" xfId="1501" xr:uid="{00000000-0005-0000-0000-0000F0050000}"/>
    <cellStyle name="쉼표 [0] 2 29 6" xfId="1502" xr:uid="{00000000-0005-0000-0000-0000F1050000}"/>
    <cellStyle name="쉼표 [0] 2 29 7" xfId="1503" xr:uid="{00000000-0005-0000-0000-0000F2050000}"/>
    <cellStyle name="쉼표 [0] 2 3" xfId="1504" xr:uid="{00000000-0005-0000-0000-0000F3050000}"/>
    <cellStyle name="쉼표 [0] 2 3 2" xfId="1505" xr:uid="{00000000-0005-0000-0000-0000F4050000}"/>
    <cellStyle name="쉼표 [0] 2 3 2 2" xfId="1506" xr:uid="{00000000-0005-0000-0000-0000F5050000}"/>
    <cellStyle name="쉼표 [0] 2 3 2 2 2" xfId="1507" xr:uid="{00000000-0005-0000-0000-0000F6050000}"/>
    <cellStyle name="쉼표 [0] 2 3 2 3" xfId="1508" xr:uid="{00000000-0005-0000-0000-0000F7050000}"/>
    <cellStyle name="쉼표 [0] 2 3 3" xfId="1509" xr:uid="{00000000-0005-0000-0000-0000F8050000}"/>
    <cellStyle name="쉼표 [0] 2 3 4" xfId="1510" xr:uid="{00000000-0005-0000-0000-0000F9050000}"/>
    <cellStyle name="쉼표 [0] 2 3 5" xfId="1511" xr:uid="{00000000-0005-0000-0000-0000FA050000}"/>
    <cellStyle name="쉼표 [0] 2 3 6" xfId="1512" xr:uid="{00000000-0005-0000-0000-0000FB050000}"/>
    <cellStyle name="쉼표 [0] 2 3 7" xfId="1513" xr:uid="{00000000-0005-0000-0000-0000FC050000}"/>
    <cellStyle name="쉼표 [0] 2 30" xfId="1514" xr:uid="{00000000-0005-0000-0000-0000FD050000}"/>
    <cellStyle name="쉼표 [0] 2 30 2" xfId="1515" xr:uid="{00000000-0005-0000-0000-0000FE050000}"/>
    <cellStyle name="쉼표 [0] 2 30 2 2" xfId="1516" xr:uid="{00000000-0005-0000-0000-0000FF050000}"/>
    <cellStyle name="쉼표 [0] 2 30 3" xfId="1517" xr:uid="{00000000-0005-0000-0000-000000060000}"/>
    <cellStyle name="쉼표 [0] 2 30 3 2" xfId="1518" xr:uid="{00000000-0005-0000-0000-000001060000}"/>
    <cellStyle name="쉼표 [0] 2 31" xfId="1519" xr:uid="{00000000-0005-0000-0000-000002060000}"/>
    <cellStyle name="쉼표 [0] 2 31 2" xfId="1520" xr:uid="{00000000-0005-0000-0000-000003060000}"/>
    <cellStyle name="쉼표 [0] 2 32" xfId="1521" xr:uid="{00000000-0005-0000-0000-000004060000}"/>
    <cellStyle name="쉼표 [0] 2 32 2" xfId="1522" xr:uid="{00000000-0005-0000-0000-000005060000}"/>
    <cellStyle name="쉼표 [0] 2 33" xfId="1523" xr:uid="{00000000-0005-0000-0000-000006060000}"/>
    <cellStyle name="쉼표 [0] 2 33 2" xfId="1524" xr:uid="{00000000-0005-0000-0000-000007060000}"/>
    <cellStyle name="쉼표 [0] 2 34" xfId="1525" xr:uid="{00000000-0005-0000-0000-000008060000}"/>
    <cellStyle name="쉼표 [0] 2 34 2" xfId="1526" xr:uid="{00000000-0005-0000-0000-000009060000}"/>
    <cellStyle name="쉼표 [0] 2 35" xfId="1527" xr:uid="{00000000-0005-0000-0000-00000A060000}"/>
    <cellStyle name="쉼표 [0] 2 35 2" xfId="1528" xr:uid="{00000000-0005-0000-0000-00000B060000}"/>
    <cellStyle name="쉼표 [0] 2 36" xfId="1529" xr:uid="{00000000-0005-0000-0000-00000C060000}"/>
    <cellStyle name="쉼표 [0] 2 36 2" xfId="1530" xr:uid="{00000000-0005-0000-0000-00000D060000}"/>
    <cellStyle name="쉼표 [0] 2 37" xfId="1531" xr:uid="{00000000-0005-0000-0000-00000E060000}"/>
    <cellStyle name="쉼표 [0] 2 37 2" xfId="1532" xr:uid="{00000000-0005-0000-0000-00000F060000}"/>
    <cellStyle name="쉼표 [0] 2 38" xfId="1533" xr:uid="{00000000-0005-0000-0000-000010060000}"/>
    <cellStyle name="쉼표 [0] 2 38 2" xfId="1534" xr:uid="{00000000-0005-0000-0000-000011060000}"/>
    <cellStyle name="쉼표 [0] 2 39" xfId="1535" xr:uid="{00000000-0005-0000-0000-000012060000}"/>
    <cellStyle name="쉼표 [0] 2 39 2" xfId="1536" xr:uid="{00000000-0005-0000-0000-000013060000}"/>
    <cellStyle name="쉼표 [0] 2 4" xfId="1537" xr:uid="{00000000-0005-0000-0000-000014060000}"/>
    <cellStyle name="쉼표 [0] 2 4 2" xfId="1538" xr:uid="{00000000-0005-0000-0000-000015060000}"/>
    <cellStyle name="쉼표 [0] 2 4 2 2" xfId="1539" xr:uid="{00000000-0005-0000-0000-000016060000}"/>
    <cellStyle name="쉼표 [0] 2 4 2 2 2" xfId="1540" xr:uid="{00000000-0005-0000-0000-000017060000}"/>
    <cellStyle name="쉼표 [0] 2 4 2 3" xfId="1541" xr:uid="{00000000-0005-0000-0000-000018060000}"/>
    <cellStyle name="쉼표 [0] 2 4 3" xfId="1542" xr:uid="{00000000-0005-0000-0000-000019060000}"/>
    <cellStyle name="쉼표 [0] 2 4 4" xfId="1543" xr:uid="{00000000-0005-0000-0000-00001A060000}"/>
    <cellStyle name="쉼표 [0] 2 4 5" xfId="1544" xr:uid="{00000000-0005-0000-0000-00001B060000}"/>
    <cellStyle name="쉼표 [0] 2 4 6" xfId="1545" xr:uid="{00000000-0005-0000-0000-00001C060000}"/>
    <cellStyle name="쉼표 [0] 2 4 7" xfId="1546" xr:uid="{00000000-0005-0000-0000-00001D060000}"/>
    <cellStyle name="쉼표 [0] 2 40" xfId="1547" xr:uid="{00000000-0005-0000-0000-00001E060000}"/>
    <cellStyle name="쉼표 [0] 2 40 2" xfId="1548" xr:uid="{00000000-0005-0000-0000-00001F060000}"/>
    <cellStyle name="쉼표 [0] 2 41" xfId="1549" xr:uid="{00000000-0005-0000-0000-000020060000}"/>
    <cellStyle name="쉼표 [0] 2 41 2" xfId="1550" xr:uid="{00000000-0005-0000-0000-000021060000}"/>
    <cellStyle name="쉼표 [0] 2 42" xfId="1551" xr:uid="{00000000-0005-0000-0000-000022060000}"/>
    <cellStyle name="쉼표 [0] 2 42 2" xfId="1552" xr:uid="{00000000-0005-0000-0000-000023060000}"/>
    <cellStyle name="쉼표 [0] 2 43" xfId="1553" xr:uid="{00000000-0005-0000-0000-000024060000}"/>
    <cellStyle name="쉼표 [0] 2 43 2" xfId="1554" xr:uid="{00000000-0005-0000-0000-000025060000}"/>
    <cellStyle name="쉼표 [0] 2 44" xfId="1555" xr:uid="{00000000-0005-0000-0000-000026060000}"/>
    <cellStyle name="쉼표 [0] 2 44 2" xfId="1556" xr:uid="{00000000-0005-0000-0000-000027060000}"/>
    <cellStyle name="쉼표 [0] 2 45" xfId="1557" xr:uid="{00000000-0005-0000-0000-000028060000}"/>
    <cellStyle name="쉼표 [0] 2 45 2" xfId="1558" xr:uid="{00000000-0005-0000-0000-000029060000}"/>
    <cellStyle name="쉼표 [0] 2 46" xfId="1559" xr:uid="{00000000-0005-0000-0000-00002A060000}"/>
    <cellStyle name="쉼표 [0] 2 46 2" xfId="1560" xr:uid="{00000000-0005-0000-0000-00002B060000}"/>
    <cellStyle name="쉼표 [0] 2 47" xfId="1561" xr:uid="{00000000-0005-0000-0000-00002C060000}"/>
    <cellStyle name="쉼표 [0] 2 47 2" xfId="1562" xr:uid="{00000000-0005-0000-0000-00002D060000}"/>
    <cellStyle name="쉼표 [0] 2 48" xfId="1563" xr:uid="{00000000-0005-0000-0000-00002E060000}"/>
    <cellStyle name="쉼표 [0] 2 48 2" xfId="1564" xr:uid="{00000000-0005-0000-0000-00002F060000}"/>
    <cellStyle name="쉼표 [0] 2 49" xfId="1565" xr:uid="{00000000-0005-0000-0000-000030060000}"/>
    <cellStyle name="쉼표 [0] 2 49 2" xfId="1566" xr:uid="{00000000-0005-0000-0000-000031060000}"/>
    <cellStyle name="쉼표 [0] 2 5" xfId="1567" xr:uid="{00000000-0005-0000-0000-000032060000}"/>
    <cellStyle name="쉼표 [0] 2 5 2" xfId="1568" xr:uid="{00000000-0005-0000-0000-000033060000}"/>
    <cellStyle name="쉼표 [0] 2 5 2 2" xfId="1569" xr:uid="{00000000-0005-0000-0000-000034060000}"/>
    <cellStyle name="쉼표 [0] 2 5 2 2 2" xfId="1570" xr:uid="{00000000-0005-0000-0000-000035060000}"/>
    <cellStyle name="쉼표 [0] 2 5 2 3" xfId="1571" xr:uid="{00000000-0005-0000-0000-000036060000}"/>
    <cellStyle name="쉼표 [0] 2 5 3" xfId="1572" xr:uid="{00000000-0005-0000-0000-000037060000}"/>
    <cellStyle name="쉼표 [0] 2 5 4" xfId="1573" xr:uid="{00000000-0005-0000-0000-000038060000}"/>
    <cellStyle name="쉼표 [0] 2 5 5" xfId="1574" xr:uid="{00000000-0005-0000-0000-000039060000}"/>
    <cellStyle name="쉼표 [0] 2 5 6" xfId="1575" xr:uid="{00000000-0005-0000-0000-00003A060000}"/>
    <cellStyle name="쉼표 [0] 2 5 7" xfId="1576" xr:uid="{00000000-0005-0000-0000-00003B060000}"/>
    <cellStyle name="쉼표 [0] 2 50" xfId="1577" xr:uid="{00000000-0005-0000-0000-00003C060000}"/>
    <cellStyle name="쉼표 [0] 2 51" xfId="1578" xr:uid="{00000000-0005-0000-0000-00003D060000}"/>
    <cellStyle name="쉼표 [0] 2 52" xfId="3146" xr:uid="{00000000-0005-0000-0000-00003E060000}"/>
    <cellStyle name="쉼표 [0] 2 53" xfId="1252" xr:uid="{00000000-0005-0000-0000-00003F060000}"/>
    <cellStyle name="쉼표 [0] 2 6" xfId="1579" xr:uid="{00000000-0005-0000-0000-000040060000}"/>
    <cellStyle name="쉼표 [0] 2 6 2" xfId="1580" xr:uid="{00000000-0005-0000-0000-000041060000}"/>
    <cellStyle name="쉼표 [0] 2 6 2 2" xfId="1581" xr:uid="{00000000-0005-0000-0000-000042060000}"/>
    <cellStyle name="쉼표 [0] 2 6 2 2 2" xfId="1582" xr:uid="{00000000-0005-0000-0000-000043060000}"/>
    <cellStyle name="쉼표 [0] 2 6 2 3" xfId="1583" xr:uid="{00000000-0005-0000-0000-000044060000}"/>
    <cellStyle name="쉼표 [0] 2 6 3" xfId="1584" xr:uid="{00000000-0005-0000-0000-000045060000}"/>
    <cellStyle name="쉼표 [0] 2 6 4" xfId="1585" xr:uid="{00000000-0005-0000-0000-000046060000}"/>
    <cellStyle name="쉼표 [0] 2 6 5" xfId="1586" xr:uid="{00000000-0005-0000-0000-000047060000}"/>
    <cellStyle name="쉼표 [0] 2 6 6" xfId="1587" xr:uid="{00000000-0005-0000-0000-000048060000}"/>
    <cellStyle name="쉼표 [0] 2 6 7" xfId="1588" xr:uid="{00000000-0005-0000-0000-000049060000}"/>
    <cellStyle name="쉼표 [0] 2 7" xfId="1589" xr:uid="{00000000-0005-0000-0000-00004A060000}"/>
    <cellStyle name="쉼표 [0] 2 7 2" xfId="1590" xr:uid="{00000000-0005-0000-0000-00004B060000}"/>
    <cellStyle name="쉼표 [0] 2 7 2 2" xfId="1591" xr:uid="{00000000-0005-0000-0000-00004C060000}"/>
    <cellStyle name="쉼표 [0] 2 7 2 2 2" xfId="1592" xr:uid="{00000000-0005-0000-0000-00004D060000}"/>
    <cellStyle name="쉼표 [0] 2 7 2 3" xfId="1593" xr:uid="{00000000-0005-0000-0000-00004E060000}"/>
    <cellStyle name="쉼표 [0] 2 7 3" xfId="1594" xr:uid="{00000000-0005-0000-0000-00004F060000}"/>
    <cellStyle name="쉼표 [0] 2 7 4" xfId="1595" xr:uid="{00000000-0005-0000-0000-000050060000}"/>
    <cellStyle name="쉼표 [0] 2 7 5" xfId="1596" xr:uid="{00000000-0005-0000-0000-000051060000}"/>
    <cellStyle name="쉼표 [0] 2 7 6" xfId="1597" xr:uid="{00000000-0005-0000-0000-000052060000}"/>
    <cellStyle name="쉼표 [0] 2 7 7" xfId="1598" xr:uid="{00000000-0005-0000-0000-000053060000}"/>
    <cellStyle name="쉼표 [0] 2 8" xfId="1599" xr:uid="{00000000-0005-0000-0000-000054060000}"/>
    <cellStyle name="쉼표 [0] 2 8 2" xfId="1600" xr:uid="{00000000-0005-0000-0000-000055060000}"/>
    <cellStyle name="쉼표 [0] 2 8 2 2" xfId="1601" xr:uid="{00000000-0005-0000-0000-000056060000}"/>
    <cellStyle name="쉼표 [0] 2 8 2 2 2" xfId="1602" xr:uid="{00000000-0005-0000-0000-000057060000}"/>
    <cellStyle name="쉼표 [0] 2 8 2 3" xfId="1603" xr:uid="{00000000-0005-0000-0000-000058060000}"/>
    <cellStyle name="쉼표 [0] 2 8 3" xfId="1604" xr:uid="{00000000-0005-0000-0000-000059060000}"/>
    <cellStyle name="쉼표 [0] 2 8 4" xfId="1605" xr:uid="{00000000-0005-0000-0000-00005A060000}"/>
    <cellStyle name="쉼표 [0] 2 8 5" xfId="1606" xr:uid="{00000000-0005-0000-0000-00005B060000}"/>
    <cellStyle name="쉼표 [0] 2 8 6" xfId="1607" xr:uid="{00000000-0005-0000-0000-00005C060000}"/>
    <cellStyle name="쉼표 [0] 2 8 7" xfId="1608" xr:uid="{00000000-0005-0000-0000-00005D060000}"/>
    <cellStyle name="쉼표 [0] 2 9" xfId="1609" xr:uid="{00000000-0005-0000-0000-00005E060000}"/>
    <cellStyle name="쉼표 [0] 2 9 2" xfId="1610" xr:uid="{00000000-0005-0000-0000-00005F060000}"/>
    <cellStyle name="쉼표 [0] 2 9 2 2" xfId="1611" xr:uid="{00000000-0005-0000-0000-000060060000}"/>
    <cellStyle name="쉼표 [0] 2 9 2 2 2" xfId="1612" xr:uid="{00000000-0005-0000-0000-000061060000}"/>
    <cellStyle name="쉼표 [0] 2 9 2 3" xfId="1613" xr:uid="{00000000-0005-0000-0000-000062060000}"/>
    <cellStyle name="쉼표 [0] 2 9 3" xfId="1614" xr:uid="{00000000-0005-0000-0000-000063060000}"/>
    <cellStyle name="쉼표 [0] 2 9 4" xfId="1615" xr:uid="{00000000-0005-0000-0000-000064060000}"/>
    <cellStyle name="쉼표 [0] 2 9 5" xfId="1616" xr:uid="{00000000-0005-0000-0000-000065060000}"/>
    <cellStyle name="쉼표 [0] 2 9 6" xfId="1617" xr:uid="{00000000-0005-0000-0000-000066060000}"/>
    <cellStyle name="쉼표 [0] 2 9 7" xfId="1618" xr:uid="{00000000-0005-0000-0000-000067060000}"/>
    <cellStyle name="쉼표 [0] 20" xfId="1619" xr:uid="{00000000-0005-0000-0000-000068060000}"/>
    <cellStyle name="쉼표 [0] 21" xfId="1620" xr:uid="{00000000-0005-0000-0000-000069060000}"/>
    <cellStyle name="쉼표 [0] 21 2" xfId="1621" xr:uid="{00000000-0005-0000-0000-00006A060000}"/>
    <cellStyle name="쉼표 [0] 21 2 2" xfId="1622" xr:uid="{00000000-0005-0000-0000-00006B060000}"/>
    <cellStyle name="쉼표 [0] 21 2 3" xfId="1623" xr:uid="{00000000-0005-0000-0000-00006C060000}"/>
    <cellStyle name="쉼표 [0] 21 2 4" xfId="1624" xr:uid="{00000000-0005-0000-0000-00006D060000}"/>
    <cellStyle name="쉼표 [0] 21 2 5" xfId="1625" xr:uid="{00000000-0005-0000-0000-00006E060000}"/>
    <cellStyle name="쉼표 [0] 21 2 5 2" xfId="1626" xr:uid="{00000000-0005-0000-0000-00006F060000}"/>
    <cellStyle name="쉼표 [0] 21 2 6" xfId="1627" xr:uid="{00000000-0005-0000-0000-000070060000}"/>
    <cellStyle name="쉼표 [0] 21 3" xfId="1628" xr:uid="{00000000-0005-0000-0000-000071060000}"/>
    <cellStyle name="쉼표 [0] 21 3 2" xfId="1629" xr:uid="{00000000-0005-0000-0000-000072060000}"/>
    <cellStyle name="쉼표 [0] 21 3 3" xfId="1630" xr:uid="{00000000-0005-0000-0000-000073060000}"/>
    <cellStyle name="쉼표 [0] 21 3 4" xfId="1631" xr:uid="{00000000-0005-0000-0000-000074060000}"/>
    <cellStyle name="쉼표 [0] 21 3 5" xfId="1632" xr:uid="{00000000-0005-0000-0000-000075060000}"/>
    <cellStyle name="쉼표 [0] 21 4" xfId="1633" xr:uid="{00000000-0005-0000-0000-000076060000}"/>
    <cellStyle name="쉼표 [0] 21 4 2" xfId="1634" xr:uid="{00000000-0005-0000-0000-000077060000}"/>
    <cellStyle name="쉼표 [0] 21 4 3" xfId="1635" xr:uid="{00000000-0005-0000-0000-000078060000}"/>
    <cellStyle name="쉼표 [0] 21 4 4" xfId="1636" xr:uid="{00000000-0005-0000-0000-000079060000}"/>
    <cellStyle name="쉼표 [0] 21 4 5" xfId="1637" xr:uid="{00000000-0005-0000-0000-00007A060000}"/>
    <cellStyle name="쉼표 [0] 22" xfId="1638" xr:uid="{00000000-0005-0000-0000-00007B060000}"/>
    <cellStyle name="쉼표 [0] 23" xfId="1639" xr:uid="{00000000-0005-0000-0000-00007C060000}"/>
    <cellStyle name="쉼표 [0] 24" xfId="1640" xr:uid="{00000000-0005-0000-0000-00007D060000}"/>
    <cellStyle name="쉼표 [0] 25" xfId="1641" xr:uid="{00000000-0005-0000-0000-00007E060000}"/>
    <cellStyle name="쉼표 [0] 26" xfId="1642" xr:uid="{00000000-0005-0000-0000-00007F060000}"/>
    <cellStyle name="쉼표 [0] 27" xfId="1643" xr:uid="{00000000-0005-0000-0000-000080060000}"/>
    <cellStyle name="쉼표 [0] 27 2" xfId="1644" xr:uid="{00000000-0005-0000-0000-000081060000}"/>
    <cellStyle name="쉼표 [0] 28" xfId="1645" xr:uid="{00000000-0005-0000-0000-000082060000}"/>
    <cellStyle name="쉼표 [0] 29" xfId="1646" xr:uid="{00000000-0005-0000-0000-000083060000}"/>
    <cellStyle name="쉼표 [0] 3" xfId="1647" xr:uid="{00000000-0005-0000-0000-000084060000}"/>
    <cellStyle name="쉼표 [0] 3 10" xfId="1648" xr:uid="{00000000-0005-0000-0000-000085060000}"/>
    <cellStyle name="쉼표 [0] 3 10 2" xfId="1649" xr:uid="{00000000-0005-0000-0000-000086060000}"/>
    <cellStyle name="쉼표 [0] 3 10 2 2" xfId="1650" xr:uid="{00000000-0005-0000-0000-000087060000}"/>
    <cellStyle name="쉼표 [0] 3 11" xfId="1651" xr:uid="{00000000-0005-0000-0000-000088060000}"/>
    <cellStyle name="쉼표 [0] 3 12" xfId="1652" xr:uid="{00000000-0005-0000-0000-000089060000}"/>
    <cellStyle name="쉼표 [0] 3 13" xfId="1653" xr:uid="{00000000-0005-0000-0000-00008A060000}"/>
    <cellStyle name="쉼표 [0] 3 14" xfId="1654" xr:uid="{00000000-0005-0000-0000-00008B060000}"/>
    <cellStyle name="쉼표 [0] 3 15" xfId="1655" xr:uid="{00000000-0005-0000-0000-00008C060000}"/>
    <cellStyle name="쉼표 [0] 3 16" xfId="1656" xr:uid="{00000000-0005-0000-0000-00008D060000}"/>
    <cellStyle name="쉼표 [0] 3 17" xfId="1657" xr:uid="{00000000-0005-0000-0000-00008E060000}"/>
    <cellStyle name="쉼표 [0] 3 18" xfId="1658" xr:uid="{00000000-0005-0000-0000-00008F060000}"/>
    <cellStyle name="쉼표 [0] 3 19" xfId="1659" xr:uid="{00000000-0005-0000-0000-000090060000}"/>
    <cellStyle name="쉼표 [0] 3 2" xfId="1660" xr:uid="{00000000-0005-0000-0000-000091060000}"/>
    <cellStyle name="쉼표 [0] 3 2 10" xfId="1661" xr:uid="{00000000-0005-0000-0000-000092060000}"/>
    <cellStyle name="쉼표 [0] 3 2 10 2" xfId="1662" xr:uid="{00000000-0005-0000-0000-000093060000}"/>
    <cellStyle name="쉼표 [0] 3 2 10 2 2" xfId="1663" xr:uid="{00000000-0005-0000-0000-000094060000}"/>
    <cellStyle name="쉼표 [0] 3 2 10 2 2 2" xfId="1664" xr:uid="{00000000-0005-0000-0000-000095060000}"/>
    <cellStyle name="쉼표 [0] 3 2 10 3" xfId="1665" xr:uid="{00000000-0005-0000-0000-000096060000}"/>
    <cellStyle name="쉼표 [0] 3 2 10 4" xfId="1666" xr:uid="{00000000-0005-0000-0000-000097060000}"/>
    <cellStyle name="쉼표 [0] 3 2 10 5" xfId="1667" xr:uid="{00000000-0005-0000-0000-000098060000}"/>
    <cellStyle name="쉼표 [0] 3 2 10 6" xfId="1668" xr:uid="{00000000-0005-0000-0000-000099060000}"/>
    <cellStyle name="쉼표 [0] 3 2 11" xfId="1669" xr:uid="{00000000-0005-0000-0000-00009A060000}"/>
    <cellStyle name="쉼표 [0] 3 2 11 2" xfId="1670" xr:uid="{00000000-0005-0000-0000-00009B060000}"/>
    <cellStyle name="쉼표 [0] 3 2 11 2 2" xfId="1671" xr:uid="{00000000-0005-0000-0000-00009C060000}"/>
    <cellStyle name="쉼표 [0] 3 2 11 2 2 2" xfId="1672" xr:uid="{00000000-0005-0000-0000-00009D060000}"/>
    <cellStyle name="쉼표 [0] 3 2 11 3" xfId="1673" xr:uid="{00000000-0005-0000-0000-00009E060000}"/>
    <cellStyle name="쉼표 [0] 3 2 11 4" xfId="1674" xr:uid="{00000000-0005-0000-0000-00009F060000}"/>
    <cellStyle name="쉼표 [0] 3 2 11 5" xfId="1675" xr:uid="{00000000-0005-0000-0000-0000A0060000}"/>
    <cellStyle name="쉼표 [0] 3 2 11 6" xfId="1676" xr:uid="{00000000-0005-0000-0000-0000A1060000}"/>
    <cellStyle name="쉼표 [0] 3 2 12" xfId="1677" xr:uid="{00000000-0005-0000-0000-0000A2060000}"/>
    <cellStyle name="쉼표 [0] 3 2 12 2" xfId="1678" xr:uid="{00000000-0005-0000-0000-0000A3060000}"/>
    <cellStyle name="쉼표 [0] 3 2 12 2 2" xfId="1679" xr:uid="{00000000-0005-0000-0000-0000A4060000}"/>
    <cellStyle name="쉼표 [0] 3 2 12 2 2 2" xfId="1680" xr:uid="{00000000-0005-0000-0000-0000A5060000}"/>
    <cellStyle name="쉼표 [0] 3 2 12 3" xfId="1681" xr:uid="{00000000-0005-0000-0000-0000A6060000}"/>
    <cellStyle name="쉼표 [0] 3 2 12 4" xfId="1682" xr:uid="{00000000-0005-0000-0000-0000A7060000}"/>
    <cellStyle name="쉼표 [0] 3 2 12 5" xfId="1683" xr:uid="{00000000-0005-0000-0000-0000A8060000}"/>
    <cellStyle name="쉼표 [0] 3 2 12 6" xfId="1684" xr:uid="{00000000-0005-0000-0000-0000A9060000}"/>
    <cellStyle name="쉼표 [0] 3 2 13" xfId="1685" xr:uid="{00000000-0005-0000-0000-0000AA060000}"/>
    <cellStyle name="쉼표 [0] 3 2 13 2" xfId="1686" xr:uid="{00000000-0005-0000-0000-0000AB060000}"/>
    <cellStyle name="쉼표 [0] 3 2 13 2 2" xfId="1687" xr:uid="{00000000-0005-0000-0000-0000AC060000}"/>
    <cellStyle name="쉼표 [0] 3 2 13 2 2 2" xfId="1688" xr:uid="{00000000-0005-0000-0000-0000AD060000}"/>
    <cellStyle name="쉼표 [0] 3 2 13 3" xfId="1689" xr:uid="{00000000-0005-0000-0000-0000AE060000}"/>
    <cellStyle name="쉼표 [0] 3 2 13 4" xfId="1690" xr:uid="{00000000-0005-0000-0000-0000AF060000}"/>
    <cellStyle name="쉼표 [0] 3 2 13 5" xfId="1691" xr:uid="{00000000-0005-0000-0000-0000B0060000}"/>
    <cellStyle name="쉼표 [0] 3 2 13 6" xfId="1692" xr:uid="{00000000-0005-0000-0000-0000B1060000}"/>
    <cellStyle name="쉼표 [0] 3 2 14" xfId="1693" xr:uid="{00000000-0005-0000-0000-0000B2060000}"/>
    <cellStyle name="쉼표 [0] 3 2 14 2" xfId="1694" xr:uid="{00000000-0005-0000-0000-0000B3060000}"/>
    <cellStyle name="쉼표 [0] 3 2 14 2 2" xfId="1695" xr:uid="{00000000-0005-0000-0000-0000B4060000}"/>
    <cellStyle name="쉼표 [0] 3 2 14 2 2 2" xfId="1696" xr:uid="{00000000-0005-0000-0000-0000B5060000}"/>
    <cellStyle name="쉼표 [0] 3 2 14 3" xfId="1697" xr:uid="{00000000-0005-0000-0000-0000B6060000}"/>
    <cellStyle name="쉼표 [0] 3 2 14 4" xfId="1698" xr:uid="{00000000-0005-0000-0000-0000B7060000}"/>
    <cellStyle name="쉼표 [0] 3 2 14 5" xfId="1699" xr:uid="{00000000-0005-0000-0000-0000B8060000}"/>
    <cellStyle name="쉼표 [0] 3 2 14 6" xfId="1700" xr:uid="{00000000-0005-0000-0000-0000B9060000}"/>
    <cellStyle name="쉼표 [0] 3 2 15" xfId="1701" xr:uid="{00000000-0005-0000-0000-0000BA060000}"/>
    <cellStyle name="쉼표 [0] 3 2 15 2" xfId="1702" xr:uid="{00000000-0005-0000-0000-0000BB060000}"/>
    <cellStyle name="쉼표 [0] 3 2 15 2 2" xfId="1703" xr:uid="{00000000-0005-0000-0000-0000BC060000}"/>
    <cellStyle name="쉼표 [0] 3 2 15 2 2 2" xfId="1704" xr:uid="{00000000-0005-0000-0000-0000BD060000}"/>
    <cellStyle name="쉼표 [0] 3 2 15 3" xfId="1705" xr:uid="{00000000-0005-0000-0000-0000BE060000}"/>
    <cellStyle name="쉼표 [0] 3 2 15 4" xfId="1706" xr:uid="{00000000-0005-0000-0000-0000BF060000}"/>
    <cellStyle name="쉼표 [0] 3 2 15 5" xfId="1707" xr:uid="{00000000-0005-0000-0000-0000C0060000}"/>
    <cellStyle name="쉼표 [0] 3 2 15 6" xfId="1708" xr:uid="{00000000-0005-0000-0000-0000C1060000}"/>
    <cellStyle name="쉼표 [0] 3 2 16" xfId="1709" xr:uid="{00000000-0005-0000-0000-0000C2060000}"/>
    <cellStyle name="쉼표 [0] 3 2 16 2" xfId="1710" xr:uid="{00000000-0005-0000-0000-0000C3060000}"/>
    <cellStyle name="쉼표 [0] 3 2 16 2 2" xfId="1711" xr:uid="{00000000-0005-0000-0000-0000C4060000}"/>
    <cellStyle name="쉼표 [0] 3 2 16 2 2 2" xfId="1712" xr:uid="{00000000-0005-0000-0000-0000C5060000}"/>
    <cellStyle name="쉼표 [0] 3 2 16 3" xfId="1713" xr:uid="{00000000-0005-0000-0000-0000C6060000}"/>
    <cellStyle name="쉼표 [0] 3 2 16 4" xfId="1714" xr:uid="{00000000-0005-0000-0000-0000C7060000}"/>
    <cellStyle name="쉼표 [0] 3 2 16 5" xfId="1715" xr:uid="{00000000-0005-0000-0000-0000C8060000}"/>
    <cellStyle name="쉼표 [0] 3 2 16 6" xfId="1716" xr:uid="{00000000-0005-0000-0000-0000C9060000}"/>
    <cellStyle name="쉼표 [0] 3 2 17" xfId="1717" xr:uid="{00000000-0005-0000-0000-0000CA060000}"/>
    <cellStyle name="쉼표 [0] 3 2 17 2" xfId="1718" xr:uid="{00000000-0005-0000-0000-0000CB060000}"/>
    <cellStyle name="쉼표 [0] 3 2 17 2 2" xfId="1719" xr:uid="{00000000-0005-0000-0000-0000CC060000}"/>
    <cellStyle name="쉼표 [0] 3 2 17 2 2 2" xfId="1720" xr:uid="{00000000-0005-0000-0000-0000CD060000}"/>
    <cellStyle name="쉼표 [0] 3 2 17 3" xfId="1721" xr:uid="{00000000-0005-0000-0000-0000CE060000}"/>
    <cellStyle name="쉼표 [0] 3 2 17 4" xfId="1722" xr:uid="{00000000-0005-0000-0000-0000CF060000}"/>
    <cellStyle name="쉼표 [0] 3 2 17 5" xfId="1723" xr:uid="{00000000-0005-0000-0000-0000D0060000}"/>
    <cellStyle name="쉼표 [0] 3 2 17 6" xfId="1724" xr:uid="{00000000-0005-0000-0000-0000D1060000}"/>
    <cellStyle name="쉼표 [0] 3 2 18" xfId="1725" xr:uid="{00000000-0005-0000-0000-0000D2060000}"/>
    <cellStyle name="쉼표 [0] 3 2 18 2" xfId="1726" xr:uid="{00000000-0005-0000-0000-0000D3060000}"/>
    <cellStyle name="쉼표 [0] 3 2 18 2 2" xfId="1727" xr:uid="{00000000-0005-0000-0000-0000D4060000}"/>
    <cellStyle name="쉼표 [0] 3 2 18 2 2 2" xfId="1728" xr:uid="{00000000-0005-0000-0000-0000D5060000}"/>
    <cellStyle name="쉼표 [0] 3 2 18 3" xfId="1729" xr:uid="{00000000-0005-0000-0000-0000D6060000}"/>
    <cellStyle name="쉼표 [0] 3 2 18 4" xfId="1730" xr:uid="{00000000-0005-0000-0000-0000D7060000}"/>
    <cellStyle name="쉼표 [0] 3 2 18 5" xfId="1731" xr:uid="{00000000-0005-0000-0000-0000D8060000}"/>
    <cellStyle name="쉼표 [0] 3 2 18 6" xfId="1732" xr:uid="{00000000-0005-0000-0000-0000D9060000}"/>
    <cellStyle name="쉼표 [0] 3 2 19" xfId="1733" xr:uid="{00000000-0005-0000-0000-0000DA060000}"/>
    <cellStyle name="쉼표 [0] 3 2 19 2" xfId="1734" xr:uid="{00000000-0005-0000-0000-0000DB060000}"/>
    <cellStyle name="쉼표 [0] 3 2 19 2 2" xfId="1735" xr:uid="{00000000-0005-0000-0000-0000DC060000}"/>
    <cellStyle name="쉼표 [0] 3 2 19 2 2 2" xfId="1736" xr:uid="{00000000-0005-0000-0000-0000DD060000}"/>
    <cellStyle name="쉼표 [0] 3 2 19 3" xfId="1737" xr:uid="{00000000-0005-0000-0000-0000DE060000}"/>
    <cellStyle name="쉼표 [0] 3 2 19 4" xfId="1738" xr:uid="{00000000-0005-0000-0000-0000DF060000}"/>
    <cellStyle name="쉼표 [0] 3 2 19 5" xfId="1739" xr:uid="{00000000-0005-0000-0000-0000E0060000}"/>
    <cellStyle name="쉼표 [0] 3 2 19 6" xfId="1740" xr:uid="{00000000-0005-0000-0000-0000E1060000}"/>
    <cellStyle name="쉼표 [0] 3 2 2" xfId="1741" xr:uid="{00000000-0005-0000-0000-0000E2060000}"/>
    <cellStyle name="쉼표 [0] 3 2 2 2" xfId="1742" xr:uid="{00000000-0005-0000-0000-0000E3060000}"/>
    <cellStyle name="쉼표 [0] 3 2 2 2 2" xfId="1743" xr:uid="{00000000-0005-0000-0000-0000E4060000}"/>
    <cellStyle name="쉼표 [0] 3 2 2 2 2 2" xfId="1744" xr:uid="{00000000-0005-0000-0000-0000E5060000}"/>
    <cellStyle name="쉼표 [0] 3 2 2 2 2 3" xfId="1745" xr:uid="{00000000-0005-0000-0000-0000E6060000}"/>
    <cellStyle name="쉼표 [0] 3 2 2 2 2 4" xfId="1746" xr:uid="{00000000-0005-0000-0000-0000E7060000}"/>
    <cellStyle name="쉼표 [0] 3 2 2 2 2 5" xfId="1747" xr:uid="{00000000-0005-0000-0000-0000E8060000}"/>
    <cellStyle name="쉼표 [0] 3 2 2 2 2 5 2" xfId="1748" xr:uid="{00000000-0005-0000-0000-0000E9060000}"/>
    <cellStyle name="쉼표 [0] 3 2 2 2 2 6" xfId="1749" xr:uid="{00000000-0005-0000-0000-0000EA060000}"/>
    <cellStyle name="쉼표 [0] 3 2 2 2 3" xfId="1750" xr:uid="{00000000-0005-0000-0000-0000EB060000}"/>
    <cellStyle name="쉼표 [0] 3 2 2 2 3 2" xfId="1751" xr:uid="{00000000-0005-0000-0000-0000EC060000}"/>
    <cellStyle name="쉼표 [0] 3 2 2 2 3 3" xfId="1752" xr:uid="{00000000-0005-0000-0000-0000ED060000}"/>
    <cellStyle name="쉼표 [0] 3 2 2 2 3 4" xfId="1753" xr:uid="{00000000-0005-0000-0000-0000EE060000}"/>
    <cellStyle name="쉼표 [0] 3 2 2 2 3 5" xfId="1754" xr:uid="{00000000-0005-0000-0000-0000EF060000}"/>
    <cellStyle name="쉼표 [0] 3 2 2 2 4" xfId="1755" xr:uid="{00000000-0005-0000-0000-0000F0060000}"/>
    <cellStyle name="쉼표 [0] 3 2 2 2 4 2" xfId="1756" xr:uid="{00000000-0005-0000-0000-0000F1060000}"/>
    <cellStyle name="쉼표 [0] 3 2 2 2 4 3" xfId="1757" xr:uid="{00000000-0005-0000-0000-0000F2060000}"/>
    <cellStyle name="쉼표 [0] 3 2 2 2 4 4" xfId="1758" xr:uid="{00000000-0005-0000-0000-0000F3060000}"/>
    <cellStyle name="쉼표 [0] 3 2 2 2 4 5" xfId="1759" xr:uid="{00000000-0005-0000-0000-0000F4060000}"/>
    <cellStyle name="쉼표 [0] 3 2 2 2 5" xfId="1760" xr:uid="{00000000-0005-0000-0000-0000F5060000}"/>
    <cellStyle name="쉼표 [0] 3 2 2 3" xfId="1761" xr:uid="{00000000-0005-0000-0000-0000F6060000}"/>
    <cellStyle name="쉼표 [0] 3 2 2 4" xfId="1762" xr:uid="{00000000-0005-0000-0000-0000F7060000}"/>
    <cellStyle name="쉼표 [0] 3 2 2 5" xfId="1763" xr:uid="{00000000-0005-0000-0000-0000F8060000}"/>
    <cellStyle name="쉼표 [0] 3 2 2 6" xfId="1764" xr:uid="{00000000-0005-0000-0000-0000F9060000}"/>
    <cellStyle name="쉼표 [0] 3 2 2 7" xfId="1765" xr:uid="{00000000-0005-0000-0000-0000FA060000}"/>
    <cellStyle name="쉼표 [0] 3 2 2 8" xfId="1766" xr:uid="{00000000-0005-0000-0000-0000FB060000}"/>
    <cellStyle name="쉼표 [0] 3 2 2 9" xfId="1767" xr:uid="{00000000-0005-0000-0000-0000FC060000}"/>
    <cellStyle name="쉼표 [0] 3 2 20" xfId="1768" xr:uid="{00000000-0005-0000-0000-0000FD060000}"/>
    <cellStyle name="쉼표 [0] 3 2 20 2" xfId="1769" xr:uid="{00000000-0005-0000-0000-0000FE060000}"/>
    <cellStyle name="쉼표 [0] 3 2 20 2 2" xfId="1770" xr:uid="{00000000-0005-0000-0000-0000FF060000}"/>
    <cellStyle name="쉼표 [0] 3 2 20 2 2 2" xfId="1771" xr:uid="{00000000-0005-0000-0000-000000070000}"/>
    <cellStyle name="쉼표 [0] 3 2 20 3" xfId="1772" xr:uid="{00000000-0005-0000-0000-000001070000}"/>
    <cellStyle name="쉼표 [0] 3 2 20 4" xfId="1773" xr:uid="{00000000-0005-0000-0000-000002070000}"/>
    <cellStyle name="쉼표 [0] 3 2 20 5" xfId="1774" xr:uid="{00000000-0005-0000-0000-000003070000}"/>
    <cellStyle name="쉼표 [0] 3 2 20 6" xfId="1775" xr:uid="{00000000-0005-0000-0000-000004070000}"/>
    <cellStyle name="쉼표 [0] 3 2 21" xfId="1776" xr:uid="{00000000-0005-0000-0000-000005070000}"/>
    <cellStyle name="쉼표 [0] 3 2 21 2" xfId="1777" xr:uid="{00000000-0005-0000-0000-000006070000}"/>
    <cellStyle name="쉼표 [0] 3 2 21 2 2" xfId="1778" xr:uid="{00000000-0005-0000-0000-000007070000}"/>
    <cellStyle name="쉼표 [0] 3 2 21 2 2 2" xfId="1779" xr:uid="{00000000-0005-0000-0000-000008070000}"/>
    <cellStyle name="쉼표 [0] 3 2 21 3" xfId="1780" xr:uid="{00000000-0005-0000-0000-000009070000}"/>
    <cellStyle name="쉼표 [0] 3 2 21 4" xfId="1781" xr:uid="{00000000-0005-0000-0000-00000A070000}"/>
    <cellStyle name="쉼표 [0] 3 2 21 5" xfId="1782" xr:uid="{00000000-0005-0000-0000-00000B070000}"/>
    <cellStyle name="쉼표 [0] 3 2 21 6" xfId="1783" xr:uid="{00000000-0005-0000-0000-00000C070000}"/>
    <cellStyle name="쉼표 [0] 3 2 22" xfId="1784" xr:uid="{00000000-0005-0000-0000-00000D070000}"/>
    <cellStyle name="쉼표 [0] 3 2 22 2" xfId="1785" xr:uid="{00000000-0005-0000-0000-00000E070000}"/>
    <cellStyle name="쉼표 [0] 3 2 22 2 2" xfId="1786" xr:uid="{00000000-0005-0000-0000-00000F070000}"/>
    <cellStyle name="쉼표 [0] 3 2 22 2 2 2" xfId="1787" xr:uid="{00000000-0005-0000-0000-000010070000}"/>
    <cellStyle name="쉼표 [0] 3 2 22 3" xfId="1788" xr:uid="{00000000-0005-0000-0000-000011070000}"/>
    <cellStyle name="쉼표 [0] 3 2 22 4" xfId="1789" xr:uid="{00000000-0005-0000-0000-000012070000}"/>
    <cellStyle name="쉼표 [0] 3 2 22 5" xfId="1790" xr:uid="{00000000-0005-0000-0000-000013070000}"/>
    <cellStyle name="쉼표 [0] 3 2 22 6" xfId="1791" xr:uid="{00000000-0005-0000-0000-000014070000}"/>
    <cellStyle name="쉼표 [0] 3 2 23" xfId="1792" xr:uid="{00000000-0005-0000-0000-000015070000}"/>
    <cellStyle name="쉼표 [0] 3 2 23 2" xfId="1793" xr:uid="{00000000-0005-0000-0000-000016070000}"/>
    <cellStyle name="쉼표 [0] 3 2 23 2 2" xfId="1794" xr:uid="{00000000-0005-0000-0000-000017070000}"/>
    <cellStyle name="쉼표 [0] 3 2 23 2 2 2" xfId="1795" xr:uid="{00000000-0005-0000-0000-000018070000}"/>
    <cellStyle name="쉼표 [0] 3 2 23 3" xfId="1796" xr:uid="{00000000-0005-0000-0000-000019070000}"/>
    <cellStyle name="쉼표 [0] 3 2 23 4" xfId="1797" xr:uid="{00000000-0005-0000-0000-00001A070000}"/>
    <cellStyle name="쉼표 [0] 3 2 23 5" xfId="1798" xr:uid="{00000000-0005-0000-0000-00001B070000}"/>
    <cellStyle name="쉼표 [0] 3 2 23 6" xfId="1799" xr:uid="{00000000-0005-0000-0000-00001C070000}"/>
    <cellStyle name="쉼표 [0] 3 2 24" xfId="1800" xr:uid="{00000000-0005-0000-0000-00001D070000}"/>
    <cellStyle name="쉼표 [0] 3 2 24 2" xfId="1801" xr:uid="{00000000-0005-0000-0000-00001E070000}"/>
    <cellStyle name="쉼표 [0] 3 2 24 2 2" xfId="1802" xr:uid="{00000000-0005-0000-0000-00001F070000}"/>
    <cellStyle name="쉼표 [0] 3 2 24 2 2 2" xfId="1803" xr:uid="{00000000-0005-0000-0000-000020070000}"/>
    <cellStyle name="쉼표 [0] 3 2 24 3" xfId="1804" xr:uid="{00000000-0005-0000-0000-000021070000}"/>
    <cellStyle name="쉼표 [0] 3 2 24 4" xfId="1805" xr:uid="{00000000-0005-0000-0000-000022070000}"/>
    <cellStyle name="쉼표 [0] 3 2 24 5" xfId="1806" xr:uid="{00000000-0005-0000-0000-000023070000}"/>
    <cellStyle name="쉼표 [0] 3 2 24 6" xfId="1807" xr:uid="{00000000-0005-0000-0000-000024070000}"/>
    <cellStyle name="쉼표 [0] 3 2 25" xfId="1808" xr:uid="{00000000-0005-0000-0000-000025070000}"/>
    <cellStyle name="쉼표 [0] 3 2 25 2" xfId="1809" xr:uid="{00000000-0005-0000-0000-000026070000}"/>
    <cellStyle name="쉼표 [0] 3 2 25 2 2" xfId="1810" xr:uid="{00000000-0005-0000-0000-000027070000}"/>
    <cellStyle name="쉼표 [0] 3 2 25 2 2 2" xfId="1811" xr:uid="{00000000-0005-0000-0000-000028070000}"/>
    <cellStyle name="쉼표 [0] 3 2 25 3" xfId="1812" xr:uid="{00000000-0005-0000-0000-000029070000}"/>
    <cellStyle name="쉼표 [0] 3 2 25 4" xfId="1813" xr:uid="{00000000-0005-0000-0000-00002A070000}"/>
    <cellStyle name="쉼표 [0] 3 2 25 5" xfId="1814" xr:uid="{00000000-0005-0000-0000-00002B070000}"/>
    <cellStyle name="쉼표 [0] 3 2 25 6" xfId="1815" xr:uid="{00000000-0005-0000-0000-00002C070000}"/>
    <cellStyle name="쉼표 [0] 3 2 26" xfId="1816" xr:uid="{00000000-0005-0000-0000-00002D070000}"/>
    <cellStyle name="쉼표 [0] 3 2 26 2" xfId="1817" xr:uid="{00000000-0005-0000-0000-00002E070000}"/>
    <cellStyle name="쉼표 [0] 3 2 26 2 2" xfId="1818" xr:uid="{00000000-0005-0000-0000-00002F070000}"/>
    <cellStyle name="쉼표 [0] 3 2 26 2 2 2" xfId="1819" xr:uid="{00000000-0005-0000-0000-000030070000}"/>
    <cellStyle name="쉼표 [0] 3 2 26 3" xfId="1820" xr:uid="{00000000-0005-0000-0000-000031070000}"/>
    <cellStyle name="쉼표 [0] 3 2 26 4" xfId="1821" xr:uid="{00000000-0005-0000-0000-000032070000}"/>
    <cellStyle name="쉼표 [0] 3 2 26 5" xfId="1822" xr:uid="{00000000-0005-0000-0000-000033070000}"/>
    <cellStyle name="쉼표 [0] 3 2 26 6" xfId="1823" xr:uid="{00000000-0005-0000-0000-000034070000}"/>
    <cellStyle name="쉼표 [0] 3 2 27" xfId="1824" xr:uid="{00000000-0005-0000-0000-000035070000}"/>
    <cellStyle name="쉼표 [0] 3 2 27 2" xfId="1825" xr:uid="{00000000-0005-0000-0000-000036070000}"/>
    <cellStyle name="쉼표 [0] 3 2 27 2 2" xfId="1826" xr:uid="{00000000-0005-0000-0000-000037070000}"/>
    <cellStyle name="쉼표 [0] 3 2 27 2 2 2" xfId="1827" xr:uid="{00000000-0005-0000-0000-000038070000}"/>
    <cellStyle name="쉼표 [0] 3 2 27 3" xfId="1828" xr:uid="{00000000-0005-0000-0000-000039070000}"/>
    <cellStyle name="쉼표 [0] 3 2 27 4" xfId="1829" xr:uid="{00000000-0005-0000-0000-00003A070000}"/>
    <cellStyle name="쉼표 [0] 3 2 27 5" xfId="1830" xr:uid="{00000000-0005-0000-0000-00003B070000}"/>
    <cellStyle name="쉼표 [0] 3 2 27 6" xfId="1831" xr:uid="{00000000-0005-0000-0000-00003C070000}"/>
    <cellStyle name="쉼표 [0] 3 2 28" xfId="1832" xr:uid="{00000000-0005-0000-0000-00003D070000}"/>
    <cellStyle name="쉼표 [0] 3 2 28 2" xfId="1833" xr:uid="{00000000-0005-0000-0000-00003E070000}"/>
    <cellStyle name="쉼표 [0] 3 2 28 2 2" xfId="1834" xr:uid="{00000000-0005-0000-0000-00003F070000}"/>
    <cellStyle name="쉼표 [0] 3 2 28 2 2 2" xfId="1835" xr:uid="{00000000-0005-0000-0000-000040070000}"/>
    <cellStyle name="쉼표 [0] 3 2 28 3" xfId="1836" xr:uid="{00000000-0005-0000-0000-000041070000}"/>
    <cellStyle name="쉼표 [0] 3 2 28 4" xfId="1837" xr:uid="{00000000-0005-0000-0000-000042070000}"/>
    <cellStyle name="쉼표 [0] 3 2 28 5" xfId="1838" xr:uid="{00000000-0005-0000-0000-000043070000}"/>
    <cellStyle name="쉼표 [0] 3 2 28 6" xfId="1839" xr:uid="{00000000-0005-0000-0000-000044070000}"/>
    <cellStyle name="쉼표 [0] 3 2 29" xfId="1840" xr:uid="{00000000-0005-0000-0000-000045070000}"/>
    <cellStyle name="쉼표 [0] 3 2 29 2" xfId="1841" xr:uid="{00000000-0005-0000-0000-000046070000}"/>
    <cellStyle name="쉼표 [0] 3 2 29 2 2" xfId="1842" xr:uid="{00000000-0005-0000-0000-000047070000}"/>
    <cellStyle name="쉼표 [0] 3 2 29 2 2 2" xfId="1843" xr:uid="{00000000-0005-0000-0000-000048070000}"/>
    <cellStyle name="쉼표 [0] 3 2 29 3" xfId="1844" xr:uid="{00000000-0005-0000-0000-000049070000}"/>
    <cellStyle name="쉼표 [0] 3 2 29 4" xfId="1845" xr:uid="{00000000-0005-0000-0000-00004A070000}"/>
    <cellStyle name="쉼표 [0] 3 2 29 5" xfId="1846" xr:uid="{00000000-0005-0000-0000-00004B070000}"/>
    <cellStyle name="쉼표 [0] 3 2 29 6" xfId="1847" xr:uid="{00000000-0005-0000-0000-00004C070000}"/>
    <cellStyle name="쉼표 [0] 3 2 3" xfId="1848" xr:uid="{00000000-0005-0000-0000-00004D070000}"/>
    <cellStyle name="쉼표 [0] 3 2 3 2" xfId="1849" xr:uid="{00000000-0005-0000-0000-00004E070000}"/>
    <cellStyle name="쉼표 [0] 3 2 3 2 2" xfId="1850" xr:uid="{00000000-0005-0000-0000-00004F070000}"/>
    <cellStyle name="쉼표 [0] 3 2 3 2 2 2" xfId="1851" xr:uid="{00000000-0005-0000-0000-000050070000}"/>
    <cellStyle name="쉼표 [0] 3 2 3 3" xfId="1852" xr:uid="{00000000-0005-0000-0000-000051070000}"/>
    <cellStyle name="쉼표 [0] 3 2 3 4" xfId="1853" xr:uid="{00000000-0005-0000-0000-000052070000}"/>
    <cellStyle name="쉼표 [0] 3 2 3 5" xfId="1854" xr:uid="{00000000-0005-0000-0000-000053070000}"/>
    <cellStyle name="쉼표 [0] 3 2 3 6" xfId="1855" xr:uid="{00000000-0005-0000-0000-000054070000}"/>
    <cellStyle name="쉼표 [0] 3 2 30" xfId="1856" xr:uid="{00000000-0005-0000-0000-000055070000}"/>
    <cellStyle name="쉼표 [0] 3 2 30 2" xfId="1857" xr:uid="{00000000-0005-0000-0000-000056070000}"/>
    <cellStyle name="쉼표 [0] 3 2 30 2 2" xfId="1858" xr:uid="{00000000-0005-0000-0000-000057070000}"/>
    <cellStyle name="쉼표 [0] 3 2 30 2 2 2" xfId="1859" xr:uid="{00000000-0005-0000-0000-000058070000}"/>
    <cellStyle name="쉼표 [0] 3 2 30 3" xfId="1860" xr:uid="{00000000-0005-0000-0000-000059070000}"/>
    <cellStyle name="쉼표 [0] 3 2 30 4" xfId="1861" xr:uid="{00000000-0005-0000-0000-00005A070000}"/>
    <cellStyle name="쉼표 [0] 3 2 30 5" xfId="1862" xr:uid="{00000000-0005-0000-0000-00005B070000}"/>
    <cellStyle name="쉼표 [0] 3 2 30 6" xfId="1863" xr:uid="{00000000-0005-0000-0000-00005C070000}"/>
    <cellStyle name="쉼표 [0] 3 2 31" xfId="1864" xr:uid="{00000000-0005-0000-0000-00005D070000}"/>
    <cellStyle name="쉼표 [0] 3 2 31 2" xfId="1865" xr:uid="{00000000-0005-0000-0000-00005E070000}"/>
    <cellStyle name="쉼표 [0] 3 2 31 2 2" xfId="1866" xr:uid="{00000000-0005-0000-0000-00005F070000}"/>
    <cellStyle name="쉼표 [0] 3 2 31 2 2 2" xfId="1867" xr:uid="{00000000-0005-0000-0000-000060070000}"/>
    <cellStyle name="쉼표 [0] 3 2 31 3" xfId="1868" xr:uid="{00000000-0005-0000-0000-000061070000}"/>
    <cellStyle name="쉼표 [0] 3 2 31 4" xfId="1869" xr:uid="{00000000-0005-0000-0000-000062070000}"/>
    <cellStyle name="쉼표 [0] 3 2 31 5" xfId="1870" xr:uid="{00000000-0005-0000-0000-000063070000}"/>
    <cellStyle name="쉼표 [0] 3 2 31 6" xfId="1871" xr:uid="{00000000-0005-0000-0000-000064070000}"/>
    <cellStyle name="쉼표 [0] 3 2 32" xfId="1872" xr:uid="{00000000-0005-0000-0000-000065070000}"/>
    <cellStyle name="쉼표 [0] 3 2 32 2" xfId="1873" xr:uid="{00000000-0005-0000-0000-000066070000}"/>
    <cellStyle name="쉼표 [0] 3 2 32 2 2" xfId="1874" xr:uid="{00000000-0005-0000-0000-000067070000}"/>
    <cellStyle name="쉼표 [0] 3 2 32 2 2 2" xfId="1875" xr:uid="{00000000-0005-0000-0000-000068070000}"/>
    <cellStyle name="쉼표 [0] 3 2 32 3" xfId="1876" xr:uid="{00000000-0005-0000-0000-000069070000}"/>
    <cellStyle name="쉼표 [0] 3 2 32 4" xfId="1877" xr:uid="{00000000-0005-0000-0000-00006A070000}"/>
    <cellStyle name="쉼표 [0] 3 2 32 5" xfId="1878" xr:uid="{00000000-0005-0000-0000-00006B070000}"/>
    <cellStyle name="쉼표 [0] 3 2 32 6" xfId="1879" xr:uid="{00000000-0005-0000-0000-00006C070000}"/>
    <cellStyle name="쉼표 [0] 3 2 33" xfId="1880" xr:uid="{00000000-0005-0000-0000-00006D070000}"/>
    <cellStyle name="쉼표 [0] 3 2 33 2" xfId="1881" xr:uid="{00000000-0005-0000-0000-00006E070000}"/>
    <cellStyle name="쉼표 [0] 3 2 33 2 2" xfId="1882" xr:uid="{00000000-0005-0000-0000-00006F070000}"/>
    <cellStyle name="쉼표 [0] 3 2 33 2 2 2" xfId="1883" xr:uid="{00000000-0005-0000-0000-000070070000}"/>
    <cellStyle name="쉼표 [0] 3 2 33 3" xfId="1884" xr:uid="{00000000-0005-0000-0000-000071070000}"/>
    <cellStyle name="쉼표 [0] 3 2 33 4" xfId="1885" xr:uid="{00000000-0005-0000-0000-000072070000}"/>
    <cellStyle name="쉼표 [0] 3 2 33 5" xfId="1886" xr:uid="{00000000-0005-0000-0000-000073070000}"/>
    <cellStyle name="쉼표 [0] 3 2 33 6" xfId="1887" xr:uid="{00000000-0005-0000-0000-000074070000}"/>
    <cellStyle name="쉼표 [0] 3 2 34" xfId="1888" xr:uid="{00000000-0005-0000-0000-000075070000}"/>
    <cellStyle name="쉼표 [0] 3 2 34 2" xfId="1889" xr:uid="{00000000-0005-0000-0000-000076070000}"/>
    <cellStyle name="쉼표 [0] 3 2 34 2 2" xfId="1890" xr:uid="{00000000-0005-0000-0000-000077070000}"/>
    <cellStyle name="쉼표 [0] 3 2 34 2 2 2" xfId="1891" xr:uid="{00000000-0005-0000-0000-000078070000}"/>
    <cellStyle name="쉼표 [0] 3 2 34 3" xfId="1892" xr:uid="{00000000-0005-0000-0000-000079070000}"/>
    <cellStyle name="쉼표 [0] 3 2 34 4" xfId="1893" xr:uid="{00000000-0005-0000-0000-00007A070000}"/>
    <cellStyle name="쉼표 [0] 3 2 34 5" xfId="1894" xr:uid="{00000000-0005-0000-0000-00007B070000}"/>
    <cellStyle name="쉼표 [0] 3 2 34 6" xfId="1895" xr:uid="{00000000-0005-0000-0000-00007C070000}"/>
    <cellStyle name="쉼표 [0] 3 2 35" xfId="1896" xr:uid="{00000000-0005-0000-0000-00007D070000}"/>
    <cellStyle name="쉼표 [0] 3 2 35 2" xfId="1897" xr:uid="{00000000-0005-0000-0000-00007E070000}"/>
    <cellStyle name="쉼표 [0] 3 2 35 2 2" xfId="1898" xr:uid="{00000000-0005-0000-0000-00007F070000}"/>
    <cellStyle name="쉼표 [0] 3 2 35 2 2 2" xfId="1899" xr:uid="{00000000-0005-0000-0000-000080070000}"/>
    <cellStyle name="쉼표 [0] 3 2 35 3" xfId="1900" xr:uid="{00000000-0005-0000-0000-000081070000}"/>
    <cellStyle name="쉼표 [0] 3 2 35 4" xfId="1901" xr:uid="{00000000-0005-0000-0000-000082070000}"/>
    <cellStyle name="쉼표 [0] 3 2 35 5" xfId="1902" xr:uid="{00000000-0005-0000-0000-000083070000}"/>
    <cellStyle name="쉼표 [0] 3 2 35 6" xfId="1903" xr:uid="{00000000-0005-0000-0000-000084070000}"/>
    <cellStyle name="쉼표 [0] 3 2 36" xfId="1904" xr:uid="{00000000-0005-0000-0000-000085070000}"/>
    <cellStyle name="쉼표 [0] 3 2 36 2" xfId="1905" xr:uid="{00000000-0005-0000-0000-000086070000}"/>
    <cellStyle name="쉼표 [0] 3 2 36 3" xfId="1906" xr:uid="{00000000-0005-0000-0000-000087070000}"/>
    <cellStyle name="쉼표 [0] 3 2 36 4" xfId="1907" xr:uid="{00000000-0005-0000-0000-000088070000}"/>
    <cellStyle name="쉼표 [0] 3 2 36 5" xfId="1908" xr:uid="{00000000-0005-0000-0000-000089070000}"/>
    <cellStyle name="쉼표 [0] 3 2 36 5 2" xfId="1909" xr:uid="{00000000-0005-0000-0000-00008A070000}"/>
    <cellStyle name="쉼표 [0] 3 2 36 6" xfId="1910" xr:uid="{00000000-0005-0000-0000-00008B070000}"/>
    <cellStyle name="쉼표 [0] 3 2 37" xfId="1911" xr:uid="{00000000-0005-0000-0000-00008C070000}"/>
    <cellStyle name="쉼표 [0] 3 2 37 2" xfId="1912" xr:uid="{00000000-0005-0000-0000-00008D070000}"/>
    <cellStyle name="쉼표 [0] 3 2 37 3" xfId="1913" xr:uid="{00000000-0005-0000-0000-00008E070000}"/>
    <cellStyle name="쉼표 [0] 3 2 37 4" xfId="1914" xr:uid="{00000000-0005-0000-0000-00008F070000}"/>
    <cellStyle name="쉼표 [0] 3 2 37 5" xfId="1915" xr:uid="{00000000-0005-0000-0000-000090070000}"/>
    <cellStyle name="쉼표 [0] 3 2 38" xfId="1916" xr:uid="{00000000-0005-0000-0000-000091070000}"/>
    <cellStyle name="쉼표 [0] 3 2 38 2" xfId="1917" xr:uid="{00000000-0005-0000-0000-000092070000}"/>
    <cellStyle name="쉼표 [0] 3 2 38 3" xfId="1918" xr:uid="{00000000-0005-0000-0000-000093070000}"/>
    <cellStyle name="쉼표 [0] 3 2 38 4" xfId="1919" xr:uid="{00000000-0005-0000-0000-000094070000}"/>
    <cellStyle name="쉼표 [0] 3 2 38 5" xfId="1920" xr:uid="{00000000-0005-0000-0000-000095070000}"/>
    <cellStyle name="쉼표 [0] 3 2 39" xfId="1921" xr:uid="{00000000-0005-0000-0000-000096070000}"/>
    <cellStyle name="쉼표 [0] 3 2 39 2" xfId="1922" xr:uid="{00000000-0005-0000-0000-000097070000}"/>
    <cellStyle name="쉼표 [0] 3 2 4" xfId="1923" xr:uid="{00000000-0005-0000-0000-000098070000}"/>
    <cellStyle name="쉼표 [0] 3 2 4 2" xfId="1924" xr:uid="{00000000-0005-0000-0000-000099070000}"/>
    <cellStyle name="쉼표 [0] 3 2 4 2 2" xfId="1925" xr:uid="{00000000-0005-0000-0000-00009A070000}"/>
    <cellStyle name="쉼표 [0] 3 2 4 2 2 2" xfId="1926" xr:uid="{00000000-0005-0000-0000-00009B070000}"/>
    <cellStyle name="쉼표 [0] 3 2 4 3" xfId="1927" xr:uid="{00000000-0005-0000-0000-00009C070000}"/>
    <cellStyle name="쉼표 [0] 3 2 4 4" xfId="1928" xr:uid="{00000000-0005-0000-0000-00009D070000}"/>
    <cellStyle name="쉼표 [0] 3 2 4 5" xfId="1929" xr:uid="{00000000-0005-0000-0000-00009E070000}"/>
    <cellStyle name="쉼표 [0] 3 2 4 6" xfId="1930" xr:uid="{00000000-0005-0000-0000-00009F070000}"/>
    <cellStyle name="쉼표 [0] 3 2 40" xfId="1931" xr:uid="{00000000-0005-0000-0000-0000A0070000}"/>
    <cellStyle name="쉼표 [0] 3 2 5" xfId="1932" xr:uid="{00000000-0005-0000-0000-0000A1070000}"/>
    <cellStyle name="쉼표 [0] 3 2 5 2" xfId="1933" xr:uid="{00000000-0005-0000-0000-0000A2070000}"/>
    <cellStyle name="쉼표 [0] 3 2 5 2 2" xfId="1934" xr:uid="{00000000-0005-0000-0000-0000A3070000}"/>
    <cellStyle name="쉼표 [0] 3 2 5 2 2 2" xfId="1935" xr:uid="{00000000-0005-0000-0000-0000A4070000}"/>
    <cellStyle name="쉼표 [0] 3 2 5 3" xfId="1936" xr:uid="{00000000-0005-0000-0000-0000A5070000}"/>
    <cellStyle name="쉼표 [0] 3 2 5 4" xfId="1937" xr:uid="{00000000-0005-0000-0000-0000A6070000}"/>
    <cellStyle name="쉼표 [0] 3 2 5 5" xfId="1938" xr:uid="{00000000-0005-0000-0000-0000A7070000}"/>
    <cellStyle name="쉼표 [0] 3 2 5 6" xfId="1939" xr:uid="{00000000-0005-0000-0000-0000A8070000}"/>
    <cellStyle name="쉼표 [0] 3 2 6" xfId="1940" xr:uid="{00000000-0005-0000-0000-0000A9070000}"/>
    <cellStyle name="쉼표 [0] 3 2 6 2" xfId="1941" xr:uid="{00000000-0005-0000-0000-0000AA070000}"/>
    <cellStyle name="쉼표 [0] 3 2 6 2 2" xfId="1942" xr:uid="{00000000-0005-0000-0000-0000AB070000}"/>
    <cellStyle name="쉼표 [0] 3 2 6 2 2 2" xfId="1943" xr:uid="{00000000-0005-0000-0000-0000AC070000}"/>
    <cellStyle name="쉼표 [0] 3 2 6 3" xfId="1944" xr:uid="{00000000-0005-0000-0000-0000AD070000}"/>
    <cellStyle name="쉼표 [0] 3 2 6 4" xfId="1945" xr:uid="{00000000-0005-0000-0000-0000AE070000}"/>
    <cellStyle name="쉼표 [0] 3 2 6 5" xfId="1946" xr:uid="{00000000-0005-0000-0000-0000AF070000}"/>
    <cellStyle name="쉼표 [0] 3 2 6 6" xfId="1947" xr:uid="{00000000-0005-0000-0000-0000B0070000}"/>
    <cellStyle name="쉼표 [0] 3 2 7" xfId="1948" xr:uid="{00000000-0005-0000-0000-0000B1070000}"/>
    <cellStyle name="쉼표 [0] 3 2 7 2" xfId="1949" xr:uid="{00000000-0005-0000-0000-0000B2070000}"/>
    <cellStyle name="쉼표 [0] 3 2 7 2 2" xfId="1950" xr:uid="{00000000-0005-0000-0000-0000B3070000}"/>
    <cellStyle name="쉼표 [0] 3 2 7 2 2 2" xfId="1951" xr:uid="{00000000-0005-0000-0000-0000B4070000}"/>
    <cellStyle name="쉼표 [0] 3 2 7 3" xfId="1952" xr:uid="{00000000-0005-0000-0000-0000B5070000}"/>
    <cellStyle name="쉼표 [0] 3 2 7 4" xfId="1953" xr:uid="{00000000-0005-0000-0000-0000B6070000}"/>
    <cellStyle name="쉼표 [0] 3 2 7 5" xfId="1954" xr:uid="{00000000-0005-0000-0000-0000B7070000}"/>
    <cellStyle name="쉼표 [0] 3 2 7 6" xfId="1955" xr:uid="{00000000-0005-0000-0000-0000B8070000}"/>
    <cellStyle name="쉼표 [0] 3 2 8" xfId="1956" xr:uid="{00000000-0005-0000-0000-0000B9070000}"/>
    <cellStyle name="쉼표 [0] 3 2 8 2" xfId="1957" xr:uid="{00000000-0005-0000-0000-0000BA070000}"/>
    <cellStyle name="쉼표 [0] 3 2 8 2 2" xfId="1958" xr:uid="{00000000-0005-0000-0000-0000BB070000}"/>
    <cellStyle name="쉼표 [0] 3 2 8 2 2 2" xfId="1959" xr:uid="{00000000-0005-0000-0000-0000BC070000}"/>
    <cellStyle name="쉼표 [0] 3 2 8 3" xfId="1960" xr:uid="{00000000-0005-0000-0000-0000BD070000}"/>
    <cellStyle name="쉼표 [0] 3 2 8 4" xfId="1961" xr:uid="{00000000-0005-0000-0000-0000BE070000}"/>
    <cellStyle name="쉼표 [0] 3 2 8 5" xfId="1962" xr:uid="{00000000-0005-0000-0000-0000BF070000}"/>
    <cellStyle name="쉼표 [0] 3 2 8 6" xfId="1963" xr:uid="{00000000-0005-0000-0000-0000C0070000}"/>
    <cellStyle name="쉼표 [0] 3 2 9" xfId="1964" xr:uid="{00000000-0005-0000-0000-0000C1070000}"/>
    <cellStyle name="쉼표 [0] 3 2 9 2" xfId="1965" xr:uid="{00000000-0005-0000-0000-0000C2070000}"/>
    <cellStyle name="쉼표 [0] 3 2 9 2 2" xfId="1966" xr:uid="{00000000-0005-0000-0000-0000C3070000}"/>
    <cellStyle name="쉼표 [0] 3 2 9 2 2 2" xfId="1967" xr:uid="{00000000-0005-0000-0000-0000C4070000}"/>
    <cellStyle name="쉼표 [0] 3 2 9 3" xfId="1968" xr:uid="{00000000-0005-0000-0000-0000C5070000}"/>
    <cellStyle name="쉼표 [0] 3 2 9 4" xfId="1969" xr:uid="{00000000-0005-0000-0000-0000C6070000}"/>
    <cellStyle name="쉼표 [0] 3 2 9 5" xfId="1970" xr:uid="{00000000-0005-0000-0000-0000C7070000}"/>
    <cellStyle name="쉼표 [0] 3 2 9 6" xfId="1971" xr:uid="{00000000-0005-0000-0000-0000C8070000}"/>
    <cellStyle name="쉼표 [0] 3 20" xfId="1972" xr:uid="{00000000-0005-0000-0000-0000C9070000}"/>
    <cellStyle name="쉼표 [0] 3 21" xfId="1973" xr:uid="{00000000-0005-0000-0000-0000CA070000}"/>
    <cellStyle name="쉼표 [0] 3 21 2" xfId="1974" xr:uid="{00000000-0005-0000-0000-0000CB070000}"/>
    <cellStyle name="쉼표 [0] 3 21 2 2" xfId="1975" xr:uid="{00000000-0005-0000-0000-0000CC070000}"/>
    <cellStyle name="쉼표 [0] 3 22" xfId="1976" xr:uid="{00000000-0005-0000-0000-0000CD070000}"/>
    <cellStyle name="쉼표 [0] 3 22 2" xfId="1977" xr:uid="{00000000-0005-0000-0000-0000CE070000}"/>
    <cellStyle name="쉼표 [0] 3 22 2 2" xfId="1978" xr:uid="{00000000-0005-0000-0000-0000CF070000}"/>
    <cellStyle name="쉼표 [0] 3 23" xfId="1979" xr:uid="{00000000-0005-0000-0000-0000D0070000}"/>
    <cellStyle name="쉼표 [0] 3 23 2" xfId="1980" xr:uid="{00000000-0005-0000-0000-0000D1070000}"/>
    <cellStyle name="쉼표 [0] 3 23 2 2" xfId="1981" xr:uid="{00000000-0005-0000-0000-0000D2070000}"/>
    <cellStyle name="쉼표 [0] 3 24" xfId="1982" xr:uid="{00000000-0005-0000-0000-0000D3070000}"/>
    <cellStyle name="쉼표 [0] 3 25" xfId="1983" xr:uid="{00000000-0005-0000-0000-0000D4070000}"/>
    <cellStyle name="쉼표 [0] 3 26" xfId="1984" xr:uid="{00000000-0005-0000-0000-0000D5070000}"/>
    <cellStyle name="쉼표 [0] 3 27" xfId="1985" xr:uid="{00000000-0005-0000-0000-0000D6070000}"/>
    <cellStyle name="쉼표 [0] 3 28" xfId="1986" xr:uid="{00000000-0005-0000-0000-0000D7070000}"/>
    <cellStyle name="쉼표 [0] 3 29" xfId="1987" xr:uid="{00000000-0005-0000-0000-0000D8070000}"/>
    <cellStyle name="쉼표 [0] 3 3" xfId="1988" xr:uid="{00000000-0005-0000-0000-0000D9070000}"/>
    <cellStyle name="쉼표 [0] 3 3 2" xfId="1989" xr:uid="{00000000-0005-0000-0000-0000DA070000}"/>
    <cellStyle name="쉼표 [0] 3 3 2 2" xfId="1990" xr:uid="{00000000-0005-0000-0000-0000DB070000}"/>
    <cellStyle name="쉼표 [0] 3 3 2 2 2" xfId="1991" xr:uid="{00000000-0005-0000-0000-0000DC070000}"/>
    <cellStyle name="쉼표 [0] 3 3 2 3" xfId="1992" xr:uid="{00000000-0005-0000-0000-0000DD070000}"/>
    <cellStyle name="쉼표 [0] 3 3 3" xfId="1993" xr:uid="{00000000-0005-0000-0000-0000DE070000}"/>
    <cellStyle name="쉼표 [0] 3 3 4" xfId="1994" xr:uid="{00000000-0005-0000-0000-0000DF070000}"/>
    <cellStyle name="쉼표 [0] 3 3 5" xfId="1995" xr:uid="{00000000-0005-0000-0000-0000E0070000}"/>
    <cellStyle name="쉼표 [0] 3 3 6" xfId="1996" xr:uid="{00000000-0005-0000-0000-0000E1070000}"/>
    <cellStyle name="쉼표 [0] 3 3 7" xfId="1997" xr:uid="{00000000-0005-0000-0000-0000E2070000}"/>
    <cellStyle name="쉼표 [0] 3 30" xfId="1998" xr:uid="{00000000-0005-0000-0000-0000E3070000}"/>
    <cellStyle name="쉼표 [0] 3 31" xfId="1999" xr:uid="{00000000-0005-0000-0000-0000E4070000}"/>
    <cellStyle name="쉼표 [0] 3 32" xfId="2000" xr:uid="{00000000-0005-0000-0000-0000E5070000}"/>
    <cellStyle name="쉼표 [0] 3 33" xfId="2001" xr:uid="{00000000-0005-0000-0000-0000E6070000}"/>
    <cellStyle name="쉼표 [0] 3 34" xfId="2002" xr:uid="{00000000-0005-0000-0000-0000E7070000}"/>
    <cellStyle name="쉼표 [0] 3 35" xfId="2003" xr:uid="{00000000-0005-0000-0000-0000E8070000}"/>
    <cellStyle name="쉼표 [0] 3 36" xfId="2004" xr:uid="{00000000-0005-0000-0000-0000E9070000}"/>
    <cellStyle name="쉼표 [0] 3 37" xfId="2005" xr:uid="{00000000-0005-0000-0000-0000EA070000}"/>
    <cellStyle name="쉼표 [0] 3 38" xfId="2006" xr:uid="{00000000-0005-0000-0000-0000EB070000}"/>
    <cellStyle name="쉼표 [0] 3 39" xfId="2007" xr:uid="{00000000-0005-0000-0000-0000EC070000}"/>
    <cellStyle name="쉼표 [0] 3 4" xfId="2008" xr:uid="{00000000-0005-0000-0000-0000ED070000}"/>
    <cellStyle name="쉼표 [0] 3 4 2" xfId="2009" xr:uid="{00000000-0005-0000-0000-0000EE070000}"/>
    <cellStyle name="쉼표 [0] 3 4 2 2" xfId="2010" xr:uid="{00000000-0005-0000-0000-0000EF070000}"/>
    <cellStyle name="쉼표 [0] 3 4 2 2 2" xfId="2011" xr:uid="{00000000-0005-0000-0000-0000F0070000}"/>
    <cellStyle name="쉼표 [0] 3 4 2 3" xfId="2012" xr:uid="{00000000-0005-0000-0000-0000F1070000}"/>
    <cellStyle name="쉼표 [0] 3 4 3" xfId="2013" xr:uid="{00000000-0005-0000-0000-0000F2070000}"/>
    <cellStyle name="쉼표 [0] 3 4 4" xfId="2014" xr:uid="{00000000-0005-0000-0000-0000F3070000}"/>
    <cellStyle name="쉼표 [0] 3 4 5" xfId="2015" xr:uid="{00000000-0005-0000-0000-0000F4070000}"/>
    <cellStyle name="쉼표 [0] 3 4 6" xfId="2016" xr:uid="{00000000-0005-0000-0000-0000F5070000}"/>
    <cellStyle name="쉼표 [0] 3 4 7" xfId="2017" xr:uid="{00000000-0005-0000-0000-0000F6070000}"/>
    <cellStyle name="쉼표 [0] 3 40" xfId="2018" xr:uid="{00000000-0005-0000-0000-0000F7070000}"/>
    <cellStyle name="쉼표 [0] 3 41" xfId="2019" xr:uid="{00000000-0005-0000-0000-0000F8070000}"/>
    <cellStyle name="쉼표 [0] 3 42" xfId="2020" xr:uid="{00000000-0005-0000-0000-0000F9070000}"/>
    <cellStyle name="쉼표 [0] 3 43" xfId="2021" xr:uid="{00000000-0005-0000-0000-0000FA070000}"/>
    <cellStyle name="쉼표 [0] 3 44" xfId="2022" xr:uid="{00000000-0005-0000-0000-0000FB070000}"/>
    <cellStyle name="쉼표 [0] 3 45" xfId="2023" xr:uid="{00000000-0005-0000-0000-0000FC070000}"/>
    <cellStyle name="쉼표 [0] 3 46" xfId="2024" xr:uid="{00000000-0005-0000-0000-0000FD070000}"/>
    <cellStyle name="쉼표 [0] 3 47" xfId="2025" xr:uid="{00000000-0005-0000-0000-0000FE070000}"/>
    <cellStyle name="쉼표 [0] 3 5" xfId="2026" xr:uid="{00000000-0005-0000-0000-0000FF070000}"/>
    <cellStyle name="쉼표 [0] 3 5 2" xfId="2027" xr:uid="{00000000-0005-0000-0000-000000080000}"/>
    <cellStyle name="쉼표 [0] 3 5 2 2" xfId="2028" xr:uid="{00000000-0005-0000-0000-000001080000}"/>
    <cellStyle name="쉼표 [0] 3 5 2 2 2" xfId="2029" xr:uid="{00000000-0005-0000-0000-000002080000}"/>
    <cellStyle name="쉼표 [0] 3 5 2 3" xfId="2030" xr:uid="{00000000-0005-0000-0000-000003080000}"/>
    <cellStyle name="쉼표 [0] 3 5 3" xfId="2031" xr:uid="{00000000-0005-0000-0000-000004080000}"/>
    <cellStyle name="쉼표 [0] 3 5 4" xfId="2032" xr:uid="{00000000-0005-0000-0000-000005080000}"/>
    <cellStyle name="쉼표 [0] 3 5 5" xfId="2033" xr:uid="{00000000-0005-0000-0000-000006080000}"/>
    <cellStyle name="쉼표 [0] 3 5 6" xfId="2034" xr:uid="{00000000-0005-0000-0000-000007080000}"/>
    <cellStyle name="쉼표 [0] 3 5 7" xfId="2035" xr:uid="{00000000-0005-0000-0000-000008080000}"/>
    <cellStyle name="쉼표 [0] 3 6" xfId="2036" xr:uid="{00000000-0005-0000-0000-000009080000}"/>
    <cellStyle name="쉼표 [0] 3 6 10" xfId="2037" xr:uid="{00000000-0005-0000-0000-00000A080000}"/>
    <cellStyle name="쉼표 [0] 3 6 11" xfId="2038" xr:uid="{00000000-0005-0000-0000-00000B080000}"/>
    <cellStyle name="쉼표 [0] 3 6 12" xfId="2039" xr:uid="{00000000-0005-0000-0000-00000C080000}"/>
    <cellStyle name="쉼표 [0] 3 6 2" xfId="2040" xr:uid="{00000000-0005-0000-0000-00000D080000}"/>
    <cellStyle name="쉼표 [0] 3 6 2 2" xfId="2041" xr:uid="{00000000-0005-0000-0000-00000E080000}"/>
    <cellStyle name="쉼표 [0] 3 6 2 3" xfId="2042" xr:uid="{00000000-0005-0000-0000-00000F080000}"/>
    <cellStyle name="쉼표 [0] 3 6 3" xfId="2043" xr:uid="{00000000-0005-0000-0000-000010080000}"/>
    <cellStyle name="쉼표 [0] 3 6 4" xfId="2044" xr:uid="{00000000-0005-0000-0000-000011080000}"/>
    <cellStyle name="쉼표 [0] 3 6 5" xfId="2045" xr:uid="{00000000-0005-0000-0000-000012080000}"/>
    <cellStyle name="쉼표 [0] 3 6 6" xfId="2046" xr:uid="{00000000-0005-0000-0000-000013080000}"/>
    <cellStyle name="쉼표 [0] 3 6 7" xfId="2047" xr:uid="{00000000-0005-0000-0000-000014080000}"/>
    <cellStyle name="쉼표 [0] 3 6 8" xfId="2048" xr:uid="{00000000-0005-0000-0000-000015080000}"/>
    <cellStyle name="쉼표 [0] 3 6 9" xfId="2049" xr:uid="{00000000-0005-0000-0000-000016080000}"/>
    <cellStyle name="쉼표 [0] 3 7" xfId="2050" xr:uid="{00000000-0005-0000-0000-000017080000}"/>
    <cellStyle name="쉼표 [0] 3 7 2" xfId="2051" xr:uid="{00000000-0005-0000-0000-000018080000}"/>
    <cellStyle name="쉼표 [0] 3 7 2 2" xfId="2052" xr:uid="{00000000-0005-0000-0000-000019080000}"/>
    <cellStyle name="쉼표 [0] 3 7 2 3" xfId="2053" xr:uid="{00000000-0005-0000-0000-00001A080000}"/>
    <cellStyle name="쉼표 [0] 3 7 2 4" xfId="2054" xr:uid="{00000000-0005-0000-0000-00001B080000}"/>
    <cellStyle name="쉼표 [0] 3 7 2 5" xfId="2055" xr:uid="{00000000-0005-0000-0000-00001C080000}"/>
    <cellStyle name="쉼표 [0] 3 7 2 6" xfId="2056" xr:uid="{00000000-0005-0000-0000-00001D080000}"/>
    <cellStyle name="쉼표 [0] 3 7 2 7" xfId="2057" xr:uid="{00000000-0005-0000-0000-00001E080000}"/>
    <cellStyle name="쉼표 [0] 3 7 2 8" xfId="2058" xr:uid="{00000000-0005-0000-0000-00001F080000}"/>
    <cellStyle name="쉼표 [0] 3 7 2 9" xfId="2059" xr:uid="{00000000-0005-0000-0000-000020080000}"/>
    <cellStyle name="쉼표 [0] 3 7 3" xfId="2060" xr:uid="{00000000-0005-0000-0000-000021080000}"/>
    <cellStyle name="쉼표 [0] 3 7 3 2" xfId="2061" xr:uid="{00000000-0005-0000-0000-000022080000}"/>
    <cellStyle name="쉼표 [0] 3 7 3 3" xfId="2062" xr:uid="{00000000-0005-0000-0000-000023080000}"/>
    <cellStyle name="쉼표 [0] 3 7 3 4" xfId="2063" xr:uid="{00000000-0005-0000-0000-000024080000}"/>
    <cellStyle name="쉼표 [0] 3 7 3 5" xfId="2064" xr:uid="{00000000-0005-0000-0000-000025080000}"/>
    <cellStyle name="쉼표 [0] 3 7 3 5 2" xfId="2065" xr:uid="{00000000-0005-0000-0000-000026080000}"/>
    <cellStyle name="쉼표 [0] 3 7 3 6" xfId="2066" xr:uid="{00000000-0005-0000-0000-000027080000}"/>
    <cellStyle name="쉼표 [0] 3 7 4" xfId="2067" xr:uid="{00000000-0005-0000-0000-000028080000}"/>
    <cellStyle name="쉼표 [0] 3 7 4 2" xfId="2068" xr:uid="{00000000-0005-0000-0000-000029080000}"/>
    <cellStyle name="쉼표 [0] 3 7 4 3" xfId="2069" xr:uid="{00000000-0005-0000-0000-00002A080000}"/>
    <cellStyle name="쉼표 [0] 3 7 4 4" xfId="2070" xr:uid="{00000000-0005-0000-0000-00002B080000}"/>
    <cellStyle name="쉼표 [0] 3 7 4 5" xfId="2071" xr:uid="{00000000-0005-0000-0000-00002C080000}"/>
    <cellStyle name="쉼표 [0] 3 7 5" xfId="2072" xr:uid="{00000000-0005-0000-0000-00002D080000}"/>
    <cellStyle name="쉼표 [0] 3 7 5 2" xfId="2073" xr:uid="{00000000-0005-0000-0000-00002E080000}"/>
    <cellStyle name="쉼표 [0] 3 7 6" xfId="2074" xr:uid="{00000000-0005-0000-0000-00002F080000}"/>
    <cellStyle name="쉼표 [0] 3 8" xfId="2075" xr:uid="{00000000-0005-0000-0000-000030080000}"/>
    <cellStyle name="쉼표 [0] 3 9" xfId="2076" xr:uid="{00000000-0005-0000-0000-000031080000}"/>
    <cellStyle name="쉼표 [0] 3 9 2" xfId="2077" xr:uid="{00000000-0005-0000-0000-000032080000}"/>
    <cellStyle name="쉼표 [0] 3 9 2 2" xfId="2078" xr:uid="{00000000-0005-0000-0000-000033080000}"/>
    <cellStyle name="쉼표 [0] 30" xfId="2079" xr:uid="{00000000-0005-0000-0000-000034080000}"/>
    <cellStyle name="쉼표 [0] 31" xfId="2080" xr:uid="{00000000-0005-0000-0000-000035080000}"/>
    <cellStyle name="쉼표 [0] 31 2" xfId="3219" xr:uid="{00000000-0005-0000-0000-000036080000}"/>
    <cellStyle name="쉼표 [0] 32" xfId="2081" xr:uid="{00000000-0005-0000-0000-000037080000}"/>
    <cellStyle name="쉼표 [0] 33" xfId="2082" xr:uid="{00000000-0005-0000-0000-000038080000}"/>
    <cellStyle name="쉼표 [0] 34" xfId="2083" xr:uid="{00000000-0005-0000-0000-000039080000}"/>
    <cellStyle name="쉼표 [0] 35" xfId="2084" xr:uid="{00000000-0005-0000-0000-00003A080000}"/>
    <cellStyle name="쉼표 [0] 36" xfId="2085" xr:uid="{00000000-0005-0000-0000-00003B080000}"/>
    <cellStyle name="쉼표 [0] 36 2" xfId="2086" xr:uid="{00000000-0005-0000-0000-00003C080000}"/>
    <cellStyle name="쉼표 [0] 37" xfId="2087" xr:uid="{00000000-0005-0000-0000-00003D080000}"/>
    <cellStyle name="쉼표 [0] 38" xfId="2088" xr:uid="{00000000-0005-0000-0000-00003E080000}"/>
    <cellStyle name="쉼표 [0] 38 2" xfId="3116" xr:uid="{00000000-0005-0000-0000-00003F080000}"/>
    <cellStyle name="쉼표 [0] 39" xfId="2089" xr:uid="{00000000-0005-0000-0000-000040080000}"/>
    <cellStyle name="쉼표 [0] 39 2" xfId="3117" xr:uid="{00000000-0005-0000-0000-000041080000}"/>
    <cellStyle name="쉼표 [0] 4" xfId="2090" xr:uid="{00000000-0005-0000-0000-000042080000}"/>
    <cellStyle name="쉼표 [0] 4 10" xfId="2091" xr:uid="{00000000-0005-0000-0000-000043080000}"/>
    <cellStyle name="쉼표 [0] 4 11" xfId="2092" xr:uid="{00000000-0005-0000-0000-000044080000}"/>
    <cellStyle name="쉼표 [0] 4 12" xfId="2093" xr:uid="{00000000-0005-0000-0000-000045080000}"/>
    <cellStyle name="쉼표 [0] 4 12 2" xfId="2094" xr:uid="{00000000-0005-0000-0000-000046080000}"/>
    <cellStyle name="쉼표 [0] 4 12 2 2" xfId="2095" xr:uid="{00000000-0005-0000-0000-000047080000}"/>
    <cellStyle name="쉼표 [0] 4 12 2 2 2" xfId="2096" xr:uid="{00000000-0005-0000-0000-000048080000}"/>
    <cellStyle name="쉼표 [0] 4 12 3" xfId="2097" xr:uid="{00000000-0005-0000-0000-000049080000}"/>
    <cellStyle name="쉼표 [0] 4 12 4" xfId="2098" xr:uid="{00000000-0005-0000-0000-00004A080000}"/>
    <cellStyle name="쉼표 [0] 4 12 5" xfId="2099" xr:uid="{00000000-0005-0000-0000-00004B080000}"/>
    <cellStyle name="쉼표 [0] 4 12 6" xfId="2100" xr:uid="{00000000-0005-0000-0000-00004C080000}"/>
    <cellStyle name="쉼표 [0] 4 12 7" xfId="2101" xr:uid="{00000000-0005-0000-0000-00004D080000}"/>
    <cellStyle name="쉼표 [0] 4 13" xfId="2102" xr:uid="{00000000-0005-0000-0000-00004E080000}"/>
    <cellStyle name="쉼표 [0] 4 13 2" xfId="2103" xr:uid="{00000000-0005-0000-0000-00004F080000}"/>
    <cellStyle name="쉼표 [0] 4 13 2 2" xfId="2104" xr:uid="{00000000-0005-0000-0000-000050080000}"/>
    <cellStyle name="쉼표 [0] 4 13 2 2 2" xfId="2105" xr:uid="{00000000-0005-0000-0000-000051080000}"/>
    <cellStyle name="쉼표 [0] 4 13 3" xfId="2106" xr:uid="{00000000-0005-0000-0000-000052080000}"/>
    <cellStyle name="쉼표 [0] 4 13 4" xfId="2107" xr:uid="{00000000-0005-0000-0000-000053080000}"/>
    <cellStyle name="쉼표 [0] 4 13 5" xfId="2108" xr:uid="{00000000-0005-0000-0000-000054080000}"/>
    <cellStyle name="쉼표 [0] 4 13 6" xfId="2109" xr:uid="{00000000-0005-0000-0000-000055080000}"/>
    <cellStyle name="쉼표 [0] 4 13 7" xfId="2110" xr:uid="{00000000-0005-0000-0000-000056080000}"/>
    <cellStyle name="쉼표 [0] 4 14" xfId="2111" xr:uid="{00000000-0005-0000-0000-000057080000}"/>
    <cellStyle name="쉼표 [0] 4 14 2" xfId="2112" xr:uid="{00000000-0005-0000-0000-000058080000}"/>
    <cellStyle name="쉼표 [0] 4 14 2 2" xfId="2113" xr:uid="{00000000-0005-0000-0000-000059080000}"/>
    <cellStyle name="쉼표 [0] 4 14 2 2 2" xfId="2114" xr:uid="{00000000-0005-0000-0000-00005A080000}"/>
    <cellStyle name="쉼표 [0] 4 14 3" xfId="2115" xr:uid="{00000000-0005-0000-0000-00005B080000}"/>
    <cellStyle name="쉼표 [0] 4 14 4" xfId="2116" xr:uid="{00000000-0005-0000-0000-00005C080000}"/>
    <cellStyle name="쉼표 [0] 4 14 5" xfId="2117" xr:uid="{00000000-0005-0000-0000-00005D080000}"/>
    <cellStyle name="쉼표 [0] 4 14 6" xfId="2118" xr:uid="{00000000-0005-0000-0000-00005E080000}"/>
    <cellStyle name="쉼표 [0] 4 14 7" xfId="2119" xr:uid="{00000000-0005-0000-0000-00005F080000}"/>
    <cellStyle name="쉼표 [0] 4 15" xfId="2120" xr:uid="{00000000-0005-0000-0000-000060080000}"/>
    <cellStyle name="쉼표 [0] 4 16" xfId="2121" xr:uid="{00000000-0005-0000-0000-000061080000}"/>
    <cellStyle name="쉼표 [0] 4 17" xfId="2122" xr:uid="{00000000-0005-0000-0000-000062080000}"/>
    <cellStyle name="쉼표 [0] 4 18" xfId="2123" xr:uid="{00000000-0005-0000-0000-000063080000}"/>
    <cellStyle name="쉼표 [0] 4 18 2" xfId="2124" xr:uid="{00000000-0005-0000-0000-000064080000}"/>
    <cellStyle name="쉼표 [0] 4 18 2 2" xfId="2125" xr:uid="{00000000-0005-0000-0000-000065080000}"/>
    <cellStyle name="쉼표 [0] 4 19" xfId="2126" xr:uid="{00000000-0005-0000-0000-000066080000}"/>
    <cellStyle name="쉼표 [0] 4 19 2" xfId="2127" xr:uid="{00000000-0005-0000-0000-000067080000}"/>
    <cellStyle name="쉼표 [0] 4 19 2 2" xfId="2128" xr:uid="{00000000-0005-0000-0000-000068080000}"/>
    <cellStyle name="쉼표 [0] 4 2" xfId="2129" xr:uid="{00000000-0005-0000-0000-000069080000}"/>
    <cellStyle name="쉼표 [0] 4 2 10" xfId="2130" xr:uid="{00000000-0005-0000-0000-00006A080000}"/>
    <cellStyle name="쉼표 [0] 4 2 10 2" xfId="2131" xr:uid="{00000000-0005-0000-0000-00006B080000}"/>
    <cellStyle name="쉼표 [0] 4 2 10 2 2" xfId="2132" xr:uid="{00000000-0005-0000-0000-00006C080000}"/>
    <cellStyle name="쉼표 [0] 4 2 10 2 2 2" xfId="2133" xr:uid="{00000000-0005-0000-0000-00006D080000}"/>
    <cellStyle name="쉼표 [0] 4 2 10 3" xfId="2134" xr:uid="{00000000-0005-0000-0000-00006E080000}"/>
    <cellStyle name="쉼표 [0] 4 2 10 4" xfId="2135" xr:uid="{00000000-0005-0000-0000-00006F080000}"/>
    <cellStyle name="쉼표 [0] 4 2 10 5" xfId="2136" xr:uid="{00000000-0005-0000-0000-000070080000}"/>
    <cellStyle name="쉼표 [0] 4 2 10 6" xfId="2137" xr:uid="{00000000-0005-0000-0000-000071080000}"/>
    <cellStyle name="쉼표 [0] 4 2 11" xfId="2138" xr:uid="{00000000-0005-0000-0000-000072080000}"/>
    <cellStyle name="쉼표 [0] 4 2 11 2" xfId="2139" xr:uid="{00000000-0005-0000-0000-000073080000}"/>
    <cellStyle name="쉼표 [0] 4 2 11 2 2" xfId="2140" xr:uid="{00000000-0005-0000-0000-000074080000}"/>
    <cellStyle name="쉼표 [0] 4 2 11 2 2 2" xfId="2141" xr:uid="{00000000-0005-0000-0000-000075080000}"/>
    <cellStyle name="쉼표 [0] 4 2 11 3" xfId="2142" xr:uid="{00000000-0005-0000-0000-000076080000}"/>
    <cellStyle name="쉼표 [0] 4 2 11 4" xfId="2143" xr:uid="{00000000-0005-0000-0000-000077080000}"/>
    <cellStyle name="쉼표 [0] 4 2 11 5" xfId="2144" xr:uid="{00000000-0005-0000-0000-000078080000}"/>
    <cellStyle name="쉼표 [0] 4 2 11 6" xfId="2145" xr:uid="{00000000-0005-0000-0000-000079080000}"/>
    <cellStyle name="쉼표 [0] 4 2 12" xfId="2146" xr:uid="{00000000-0005-0000-0000-00007A080000}"/>
    <cellStyle name="쉼표 [0] 4 2 12 2" xfId="2147" xr:uid="{00000000-0005-0000-0000-00007B080000}"/>
    <cellStyle name="쉼표 [0] 4 2 12 2 2" xfId="2148" xr:uid="{00000000-0005-0000-0000-00007C080000}"/>
    <cellStyle name="쉼표 [0] 4 2 12 2 2 2" xfId="2149" xr:uid="{00000000-0005-0000-0000-00007D080000}"/>
    <cellStyle name="쉼표 [0] 4 2 12 3" xfId="2150" xr:uid="{00000000-0005-0000-0000-00007E080000}"/>
    <cellStyle name="쉼표 [0] 4 2 12 4" xfId="2151" xr:uid="{00000000-0005-0000-0000-00007F080000}"/>
    <cellStyle name="쉼표 [0] 4 2 12 5" xfId="2152" xr:uid="{00000000-0005-0000-0000-000080080000}"/>
    <cellStyle name="쉼표 [0] 4 2 12 6" xfId="2153" xr:uid="{00000000-0005-0000-0000-000081080000}"/>
    <cellStyle name="쉼표 [0] 4 2 13" xfId="2154" xr:uid="{00000000-0005-0000-0000-000082080000}"/>
    <cellStyle name="쉼표 [0] 4 2 13 2" xfId="2155" xr:uid="{00000000-0005-0000-0000-000083080000}"/>
    <cellStyle name="쉼표 [0] 4 2 13 2 2" xfId="2156" xr:uid="{00000000-0005-0000-0000-000084080000}"/>
    <cellStyle name="쉼표 [0] 4 2 13 2 2 2" xfId="2157" xr:uid="{00000000-0005-0000-0000-000085080000}"/>
    <cellStyle name="쉼표 [0] 4 2 13 3" xfId="2158" xr:uid="{00000000-0005-0000-0000-000086080000}"/>
    <cellStyle name="쉼표 [0] 4 2 13 4" xfId="2159" xr:uid="{00000000-0005-0000-0000-000087080000}"/>
    <cellStyle name="쉼표 [0] 4 2 13 5" xfId="2160" xr:uid="{00000000-0005-0000-0000-000088080000}"/>
    <cellStyle name="쉼표 [0] 4 2 13 6" xfId="2161" xr:uid="{00000000-0005-0000-0000-000089080000}"/>
    <cellStyle name="쉼표 [0] 4 2 14" xfId="2162" xr:uid="{00000000-0005-0000-0000-00008A080000}"/>
    <cellStyle name="쉼표 [0] 4 2 14 2" xfId="2163" xr:uid="{00000000-0005-0000-0000-00008B080000}"/>
    <cellStyle name="쉼표 [0] 4 2 14 2 2" xfId="2164" xr:uid="{00000000-0005-0000-0000-00008C080000}"/>
    <cellStyle name="쉼표 [0] 4 2 14 2 2 2" xfId="2165" xr:uid="{00000000-0005-0000-0000-00008D080000}"/>
    <cellStyle name="쉼표 [0] 4 2 14 3" xfId="2166" xr:uid="{00000000-0005-0000-0000-00008E080000}"/>
    <cellStyle name="쉼표 [0] 4 2 14 4" xfId="2167" xr:uid="{00000000-0005-0000-0000-00008F080000}"/>
    <cellStyle name="쉼표 [0] 4 2 14 5" xfId="2168" xr:uid="{00000000-0005-0000-0000-000090080000}"/>
    <cellStyle name="쉼표 [0] 4 2 14 6" xfId="2169" xr:uid="{00000000-0005-0000-0000-000091080000}"/>
    <cellStyle name="쉼표 [0] 4 2 15" xfId="2170" xr:uid="{00000000-0005-0000-0000-000092080000}"/>
    <cellStyle name="쉼표 [0] 4 2 15 2" xfId="2171" xr:uid="{00000000-0005-0000-0000-000093080000}"/>
    <cellStyle name="쉼표 [0] 4 2 15 2 2" xfId="2172" xr:uid="{00000000-0005-0000-0000-000094080000}"/>
    <cellStyle name="쉼표 [0] 4 2 15 2 2 2" xfId="2173" xr:uid="{00000000-0005-0000-0000-000095080000}"/>
    <cellStyle name="쉼표 [0] 4 2 15 3" xfId="2174" xr:uid="{00000000-0005-0000-0000-000096080000}"/>
    <cellStyle name="쉼표 [0] 4 2 15 4" xfId="2175" xr:uid="{00000000-0005-0000-0000-000097080000}"/>
    <cellStyle name="쉼표 [0] 4 2 15 5" xfId="2176" xr:uid="{00000000-0005-0000-0000-000098080000}"/>
    <cellStyle name="쉼표 [0] 4 2 15 6" xfId="2177" xr:uid="{00000000-0005-0000-0000-000099080000}"/>
    <cellStyle name="쉼표 [0] 4 2 16" xfId="2178" xr:uid="{00000000-0005-0000-0000-00009A080000}"/>
    <cellStyle name="쉼표 [0] 4 2 16 2" xfId="2179" xr:uid="{00000000-0005-0000-0000-00009B080000}"/>
    <cellStyle name="쉼표 [0] 4 2 16 2 2" xfId="2180" xr:uid="{00000000-0005-0000-0000-00009C080000}"/>
    <cellStyle name="쉼표 [0] 4 2 16 2 2 2" xfId="2181" xr:uid="{00000000-0005-0000-0000-00009D080000}"/>
    <cellStyle name="쉼표 [0] 4 2 16 3" xfId="2182" xr:uid="{00000000-0005-0000-0000-00009E080000}"/>
    <cellStyle name="쉼표 [0] 4 2 16 4" xfId="2183" xr:uid="{00000000-0005-0000-0000-00009F080000}"/>
    <cellStyle name="쉼표 [0] 4 2 16 5" xfId="2184" xr:uid="{00000000-0005-0000-0000-0000A0080000}"/>
    <cellStyle name="쉼표 [0] 4 2 16 6" xfId="2185" xr:uid="{00000000-0005-0000-0000-0000A1080000}"/>
    <cellStyle name="쉼표 [0] 4 2 17" xfId="2186" xr:uid="{00000000-0005-0000-0000-0000A2080000}"/>
    <cellStyle name="쉼표 [0] 4 2 17 2" xfId="2187" xr:uid="{00000000-0005-0000-0000-0000A3080000}"/>
    <cellStyle name="쉼표 [0] 4 2 17 2 2" xfId="2188" xr:uid="{00000000-0005-0000-0000-0000A4080000}"/>
    <cellStyle name="쉼표 [0] 4 2 17 2 2 2" xfId="2189" xr:uid="{00000000-0005-0000-0000-0000A5080000}"/>
    <cellStyle name="쉼표 [0] 4 2 17 3" xfId="2190" xr:uid="{00000000-0005-0000-0000-0000A6080000}"/>
    <cellStyle name="쉼표 [0] 4 2 17 4" xfId="2191" xr:uid="{00000000-0005-0000-0000-0000A7080000}"/>
    <cellStyle name="쉼표 [0] 4 2 17 5" xfId="2192" xr:uid="{00000000-0005-0000-0000-0000A8080000}"/>
    <cellStyle name="쉼표 [0] 4 2 17 6" xfId="2193" xr:uid="{00000000-0005-0000-0000-0000A9080000}"/>
    <cellStyle name="쉼표 [0] 4 2 18" xfId="2194" xr:uid="{00000000-0005-0000-0000-0000AA080000}"/>
    <cellStyle name="쉼표 [0] 4 2 18 2" xfId="2195" xr:uid="{00000000-0005-0000-0000-0000AB080000}"/>
    <cellStyle name="쉼표 [0] 4 2 18 2 2" xfId="2196" xr:uid="{00000000-0005-0000-0000-0000AC080000}"/>
    <cellStyle name="쉼표 [0] 4 2 18 2 2 2" xfId="2197" xr:uid="{00000000-0005-0000-0000-0000AD080000}"/>
    <cellStyle name="쉼표 [0] 4 2 18 3" xfId="2198" xr:uid="{00000000-0005-0000-0000-0000AE080000}"/>
    <cellStyle name="쉼표 [0] 4 2 18 4" xfId="2199" xr:uid="{00000000-0005-0000-0000-0000AF080000}"/>
    <cellStyle name="쉼표 [0] 4 2 18 5" xfId="2200" xr:uid="{00000000-0005-0000-0000-0000B0080000}"/>
    <cellStyle name="쉼표 [0] 4 2 18 6" xfId="2201" xr:uid="{00000000-0005-0000-0000-0000B1080000}"/>
    <cellStyle name="쉼표 [0] 4 2 19" xfId="2202" xr:uid="{00000000-0005-0000-0000-0000B2080000}"/>
    <cellStyle name="쉼표 [0] 4 2 19 2" xfId="2203" xr:uid="{00000000-0005-0000-0000-0000B3080000}"/>
    <cellStyle name="쉼표 [0] 4 2 19 2 2" xfId="2204" xr:uid="{00000000-0005-0000-0000-0000B4080000}"/>
    <cellStyle name="쉼표 [0] 4 2 19 2 2 2" xfId="2205" xr:uid="{00000000-0005-0000-0000-0000B5080000}"/>
    <cellStyle name="쉼표 [0] 4 2 19 3" xfId="2206" xr:uid="{00000000-0005-0000-0000-0000B6080000}"/>
    <cellStyle name="쉼표 [0] 4 2 19 4" xfId="2207" xr:uid="{00000000-0005-0000-0000-0000B7080000}"/>
    <cellStyle name="쉼표 [0] 4 2 19 5" xfId="2208" xr:uid="{00000000-0005-0000-0000-0000B8080000}"/>
    <cellStyle name="쉼표 [0] 4 2 19 6" xfId="2209" xr:uid="{00000000-0005-0000-0000-0000B9080000}"/>
    <cellStyle name="쉼표 [0] 4 2 2" xfId="2210" xr:uid="{00000000-0005-0000-0000-0000BA080000}"/>
    <cellStyle name="쉼표 [0] 4 2 2 2" xfId="2211" xr:uid="{00000000-0005-0000-0000-0000BB080000}"/>
    <cellStyle name="쉼표 [0] 4 2 2 2 2" xfId="2212" xr:uid="{00000000-0005-0000-0000-0000BC080000}"/>
    <cellStyle name="쉼표 [0] 4 2 2 2 2 2" xfId="2213" xr:uid="{00000000-0005-0000-0000-0000BD080000}"/>
    <cellStyle name="쉼표 [0] 4 2 2 2 2 3" xfId="2214" xr:uid="{00000000-0005-0000-0000-0000BE080000}"/>
    <cellStyle name="쉼표 [0] 4 2 2 2 2 4" xfId="2215" xr:uid="{00000000-0005-0000-0000-0000BF080000}"/>
    <cellStyle name="쉼표 [0] 4 2 2 2 2 5" xfId="2216" xr:uid="{00000000-0005-0000-0000-0000C0080000}"/>
    <cellStyle name="쉼표 [0] 4 2 2 2 2 5 2" xfId="2217" xr:uid="{00000000-0005-0000-0000-0000C1080000}"/>
    <cellStyle name="쉼표 [0] 4 2 2 2 2 6" xfId="2218" xr:uid="{00000000-0005-0000-0000-0000C2080000}"/>
    <cellStyle name="쉼표 [0] 4 2 2 2 3" xfId="2219" xr:uid="{00000000-0005-0000-0000-0000C3080000}"/>
    <cellStyle name="쉼표 [0] 4 2 2 2 3 2" xfId="2220" xr:uid="{00000000-0005-0000-0000-0000C4080000}"/>
    <cellStyle name="쉼표 [0] 4 2 2 2 3 3" xfId="2221" xr:uid="{00000000-0005-0000-0000-0000C5080000}"/>
    <cellStyle name="쉼표 [0] 4 2 2 2 3 4" xfId="2222" xr:uid="{00000000-0005-0000-0000-0000C6080000}"/>
    <cellStyle name="쉼표 [0] 4 2 2 2 3 5" xfId="2223" xr:uid="{00000000-0005-0000-0000-0000C7080000}"/>
    <cellStyle name="쉼표 [0] 4 2 2 2 4" xfId="2224" xr:uid="{00000000-0005-0000-0000-0000C8080000}"/>
    <cellStyle name="쉼표 [0] 4 2 2 2 4 2" xfId="2225" xr:uid="{00000000-0005-0000-0000-0000C9080000}"/>
    <cellStyle name="쉼표 [0] 4 2 2 2 4 3" xfId="2226" xr:uid="{00000000-0005-0000-0000-0000CA080000}"/>
    <cellStyle name="쉼표 [0] 4 2 2 2 4 4" xfId="2227" xr:uid="{00000000-0005-0000-0000-0000CB080000}"/>
    <cellStyle name="쉼표 [0] 4 2 2 2 4 5" xfId="2228" xr:uid="{00000000-0005-0000-0000-0000CC080000}"/>
    <cellStyle name="쉼표 [0] 4 2 2 2 5" xfId="2229" xr:uid="{00000000-0005-0000-0000-0000CD080000}"/>
    <cellStyle name="쉼표 [0] 4 2 2 3" xfId="2230" xr:uid="{00000000-0005-0000-0000-0000CE080000}"/>
    <cellStyle name="쉼표 [0] 4 2 2 4" xfId="2231" xr:uid="{00000000-0005-0000-0000-0000CF080000}"/>
    <cellStyle name="쉼표 [0] 4 2 2 5" xfId="2232" xr:uid="{00000000-0005-0000-0000-0000D0080000}"/>
    <cellStyle name="쉼표 [0] 4 2 2 6" xfId="2233" xr:uid="{00000000-0005-0000-0000-0000D1080000}"/>
    <cellStyle name="쉼표 [0] 4 2 2 7" xfId="2234" xr:uid="{00000000-0005-0000-0000-0000D2080000}"/>
    <cellStyle name="쉼표 [0] 4 2 2 8" xfId="2235" xr:uid="{00000000-0005-0000-0000-0000D3080000}"/>
    <cellStyle name="쉼표 [0] 4 2 2 9" xfId="2236" xr:uid="{00000000-0005-0000-0000-0000D4080000}"/>
    <cellStyle name="쉼표 [0] 4 2 20" xfId="2237" xr:uid="{00000000-0005-0000-0000-0000D5080000}"/>
    <cellStyle name="쉼표 [0] 4 2 20 2" xfId="2238" xr:uid="{00000000-0005-0000-0000-0000D6080000}"/>
    <cellStyle name="쉼표 [0] 4 2 20 2 2" xfId="2239" xr:uid="{00000000-0005-0000-0000-0000D7080000}"/>
    <cellStyle name="쉼표 [0] 4 2 20 2 2 2" xfId="2240" xr:uid="{00000000-0005-0000-0000-0000D8080000}"/>
    <cellStyle name="쉼표 [0] 4 2 20 3" xfId="2241" xr:uid="{00000000-0005-0000-0000-0000D9080000}"/>
    <cellStyle name="쉼표 [0] 4 2 20 4" xfId="2242" xr:uid="{00000000-0005-0000-0000-0000DA080000}"/>
    <cellStyle name="쉼표 [0] 4 2 20 5" xfId="2243" xr:uid="{00000000-0005-0000-0000-0000DB080000}"/>
    <cellStyle name="쉼표 [0] 4 2 20 6" xfId="2244" xr:uid="{00000000-0005-0000-0000-0000DC080000}"/>
    <cellStyle name="쉼표 [0] 4 2 21" xfId="2245" xr:uid="{00000000-0005-0000-0000-0000DD080000}"/>
    <cellStyle name="쉼표 [0] 4 2 21 2" xfId="2246" xr:uid="{00000000-0005-0000-0000-0000DE080000}"/>
    <cellStyle name="쉼표 [0] 4 2 21 2 2" xfId="2247" xr:uid="{00000000-0005-0000-0000-0000DF080000}"/>
    <cellStyle name="쉼표 [0] 4 2 21 2 2 2" xfId="2248" xr:uid="{00000000-0005-0000-0000-0000E0080000}"/>
    <cellStyle name="쉼표 [0] 4 2 21 3" xfId="2249" xr:uid="{00000000-0005-0000-0000-0000E1080000}"/>
    <cellStyle name="쉼표 [0] 4 2 21 4" xfId="2250" xr:uid="{00000000-0005-0000-0000-0000E2080000}"/>
    <cellStyle name="쉼표 [0] 4 2 21 5" xfId="2251" xr:uid="{00000000-0005-0000-0000-0000E3080000}"/>
    <cellStyle name="쉼표 [0] 4 2 21 6" xfId="2252" xr:uid="{00000000-0005-0000-0000-0000E4080000}"/>
    <cellStyle name="쉼표 [0] 4 2 22" xfId="2253" xr:uid="{00000000-0005-0000-0000-0000E5080000}"/>
    <cellStyle name="쉼표 [0] 4 2 22 2" xfId="2254" xr:uid="{00000000-0005-0000-0000-0000E6080000}"/>
    <cellStyle name="쉼표 [0] 4 2 22 2 2" xfId="2255" xr:uid="{00000000-0005-0000-0000-0000E7080000}"/>
    <cellStyle name="쉼표 [0] 4 2 22 2 2 2" xfId="2256" xr:uid="{00000000-0005-0000-0000-0000E8080000}"/>
    <cellStyle name="쉼표 [0] 4 2 22 3" xfId="2257" xr:uid="{00000000-0005-0000-0000-0000E9080000}"/>
    <cellStyle name="쉼표 [0] 4 2 22 4" xfId="2258" xr:uid="{00000000-0005-0000-0000-0000EA080000}"/>
    <cellStyle name="쉼표 [0] 4 2 22 5" xfId="2259" xr:uid="{00000000-0005-0000-0000-0000EB080000}"/>
    <cellStyle name="쉼표 [0] 4 2 22 6" xfId="2260" xr:uid="{00000000-0005-0000-0000-0000EC080000}"/>
    <cellStyle name="쉼표 [0] 4 2 23" xfId="2261" xr:uid="{00000000-0005-0000-0000-0000ED080000}"/>
    <cellStyle name="쉼표 [0] 4 2 23 2" xfId="2262" xr:uid="{00000000-0005-0000-0000-0000EE080000}"/>
    <cellStyle name="쉼표 [0] 4 2 23 2 2" xfId="2263" xr:uid="{00000000-0005-0000-0000-0000EF080000}"/>
    <cellStyle name="쉼표 [0] 4 2 23 2 2 2" xfId="2264" xr:uid="{00000000-0005-0000-0000-0000F0080000}"/>
    <cellStyle name="쉼표 [0] 4 2 23 3" xfId="2265" xr:uid="{00000000-0005-0000-0000-0000F1080000}"/>
    <cellStyle name="쉼표 [0] 4 2 23 4" xfId="2266" xr:uid="{00000000-0005-0000-0000-0000F2080000}"/>
    <cellStyle name="쉼표 [0] 4 2 23 5" xfId="2267" xr:uid="{00000000-0005-0000-0000-0000F3080000}"/>
    <cellStyle name="쉼표 [0] 4 2 23 6" xfId="2268" xr:uid="{00000000-0005-0000-0000-0000F4080000}"/>
    <cellStyle name="쉼표 [0] 4 2 24" xfId="2269" xr:uid="{00000000-0005-0000-0000-0000F5080000}"/>
    <cellStyle name="쉼표 [0] 4 2 24 2" xfId="2270" xr:uid="{00000000-0005-0000-0000-0000F6080000}"/>
    <cellStyle name="쉼표 [0] 4 2 24 2 2" xfId="2271" xr:uid="{00000000-0005-0000-0000-0000F7080000}"/>
    <cellStyle name="쉼표 [0] 4 2 24 2 2 2" xfId="2272" xr:uid="{00000000-0005-0000-0000-0000F8080000}"/>
    <cellStyle name="쉼표 [0] 4 2 24 3" xfId="2273" xr:uid="{00000000-0005-0000-0000-0000F9080000}"/>
    <cellStyle name="쉼표 [0] 4 2 24 4" xfId="2274" xr:uid="{00000000-0005-0000-0000-0000FA080000}"/>
    <cellStyle name="쉼표 [0] 4 2 24 5" xfId="2275" xr:uid="{00000000-0005-0000-0000-0000FB080000}"/>
    <cellStyle name="쉼표 [0] 4 2 24 6" xfId="2276" xr:uid="{00000000-0005-0000-0000-0000FC080000}"/>
    <cellStyle name="쉼표 [0] 4 2 25" xfId="2277" xr:uid="{00000000-0005-0000-0000-0000FD080000}"/>
    <cellStyle name="쉼표 [0] 4 2 25 2" xfId="2278" xr:uid="{00000000-0005-0000-0000-0000FE080000}"/>
    <cellStyle name="쉼표 [0] 4 2 25 2 2" xfId="2279" xr:uid="{00000000-0005-0000-0000-0000FF080000}"/>
    <cellStyle name="쉼표 [0] 4 2 25 2 2 2" xfId="2280" xr:uid="{00000000-0005-0000-0000-000000090000}"/>
    <cellStyle name="쉼표 [0] 4 2 25 3" xfId="2281" xr:uid="{00000000-0005-0000-0000-000001090000}"/>
    <cellStyle name="쉼표 [0] 4 2 25 4" xfId="2282" xr:uid="{00000000-0005-0000-0000-000002090000}"/>
    <cellStyle name="쉼표 [0] 4 2 25 5" xfId="2283" xr:uid="{00000000-0005-0000-0000-000003090000}"/>
    <cellStyle name="쉼표 [0] 4 2 25 6" xfId="2284" xr:uid="{00000000-0005-0000-0000-000004090000}"/>
    <cellStyle name="쉼표 [0] 4 2 26" xfId="2285" xr:uid="{00000000-0005-0000-0000-000005090000}"/>
    <cellStyle name="쉼표 [0] 4 2 26 2" xfId="2286" xr:uid="{00000000-0005-0000-0000-000006090000}"/>
    <cellStyle name="쉼표 [0] 4 2 26 2 2" xfId="2287" xr:uid="{00000000-0005-0000-0000-000007090000}"/>
    <cellStyle name="쉼표 [0] 4 2 26 2 2 2" xfId="2288" xr:uid="{00000000-0005-0000-0000-000008090000}"/>
    <cellStyle name="쉼표 [0] 4 2 26 3" xfId="2289" xr:uid="{00000000-0005-0000-0000-000009090000}"/>
    <cellStyle name="쉼표 [0] 4 2 26 4" xfId="2290" xr:uid="{00000000-0005-0000-0000-00000A090000}"/>
    <cellStyle name="쉼표 [0] 4 2 26 5" xfId="2291" xr:uid="{00000000-0005-0000-0000-00000B090000}"/>
    <cellStyle name="쉼표 [0] 4 2 26 6" xfId="2292" xr:uid="{00000000-0005-0000-0000-00000C090000}"/>
    <cellStyle name="쉼표 [0] 4 2 27" xfId="2293" xr:uid="{00000000-0005-0000-0000-00000D090000}"/>
    <cellStyle name="쉼표 [0] 4 2 27 2" xfId="2294" xr:uid="{00000000-0005-0000-0000-00000E090000}"/>
    <cellStyle name="쉼표 [0] 4 2 27 2 2" xfId="2295" xr:uid="{00000000-0005-0000-0000-00000F090000}"/>
    <cellStyle name="쉼표 [0] 4 2 27 2 2 2" xfId="2296" xr:uid="{00000000-0005-0000-0000-000010090000}"/>
    <cellStyle name="쉼표 [0] 4 2 27 3" xfId="2297" xr:uid="{00000000-0005-0000-0000-000011090000}"/>
    <cellStyle name="쉼표 [0] 4 2 27 4" xfId="2298" xr:uid="{00000000-0005-0000-0000-000012090000}"/>
    <cellStyle name="쉼표 [0] 4 2 27 5" xfId="2299" xr:uid="{00000000-0005-0000-0000-000013090000}"/>
    <cellStyle name="쉼표 [0] 4 2 27 6" xfId="2300" xr:uid="{00000000-0005-0000-0000-000014090000}"/>
    <cellStyle name="쉼표 [0] 4 2 28" xfId="2301" xr:uid="{00000000-0005-0000-0000-000015090000}"/>
    <cellStyle name="쉼표 [0] 4 2 28 2" xfId="2302" xr:uid="{00000000-0005-0000-0000-000016090000}"/>
    <cellStyle name="쉼표 [0] 4 2 28 2 2" xfId="2303" xr:uid="{00000000-0005-0000-0000-000017090000}"/>
    <cellStyle name="쉼표 [0] 4 2 28 2 2 2" xfId="2304" xr:uid="{00000000-0005-0000-0000-000018090000}"/>
    <cellStyle name="쉼표 [0] 4 2 28 3" xfId="2305" xr:uid="{00000000-0005-0000-0000-000019090000}"/>
    <cellStyle name="쉼표 [0] 4 2 28 4" xfId="2306" xr:uid="{00000000-0005-0000-0000-00001A090000}"/>
    <cellStyle name="쉼표 [0] 4 2 28 5" xfId="2307" xr:uid="{00000000-0005-0000-0000-00001B090000}"/>
    <cellStyle name="쉼표 [0] 4 2 28 6" xfId="2308" xr:uid="{00000000-0005-0000-0000-00001C090000}"/>
    <cellStyle name="쉼표 [0] 4 2 29" xfId="2309" xr:uid="{00000000-0005-0000-0000-00001D090000}"/>
    <cellStyle name="쉼표 [0] 4 2 29 2" xfId="2310" xr:uid="{00000000-0005-0000-0000-00001E090000}"/>
    <cellStyle name="쉼표 [0] 4 2 29 2 2" xfId="2311" xr:uid="{00000000-0005-0000-0000-00001F090000}"/>
    <cellStyle name="쉼표 [0] 4 2 29 2 2 2" xfId="2312" xr:uid="{00000000-0005-0000-0000-000020090000}"/>
    <cellStyle name="쉼표 [0] 4 2 29 3" xfId="2313" xr:uid="{00000000-0005-0000-0000-000021090000}"/>
    <cellStyle name="쉼표 [0] 4 2 29 4" xfId="2314" xr:uid="{00000000-0005-0000-0000-000022090000}"/>
    <cellStyle name="쉼표 [0] 4 2 29 5" xfId="2315" xr:uid="{00000000-0005-0000-0000-000023090000}"/>
    <cellStyle name="쉼표 [0] 4 2 29 6" xfId="2316" xr:uid="{00000000-0005-0000-0000-000024090000}"/>
    <cellStyle name="쉼표 [0] 4 2 3" xfId="2317" xr:uid="{00000000-0005-0000-0000-000025090000}"/>
    <cellStyle name="쉼표 [0] 4 2 3 2" xfId="2318" xr:uid="{00000000-0005-0000-0000-000026090000}"/>
    <cellStyle name="쉼표 [0] 4 2 3 2 2" xfId="2319" xr:uid="{00000000-0005-0000-0000-000027090000}"/>
    <cellStyle name="쉼표 [0] 4 2 3 2 2 2" xfId="2320" xr:uid="{00000000-0005-0000-0000-000028090000}"/>
    <cellStyle name="쉼표 [0] 4 2 3 3" xfId="2321" xr:uid="{00000000-0005-0000-0000-000029090000}"/>
    <cellStyle name="쉼표 [0] 4 2 3 4" xfId="2322" xr:uid="{00000000-0005-0000-0000-00002A090000}"/>
    <cellStyle name="쉼표 [0] 4 2 3 5" xfId="2323" xr:uid="{00000000-0005-0000-0000-00002B090000}"/>
    <cellStyle name="쉼표 [0] 4 2 3 6" xfId="2324" xr:uid="{00000000-0005-0000-0000-00002C090000}"/>
    <cellStyle name="쉼표 [0] 4 2 30" xfId="2325" xr:uid="{00000000-0005-0000-0000-00002D090000}"/>
    <cellStyle name="쉼표 [0] 4 2 30 2" xfId="2326" xr:uid="{00000000-0005-0000-0000-00002E090000}"/>
    <cellStyle name="쉼표 [0] 4 2 30 2 2" xfId="2327" xr:uid="{00000000-0005-0000-0000-00002F090000}"/>
    <cellStyle name="쉼표 [0] 4 2 30 2 2 2" xfId="2328" xr:uid="{00000000-0005-0000-0000-000030090000}"/>
    <cellStyle name="쉼표 [0] 4 2 30 3" xfId="2329" xr:uid="{00000000-0005-0000-0000-000031090000}"/>
    <cellStyle name="쉼표 [0] 4 2 30 4" xfId="2330" xr:uid="{00000000-0005-0000-0000-000032090000}"/>
    <cellStyle name="쉼표 [0] 4 2 30 5" xfId="2331" xr:uid="{00000000-0005-0000-0000-000033090000}"/>
    <cellStyle name="쉼표 [0] 4 2 30 6" xfId="2332" xr:uid="{00000000-0005-0000-0000-000034090000}"/>
    <cellStyle name="쉼표 [0] 4 2 31" xfId="2333" xr:uid="{00000000-0005-0000-0000-000035090000}"/>
    <cellStyle name="쉼표 [0] 4 2 31 2" xfId="2334" xr:uid="{00000000-0005-0000-0000-000036090000}"/>
    <cellStyle name="쉼표 [0] 4 2 31 2 2" xfId="2335" xr:uid="{00000000-0005-0000-0000-000037090000}"/>
    <cellStyle name="쉼표 [0] 4 2 31 2 2 2" xfId="2336" xr:uid="{00000000-0005-0000-0000-000038090000}"/>
    <cellStyle name="쉼표 [0] 4 2 31 3" xfId="2337" xr:uid="{00000000-0005-0000-0000-000039090000}"/>
    <cellStyle name="쉼표 [0] 4 2 31 4" xfId="2338" xr:uid="{00000000-0005-0000-0000-00003A090000}"/>
    <cellStyle name="쉼표 [0] 4 2 31 5" xfId="2339" xr:uid="{00000000-0005-0000-0000-00003B090000}"/>
    <cellStyle name="쉼표 [0] 4 2 31 6" xfId="2340" xr:uid="{00000000-0005-0000-0000-00003C090000}"/>
    <cellStyle name="쉼표 [0] 4 2 32" xfId="2341" xr:uid="{00000000-0005-0000-0000-00003D090000}"/>
    <cellStyle name="쉼표 [0] 4 2 32 2" xfId="2342" xr:uid="{00000000-0005-0000-0000-00003E090000}"/>
    <cellStyle name="쉼표 [0] 4 2 32 2 2" xfId="2343" xr:uid="{00000000-0005-0000-0000-00003F090000}"/>
    <cellStyle name="쉼표 [0] 4 2 32 2 2 2" xfId="2344" xr:uid="{00000000-0005-0000-0000-000040090000}"/>
    <cellStyle name="쉼표 [0] 4 2 32 3" xfId="2345" xr:uid="{00000000-0005-0000-0000-000041090000}"/>
    <cellStyle name="쉼표 [0] 4 2 32 4" xfId="2346" xr:uid="{00000000-0005-0000-0000-000042090000}"/>
    <cellStyle name="쉼표 [0] 4 2 32 5" xfId="2347" xr:uid="{00000000-0005-0000-0000-000043090000}"/>
    <cellStyle name="쉼표 [0] 4 2 32 6" xfId="2348" xr:uid="{00000000-0005-0000-0000-000044090000}"/>
    <cellStyle name="쉼표 [0] 4 2 33" xfId="2349" xr:uid="{00000000-0005-0000-0000-000045090000}"/>
    <cellStyle name="쉼표 [0] 4 2 33 2" xfId="2350" xr:uid="{00000000-0005-0000-0000-000046090000}"/>
    <cellStyle name="쉼표 [0] 4 2 33 2 2" xfId="2351" xr:uid="{00000000-0005-0000-0000-000047090000}"/>
    <cellStyle name="쉼표 [0] 4 2 33 2 2 2" xfId="2352" xr:uid="{00000000-0005-0000-0000-000048090000}"/>
    <cellStyle name="쉼표 [0] 4 2 33 3" xfId="2353" xr:uid="{00000000-0005-0000-0000-000049090000}"/>
    <cellStyle name="쉼표 [0] 4 2 33 4" xfId="2354" xr:uid="{00000000-0005-0000-0000-00004A090000}"/>
    <cellStyle name="쉼표 [0] 4 2 33 5" xfId="2355" xr:uid="{00000000-0005-0000-0000-00004B090000}"/>
    <cellStyle name="쉼표 [0] 4 2 33 6" xfId="2356" xr:uid="{00000000-0005-0000-0000-00004C090000}"/>
    <cellStyle name="쉼표 [0] 4 2 34" xfId="2357" xr:uid="{00000000-0005-0000-0000-00004D090000}"/>
    <cellStyle name="쉼표 [0] 4 2 34 2" xfId="2358" xr:uid="{00000000-0005-0000-0000-00004E090000}"/>
    <cellStyle name="쉼표 [0] 4 2 34 2 2" xfId="2359" xr:uid="{00000000-0005-0000-0000-00004F090000}"/>
    <cellStyle name="쉼표 [0] 4 2 34 2 2 2" xfId="2360" xr:uid="{00000000-0005-0000-0000-000050090000}"/>
    <cellStyle name="쉼표 [0] 4 2 34 3" xfId="2361" xr:uid="{00000000-0005-0000-0000-000051090000}"/>
    <cellStyle name="쉼표 [0] 4 2 34 4" xfId="2362" xr:uid="{00000000-0005-0000-0000-000052090000}"/>
    <cellStyle name="쉼표 [0] 4 2 34 5" xfId="2363" xr:uid="{00000000-0005-0000-0000-000053090000}"/>
    <cellStyle name="쉼표 [0] 4 2 34 6" xfId="2364" xr:uid="{00000000-0005-0000-0000-000054090000}"/>
    <cellStyle name="쉼표 [0] 4 2 35" xfId="2365" xr:uid="{00000000-0005-0000-0000-000055090000}"/>
    <cellStyle name="쉼표 [0] 4 2 35 2" xfId="2366" xr:uid="{00000000-0005-0000-0000-000056090000}"/>
    <cellStyle name="쉼표 [0] 4 2 35 2 2" xfId="2367" xr:uid="{00000000-0005-0000-0000-000057090000}"/>
    <cellStyle name="쉼표 [0] 4 2 35 2 2 2" xfId="2368" xr:uid="{00000000-0005-0000-0000-000058090000}"/>
    <cellStyle name="쉼표 [0] 4 2 35 3" xfId="2369" xr:uid="{00000000-0005-0000-0000-000059090000}"/>
    <cellStyle name="쉼표 [0] 4 2 35 4" xfId="2370" xr:uid="{00000000-0005-0000-0000-00005A090000}"/>
    <cellStyle name="쉼표 [0] 4 2 35 5" xfId="2371" xr:uid="{00000000-0005-0000-0000-00005B090000}"/>
    <cellStyle name="쉼표 [0] 4 2 35 6" xfId="2372" xr:uid="{00000000-0005-0000-0000-00005C090000}"/>
    <cellStyle name="쉼표 [0] 4 2 36" xfId="2373" xr:uid="{00000000-0005-0000-0000-00005D090000}"/>
    <cellStyle name="쉼표 [0] 4 2 36 2" xfId="2374" xr:uid="{00000000-0005-0000-0000-00005E090000}"/>
    <cellStyle name="쉼표 [0] 4 2 36 3" xfId="2375" xr:uid="{00000000-0005-0000-0000-00005F090000}"/>
    <cellStyle name="쉼표 [0] 4 2 36 4" xfId="2376" xr:uid="{00000000-0005-0000-0000-000060090000}"/>
    <cellStyle name="쉼표 [0] 4 2 36 5" xfId="2377" xr:uid="{00000000-0005-0000-0000-000061090000}"/>
    <cellStyle name="쉼표 [0] 4 2 36 5 2" xfId="2378" xr:uid="{00000000-0005-0000-0000-000062090000}"/>
    <cellStyle name="쉼표 [0] 4 2 36 6" xfId="2379" xr:uid="{00000000-0005-0000-0000-000063090000}"/>
    <cellStyle name="쉼표 [0] 4 2 37" xfId="2380" xr:uid="{00000000-0005-0000-0000-000064090000}"/>
    <cellStyle name="쉼표 [0] 4 2 37 2" xfId="2381" xr:uid="{00000000-0005-0000-0000-000065090000}"/>
    <cellStyle name="쉼표 [0] 4 2 37 3" xfId="2382" xr:uid="{00000000-0005-0000-0000-000066090000}"/>
    <cellStyle name="쉼표 [0] 4 2 37 4" xfId="2383" xr:uid="{00000000-0005-0000-0000-000067090000}"/>
    <cellStyle name="쉼표 [0] 4 2 37 5" xfId="2384" xr:uid="{00000000-0005-0000-0000-000068090000}"/>
    <cellStyle name="쉼표 [0] 4 2 38" xfId="2385" xr:uid="{00000000-0005-0000-0000-000069090000}"/>
    <cellStyle name="쉼표 [0] 4 2 38 2" xfId="2386" xr:uid="{00000000-0005-0000-0000-00006A090000}"/>
    <cellStyle name="쉼표 [0] 4 2 38 3" xfId="2387" xr:uid="{00000000-0005-0000-0000-00006B090000}"/>
    <cellStyle name="쉼표 [0] 4 2 38 4" xfId="2388" xr:uid="{00000000-0005-0000-0000-00006C090000}"/>
    <cellStyle name="쉼표 [0] 4 2 38 5" xfId="2389" xr:uid="{00000000-0005-0000-0000-00006D090000}"/>
    <cellStyle name="쉼표 [0] 4 2 39" xfId="2390" xr:uid="{00000000-0005-0000-0000-00006E090000}"/>
    <cellStyle name="쉼표 [0] 4 2 39 2" xfId="2391" xr:uid="{00000000-0005-0000-0000-00006F090000}"/>
    <cellStyle name="쉼표 [0] 4 2 4" xfId="2392" xr:uid="{00000000-0005-0000-0000-000070090000}"/>
    <cellStyle name="쉼표 [0] 4 2 4 2" xfId="2393" xr:uid="{00000000-0005-0000-0000-000071090000}"/>
    <cellStyle name="쉼표 [0] 4 2 4 2 2" xfId="2394" xr:uid="{00000000-0005-0000-0000-000072090000}"/>
    <cellStyle name="쉼표 [0] 4 2 4 2 2 2" xfId="2395" xr:uid="{00000000-0005-0000-0000-000073090000}"/>
    <cellStyle name="쉼표 [0] 4 2 4 3" xfId="2396" xr:uid="{00000000-0005-0000-0000-000074090000}"/>
    <cellStyle name="쉼표 [0] 4 2 4 4" xfId="2397" xr:uid="{00000000-0005-0000-0000-000075090000}"/>
    <cellStyle name="쉼표 [0] 4 2 4 5" xfId="2398" xr:uid="{00000000-0005-0000-0000-000076090000}"/>
    <cellStyle name="쉼표 [0] 4 2 4 6" xfId="2399" xr:uid="{00000000-0005-0000-0000-000077090000}"/>
    <cellStyle name="쉼표 [0] 4 2 40" xfId="2400" xr:uid="{00000000-0005-0000-0000-000078090000}"/>
    <cellStyle name="쉼표 [0] 4 2 5" xfId="2401" xr:uid="{00000000-0005-0000-0000-000079090000}"/>
    <cellStyle name="쉼표 [0] 4 2 5 2" xfId="2402" xr:uid="{00000000-0005-0000-0000-00007A090000}"/>
    <cellStyle name="쉼표 [0] 4 2 5 2 2" xfId="2403" xr:uid="{00000000-0005-0000-0000-00007B090000}"/>
    <cellStyle name="쉼표 [0] 4 2 5 2 2 2" xfId="2404" xr:uid="{00000000-0005-0000-0000-00007C090000}"/>
    <cellStyle name="쉼표 [0] 4 2 5 3" xfId="2405" xr:uid="{00000000-0005-0000-0000-00007D090000}"/>
    <cellStyle name="쉼표 [0] 4 2 5 4" xfId="2406" xr:uid="{00000000-0005-0000-0000-00007E090000}"/>
    <cellStyle name="쉼표 [0] 4 2 5 5" xfId="2407" xr:uid="{00000000-0005-0000-0000-00007F090000}"/>
    <cellStyle name="쉼표 [0] 4 2 5 6" xfId="2408" xr:uid="{00000000-0005-0000-0000-000080090000}"/>
    <cellStyle name="쉼표 [0] 4 2 6" xfId="2409" xr:uid="{00000000-0005-0000-0000-000081090000}"/>
    <cellStyle name="쉼표 [0] 4 2 6 2" xfId="2410" xr:uid="{00000000-0005-0000-0000-000082090000}"/>
    <cellStyle name="쉼표 [0] 4 2 6 2 2" xfId="2411" xr:uid="{00000000-0005-0000-0000-000083090000}"/>
    <cellStyle name="쉼표 [0] 4 2 6 2 2 2" xfId="2412" xr:uid="{00000000-0005-0000-0000-000084090000}"/>
    <cellStyle name="쉼표 [0] 4 2 6 3" xfId="2413" xr:uid="{00000000-0005-0000-0000-000085090000}"/>
    <cellStyle name="쉼표 [0] 4 2 6 4" xfId="2414" xr:uid="{00000000-0005-0000-0000-000086090000}"/>
    <cellStyle name="쉼표 [0] 4 2 6 5" xfId="2415" xr:uid="{00000000-0005-0000-0000-000087090000}"/>
    <cellStyle name="쉼표 [0] 4 2 6 6" xfId="2416" xr:uid="{00000000-0005-0000-0000-000088090000}"/>
    <cellStyle name="쉼표 [0] 4 2 7" xfId="2417" xr:uid="{00000000-0005-0000-0000-000089090000}"/>
    <cellStyle name="쉼표 [0] 4 2 7 2" xfId="2418" xr:uid="{00000000-0005-0000-0000-00008A090000}"/>
    <cellStyle name="쉼표 [0] 4 2 7 2 2" xfId="2419" xr:uid="{00000000-0005-0000-0000-00008B090000}"/>
    <cellStyle name="쉼표 [0] 4 2 7 2 2 2" xfId="2420" xr:uid="{00000000-0005-0000-0000-00008C090000}"/>
    <cellStyle name="쉼표 [0] 4 2 7 3" xfId="2421" xr:uid="{00000000-0005-0000-0000-00008D090000}"/>
    <cellStyle name="쉼표 [0] 4 2 7 4" xfId="2422" xr:uid="{00000000-0005-0000-0000-00008E090000}"/>
    <cellStyle name="쉼표 [0] 4 2 7 5" xfId="2423" xr:uid="{00000000-0005-0000-0000-00008F090000}"/>
    <cellStyle name="쉼표 [0] 4 2 7 6" xfId="2424" xr:uid="{00000000-0005-0000-0000-000090090000}"/>
    <cellStyle name="쉼표 [0] 4 2 8" xfId="2425" xr:uid="{00000000-0005-0000-0000-000091090000}"/>
    <cellStyle name="쉼표 [0] 4 2 8 2" xfId="2426" xr:uid="{00000000-0005-0000-0000-000092090000}"/>
    <cellStyle name="쉼표 [0] 4 2 8 2 2" xfId="2427" xr:uid="{00000000-0005-0000-0000-000093090000}"/>
    <cellStyle name="쉼표 [0] 4 2 8 2 2 2" xfId="2428" xr:uid="{00000000-0005-0000-0000-000094090000}"/>
    <cellStyle name="쉼표 [0] 4 2 8 3" xfId="2429" xr:uid="{00000000-0005-0000-0000-000095090000}"/>
    <cellStyle name="쉼표 [0] 4 2 8 4" xfId="2430" xr:uid="{00000000-0005-0000-0000-000096090000}"/>
    <cellStyle name="쉼표 [0] 4 2 8 5" xfId="2431" xr:uid="{00000000-0005-0000-0000-000097090000}"/>
    <cellStyle name="쉼표 [0] 4 2 8 6" xfId="2432" xr:uid="{00000000-0005-0000-0000-000098090000}"/>
    <cellStyle name="쉼표 [0] 4 2 9" xfId="2433" xr:uid="{00000000-0005-0000-0000-000099090000}"/>
    <cellStyle name="쉼표 [0] 4 2 9 2" xfId="2434" xr:uid="{00000000-0005-0000-0000-00009A090000}"/>
    <cellStyle name="쉼표 [0] 4 2 9 2 2" xfId="2435" xr:uid="{00000000-0005-0000-0000-00009B090000}"/>
    <cellStyle name="쉼표 [0] 4 2 9 2 2 2" xfId="2436" xr:uid="{00000000-0005-0000-0000-00009C090000}"/>
    <cellStyle name="쉼표 [0] 4 2 9 3" xfId="2437" xr:uid="{00000000-0005-0000-0000-00009D090000}"/>
    <cellStyle name="쉼표 [0] 4 2 9 4" xfId="2438" xr:uid="{00000000-0005-0000-0000-00009E090000}"/>
    <cellStyle name="쉼표 [0] 4 2 9 5" xfId="2439" xr:uid="{00000000-0005-0000-0000-00009F090000}"/>
    <cellStyle name="쉼표 [0] 4 2 9 6" xfId="2440" xr:uid="{00000000-0005-0000-0000-0000A0090000}"/>
    <cellStyle name="쉼표 [0] 4 20" xfId="2441" xr:uid="{00000000-0005-0000-0000-0000A1090000}"/>
    <cellStyle name="쉼표 [0] 4 21" xfId="2442" xr:uid="{00000000-0005-0000-0000-0000A2090000}"/>
    <cellStyle name="쉼표 [0] 4 22" xfId="2443" xr:uid="{00000000-0005-0000-0000-0000A3090000}"/>
    <cellStyle name="쉼표 [0] 4 23" xfId="2444" xr:uid="{00000000-0005-0000-0000-0000A4090000}"/>
    <cellStyle name="쉼표 [0] 4 24" xfId="2445" xr:uid="{00000000-0005-0000-0000-0000A5090000}"/>
    <cellStyle name="쉼표 [0] 4 25" xfId="2446" xr:uid="{00000000-0005-0000-0000-0000A6090000}"/>
    <cellStyle name="쉼표 [0] 4 26" xfId="2447" xr:uid="{00000000-0005-0000-0000-0000A7090000}"/>
    <cellStyle name="쉼표 [0] 4 27" xfId="2448" xr:uid="{00000000-0005-0000-0000-0000A8090000}"/>
    <cellStyle name="쉼표 [0] 4 28" xfId="2449" xr:uid="{00000000-0005-0000-0000-0000A9090000}"/>
    <cellStyle name="쉼표 [0] 4 29" xfId="2450" xr:uid="{00000000-0005-0000-0000-0000AA090000}"/>
    <cellStyle name="쉼표 [0] 4 3" xfId="2451" xr:uid="{00000000-0005-0000-0000-0000AB090000}"/>
    <cellStyle name="쉼표 [0] 4 3 2" xfId="2452" xr:uid="{00000000-0005-0000-0000-0000AC090000}"/>
    <cellStyle name="쉼표 [0] 4 3 2 2" xfId="2453" xr:uid="{00000000-0005-0000-0000-0000AD090000}"/>
    <cellStyle name="쉼표 [0] 4 3 2 2 2" xfId="2454" xr:uid="{00000000-0005-0000-0000-0000AE090000}"/>
    <cellStyle name="쉼표 [0] 4 3 2 3" xfId="2455" xr:uid="{00000000-0005-0000-0000-0000AF090000}"/>
    <cellStyle name="쉼표 [0] 4 3 3" xfId="2456" xr:uid="{00000000-0005-0000-0000-0000B0090000}"/>
    <cellStyle name="쉼표 [0] 4 3 4" xfId="2457" xr:uid="{00000000-0005-0000-0000-0000B1090000}"/>
    <cellStyle name="쉼표 [0] 4 3 5" xfId="2458" xr:uid="{00000000-0005-0000-0000-0000B2090000}"/>
    <cellStyle name="쉼표 [0] 4 3 6" xfId="2459" xr:uid="{00000000-0005-0000-0000-0000B3090000}"/>
    <cellStyle name="쉼표 [0] 4 3 7" xfId="2460" xr:uid="{00000000-0005-0000-0000-0000B4090000}"/>
    <cellStyle name="쉼표 [0] 4 30" xfId="2461" xr:uid="{00000000-0005-0000-0000-0000B5090000}"/>
    <cellStyle name="쉼표 [0] 4 31" xfId="2462" xr:uid="{00000000-0005-0000-0000-0000B6090000}"/>
    <cellStyle name="쉼표 [0] 4 32" xfId="2463" xr:uid="{00000000-0005-0000-0000-0000B7090000}"/>
    <cellStyle name="쉼표 [0] 4 33" xfId="2464" xr:uid="{00000000-0005-0000-0000-0000B8090000}"/>
    <cellStyle name="쉼표 [0] 4 34" xfId="2465" xr:uid="{00000000-0005-0000-0000-0000B9090000}"/>
    <cellStyle name="쉼표 [0] 4 35" xfId="2466" xr:uid="{00000000-0005-0000-0000-0000BA090000}"/>
    <cellStyle name="쉼표 [0] 4 36" xfId="2467" xr:uid="{00000000-0005-0000-0000-0000BB090000}"/>
    <cellStyle name="쉼표 [0] 4 37" xfId="2468" xr:uid="{00000000-0005-0000-0000-0000BC090000}"/>
    <cellStyle name="쉼표 [0] 4 38" xfId="2469" xr:uid="{00000000-0005-0000-0000-0000BD090000}"/>
    <cellStyle name="쉼표 [0] 4 39" xfId="2470" xr:uid="{00000000-0005-0000-0000-0000BE090000}"/>
    <cellStyle name="쉼표 [0] 4 4" xfId="2471" xr:uid="{00000000-0005-0000-0000-0000BF090000}"/>
    <cellStyle name="쉼표 [0] 4 4 2" xfId="2472" xr:uid="{00000000-0005-0000-0000-0000C0090000}"/>
    <cellStyle name="쉼표 [0] 4 4 2 2" xfId="2473" xr:uid="{00000000-0005-0000-0000-0000C1090000}"/>
    <cellStyle name="쉼표 [0] 4 4 2 2 2" xfId="2474" xr:uid="{00000000-0005-0000-0000-0000C2090000}"/>
    <cellStyle name="쉼표 [0] 4 4 2 3" xfId="2475" xr:uid="{00000000-0005-0000-0000-0000C3090000}"/>
    <cellStyle name="쉼표 [0] 4 4 3" xfId="2476" xr:uid="{00000000-0005-0000-0000-0000C4090000}"/>
    <cellStyle name="쉼표 [0] 4 4 4" xfId="2477" xr:uid="{00000000-0005-0000-0000-0000C5090000}"/>
    <cellStyle name="쉼표 [0] 4 4 5" xfId="2478" xr:uid="{00000000-0005-0000-0000-0000C6090000}"/>
    <cellStyle name="쉼표 [0] 4 4 6" xfId="2479" xr:uid="{00000000-0005-0000-0000-0000C7090000}"/>
    <cellStyle name="쉼표 [0] 4 4 7" xfId="2480" xr:uid="{00000000-0005-0000-0000-0000C8090000}"/>
    <cellStyle name="쉼표 [0] 4 40" xfId="2481" xr:uid="{00000000-0005-0000-0000-0000C9090000}"/>
    <cellStyle name="쉼표 [0] 4 41" xfId="2482" xr:uid="{00000000-0005-0000-0000-0000CA090000}"/>
    <cellStyle name="쉼표 [0] 4 42" xfId="2483" xr:uid="{00000000-0005-0000-0000-0000CB090000}"/>
    <cellStyle name="쉼표 [0] 4 43" xfId="2484" xr:uid="{00000000-0005-0000-0000-0000CC090000}"/>
    <cellStyle name="쉼표 [0] 4 44" xfId="2485" xr:uid="{00000000-0005-0000-0000-0000CD090000}"/>
    <cellStyle name="쉼표 [0] 4 45" xfId="2486" xr:uid="{00000000-0005-0000-0000-0000CE090000}"/>
    <cellStyle name="쉼표 [0] 4 46" xfId="2487" xr:uid="{00000000-0005-0000-0000-0000CF090000}"/>
    <cellStyle name="쉼표 [0] 4 47" xfId="2488" xr:uid="{00000000-0005-0000-0000-0000D0090000}"/>
    <cellStyle name="쉼표 [0] 4 48" xfId="2489" xr:uid="{00000000-0005-0000-0000-0000D1090000}"/>
    <cellStyle name="쉼표 [0] 4 49" xfId="2490" xr:uid="{00000000-0005-0000-0000-0000D2090000}"/>
    <cellStyle name="쉼표 [0] 4 5" xfId="2491" xr:uid="{00000000-0005-0000-0000-0000D3090000}"/>
    <cellStyle name="쉼표 [0] 4 5 2" xfId="2492" xr:uid="{00000000-0005-0000-0000-0000D4090000}"/>
    <cellStyle name="쉼표 [0] 4 5 2 2" xfId="2493" xr:uid="{00000000-0005-0000-0000-0000D5090000}"/>
    <cellStyle name="쉼표 [0] 4 5 2 2 2" xfId="2494" xr:uid="{00000000-0005-0000-0000-0000D6090000}"/>
    <cellStyle name="쉼표 [0] 4 5 2 3" xfId="2495" xr:uid="{00000000-0005-0000-0000-0000D7090000}"/>
    <cellStyle name="쉼표 [0] 4 5 3" xfId="2496" xr:uid="{00000000-0005-0000-0000-0000D8090000}"/>
    <cellStyle name="쉼표 [0] 4 5 4" xfId="2497" xr:uid="{00000000-0005-0000-0000-0000D9090000}"/>
    <cellStyle name="쉼표 [0] 4 5 5" xfId="2498" xr:uid="{00000000-0005-0000-0000-0000DA090000}"/>
    <cellStyle name="쉼표 [0] 4 5 6" xfId="2499" xr:uid="{00000000-0005-0000-0000-0000DB090000}"/>
    <cellStyle name="쉼표 [0] 4 5 7" xfId="2500" xr:uid="{00000000-0005-0000-0000-0000DC090000}"/>
    <cellStyle name="쉼표 [0] 4 50" xfId="2501" xr:uid="{00000000-0005-0000-0000-0000DD090000}"/>
    <cellStyle name="쉼표 [0] 4 6" xfId="2502" xr:uid="{00000000-0005-0000-0000-0000DE090000}"/>
    <cellStyle name="쉼표 [0] 4 6 2" xfId="2503" xr:uid="{00000000-0005-0000-0000-0000DF090000}"/>
    <cellStyle name="쉼표 [0] 4 6 2 2" xfId="2504" xr:uid="{00000000-0005-0000-0000-0000E0090000}"/>
    <cellStyle name="쉼표 [0] 4 6 2 2 2" xfId="2505" xr:uid="{00000000-0005-0000-0000-0000E1090000}"/>
    <cellStyle name="쉼표 [0] 4 6 2 3" xfId="2506" xr:uid="{00000000-0005-0000-0000-0000E2090000}"/>
    <cellStyle name="쉼표 [0] 4 6 3" xfId="2507" xr:uid="{00000000-0005-0000-0000-0000E3090000}"/>
    <cellStyle name="쉼표 [0] 4 6 4" xfId="2508" xr:uid="{00000000-0005-0000-0000-0000E4090000}"/>
    <cellStyle name="쉼표 [0] 4 6 5" xfId="2509" xr:uid="{00000000-0005-0000-0000-0000E5090000}"/>
    <cellStyle name="쉼표 [0] 4 6 6" xfId="2510" xr:uid="{00000000-0005-0000-0000-0000E6090000}"/>
    <cellStyle name="쉼표 [0] 4 6 7" xfId="2511" xr:uid="{00000000-0005-0000-0000-0000E7090000}"/>
    <cellStyle name="쉼표 [0] 4 7" xfId="2512" xr:uid="{00000000-0005-0000-0000-0000E8090000}"/>
    <cellStyle name="쉼표 [0] 4 7 2" xfId="2513" xr:uid="{00000000-0005-0000-0000-0000E9090000}"/>
    <cellStyle name="쉼표 [0] 4 7 2 2" xfId="2514" xr:uid="{00000000-0005-0000-0000-0000EA090000}"/>
    <cellStyle name="쉼표 [0] 4 7 2 3" xfId="2515" xr:uid="{00000000-0005-0000-0000-0000EB090000}"/>
    <cellStyle name="쉼표 [0] 4 7 2 4" xfId="2516" xr:uid="{00000000-0005-0000-0000-0000EC090000}"/>
    <cellStyle name="쉼표 [0] 4 7 2 5" xfId="2517" xr:uid="{00000000-0005-0000-0000-0000ED090000}"/>
    <cellStyle name="쉼표 [0] 4 7 2 6" xfId="2518" xr:uid="{00000000-0005-0000-0000-0000EE090000}"/>
    <cellStyle name="쉼표 [0] 4 7 2 7" xfId="2519" xr:uid="{00000000-0005-0000-0000-0000EF090000}"/>
    <cellStyle name="쉼표 [0] 4 7 2 8" xfId="2520" xr:uid="{00000000-0005-0000-0000-0000F0090000}"/>
    <cellStyle name="쉼표 [0] 4 7 2 9" xfId="2521" xr:uid="{00000000-0005-0000-0000-0000F1090000}"/>
    <cellStyle name="쉼표 [0] 4 7 3" xfId="2522" xr:uid="{00000000-0005-0000-0000-0000F2090000}"/>
    <cellStyle name="쉼표 [0] 4 7 3 2" xfId="2523" xr:uid="{00000000-0005-0000-0000-0000F3090000}"/>
    <cellStyle name="쉼표 [0] 4 7 3 3" xfId="2524" xr:uid="{00000000-0005-0000-0000-0000F4090000}"/>
    <cellStyle name="쉼표 [0] 4 7 3 4" xfId="2525" xr:uid="{00000000-0005-0000-0000-0000F5090000}"/>
    <cellStyle name="쉼표 [0] 4 7 3 5" xfId="2526" xr:uid="{00000000-0005-0000-0000-0000F6090000}"/>
    <cellStyle name="쉼표 [0] 4 7 3 5 2" xfId="2527" xr:uid="{00000000-0005-0000-0000-0000F7090000}"/>
    <cellStyle name="쉼표 [0] 4 7 3 6" xfId="2528" xr:uid="{00000000-0005-0000-0000-0000F8090000}"/>
    <cellStyle name="쉼표 [0] 4 7 4" xfId="2529" xr:uid="{00000000-0005-0000-0000-0000F9090000}"/>
    <cellStyle name="쉼표 [0] 4 7 4 2" xfId="2530" xr:uid="{00000000-0005-0000-0000-0000FA090000}"/>
    <cellStyle name="쉼표 [0] 4 7 4 3" xfId="2531" xr:uid="{00000000-0005-0000-0000-0000FB090000}"/>
    <cellStyle name="쉼표 [0] 4 7 4 4" xfId="2532" xr:uid="{00000000-0005-0000-0000-0000FC090000}"/>
    <cellStyle name="쉼표 [0] 4 7 4 5" xfId="2533" xr:uid="{00000000-0005-0000-0000-0000FD090000}"/>
    <cellStyle name="쉼표 [0] 4 7 5" xfId="2534" xr:uid="{00000000-0005-0000-0000-0000FE090000}"/>
    <cellStyle name="쉼표 [0] 4 8" xfId="2535" xr:uid="{00000000-0005-0000-0000-0000FF090000}"/>
    <cellStyle name="쉼표 [0] 4 9" xfId="2536" xr:uid="{00000000-0005-0000-0000-0000000A0000}"/>
    <cellStyle name="쉼표 [0] 40" xfId="3121" xr:uid="{00000000-0005-0000-0000-0000010A0000}"/>
    <cellStyle name="쉼표 [0] 41" xfId="3125" xr:uid="{00000000-0005-0000-0000-0000020A0000}"/>
    <cellStyle name="쉼표 [0] 42" xfId="3145" xr:uid="{00000000-0005-0000-0000-0000030A0000}"/>
    <cellStyle name="쉼표 [0] 43" xfId="3175" xr:uid="{00000000-0005-0000-0000-0000040A0000}"/>
    <cellStyle name="쉼표 [0] 44" xfId="3184" xr:uid="{00000000-0005-0000-0000-0000050A0000}"/>
    <cellStyle name="쉼표 [0] 45" xfId="3197" xr:uid="{00000000-0005-0000-0000-0000060A0000}"/>
    <cellStyle name="쉼표 [0] 46" xfId="3216" xr:uid="{00000000-0005-0000-0000-0000070A0000}"/>
    <cellStyle name="쉼표 [0] 46 2" xfId="3276" xr:uid="{00000000-0005-0000-0000-0000080A0000}"/>
    <cellStyle name="쉼표 [0] 46 2 2" xfId="3388" xr:uid="{00000000-0005-0000-0000-0000090A0000}"/>
    <cellStyle name="쉼표 [0] 46 2 2 2" xfId="3717" xr:uid="{00000000-0005-0000-0000-00000A0A0000}"/>
    <cellStyle name="쉼표 [0] 46 2 3" xfId="3497" xr:uid="{00000000-0005-0000-0000-00000B0A0000}"/>
    <cellStyle name="쉼표 [0] 46 2 3 2" xfId="3826" xr:uid="{00000000-0005-0000-0000-00000C0A0000}"/>
    <cellStyle name="쉼표 [0] 46 2 4" xfId="3609" xr:uid="{00000000-0005-0000-0000-00000D0A0000}"/>
    <cellStyle name="쉼표 [0] 46 3" xfId="3334" xr:uid="{00000000-0005-0000-0000-00000E0A0000}"/>
    <cellStyle name="쉼표 [0] 46 3 2" xfId="3663" xr:uid="{00000000-0005-0000-0000-00000F0A0000}"/>
    <cellStyle name="쉼표 [0] 46 4" xfId="3443" xr:uid="{00000000-0005-0000-0000-0000100A0000}"/>
    <cellStyle name="쉼표 [0] 46 4 2" xfId="3772" xr:uid="{00000000-0005-0000-0000-0000110A0000}"/>
    <cellStyle name="쉼표 [0] 46 5" xfId="3555" xr:uid="{00000000-0005-0000-0000-0000120A0000}"/>
    <cellStyle name="쉼표 [0] 47" xfId="3240" xr:uid="{00000000-0005-0000-0000-0000130A0000}"/>
    <cellStyle name="쉼표 [0] 48" xfId="3298" xr:uid="{00000000-0005-0000-0000-0000140A0000}"/>
    <cellStyle name="쉼표 [0] 49" xfId="3519" xr:uid="{00000000-0005-0000-0000-0000150A0000}"/>
    <cellStyle name="쉼표 [0] 5" xfId="2537" xr:uid="{00000000-0005-0000-0000-0000160A0000}"/>
    <cellStyle name="쉼표 [0] 5 10" xfId="2538" xr:uid="{00000000-0005-0000-0000-0000170A0000}"/>
    <cellStyle name="쉼표 [0] 5 11" xfId="2539" xr:uid="{00000000-0005-0000-0000-0000180A0000}"/>
    <cellStyle name="쉼표 [0] 5 12" xfId="2540" xr:uid="{00000000-0005-0000-0000-0000190A0000}"/>
    <cellStyle name="쉼표 [0] 5 13" xfId="2541" xr:uid="{00000000-0005-0000-0000-00001A0A0000}"/>
    <cellStyle name="쉼표 [0] 5 2" xfId="2542" xr:uid="{00000000-0005-0000-0000-00001B0A0000}"/>
    <cellStyle name="쉼표 [0] 5 2 2" xfId="2543" xr:uid="{00000000-0005-0000-0000-00001C0A0000}"/>
    <cellStyle name="쉼표 [0] 5 2 2 2" xfId="2544" xr:uid="{00000000-0005-0000-0000-00001D0A0000}"/>
    <cellStyle name="쉼표 [0] 5 2 2 2 2" xfId="2545" xr:uid="{00000000-0005-0000-0000-00001E0A0000}"/>
    <cellStyle name="쉼표 [0] 5 2 2 3" xfId="2546" xr:uid="{00000000-0005-0000-0000-00001F0A0000}"/>
    <cellStyle name="쉼표 [0] 5 2 3" xfId="2547" xr:uid="{00000000-0005-0000-0000-0000200A0000}"/>
    <cellStyle name="쉼표 [0] 5 2 4" xfId="2548" xr:uid="{00000000-0005-0000-0000-0000210A0000}"/>
    <cellStyle name="쉼표 [0] 5 2 5" xfId="2549" xr:uid="{00000000-0005-0000-0000-0000220A0000}"/>
    <cellStyle name="쉼표 [0] 5 2 6" xfId="2550" xr:uid="{00000000-0005-0000-0000-0000230A0000}"/>
    <cellStyle name="쉼표 [0] 5 2 7" xfId="2551" xr:uid="{00000000-0005-0000-0000-0000240A0000}"/>
    <cellStyle name="쉼표 [0] 5 3" xfId="2552" xr:uid="{00000000-0005-0000-0000-0000250A0000}"/>
    <cellStyle name="쉼표 [0] 5 4" xfId="2553" xr:uid="{00000000-0005-0000-0000-0000260A0000}"/>
    <cellStyle name="쉼표 [0] 5 5" xfId="2554" xr:uid="{00000000-0005-0000-0000-0000270A0000}"/>
    <cellStyle name="쉼표 [0] 5 6" xfId="2555" xr:uid="{00000000-0005-0000-0000-0000280A0000}"/>
    <cellStyle name="쉼표 [0] 5 7" xfId="2556" xr:uid="{00000000-0005-0000-0000-0000290A0000}"/>
    <cellStyle name="쉼표 [0] 5 8" xfId="2557" xr:uid="{00000000-0005-0000-0000-00002A0A0000}"/>
    <cellStyle name="쉼표 [0] 5 9" xfId="2558" xr:uid="{00000000-0005-0000-0000-00002B0A0000}"/>
    <cellStyle name="쉼표 [0] 50" xfId="1132" xr:uid="{00000000-0005-0000-0000-00002C0A0000}"/>
    <cellStyle name="쉼표 [0] 6" xfId="2559" xr:uid="{00000000-0005-0000-0000-00002D0A0000}"/>
    <cellStyle name="쉼표 [0] 6 10" xfId="2560" xr:uid="{00000000-0005-0000-0000-00002E0A0000}"/>
    <cellStyle name="쉼표 [0] 6 11" xfId="2561" xr:uid="{00000000-0005-0000-0000-00002F0A0000}"/>
    <cellStyle name="쉼표 [0] 6 12" xfId="2562" xr:uid="{00000000-0005-0000-0000-0000300A0000}"/>
    <cellStyle name="쉼표 [0] 6 13" xfId="2563" xr:uid="{00000000-0005-0000-0000-0000310A0000}"/>
    <cellStyle name="쉼표 [0] 6 14" xfId="2564" xr:uid="{00000000-0005-0000-0000-0000320A0000}"/>
    <cellStyle name="쉼표 [0] 6 2" xfId="2565" xr:uid="{00000000-0005-0000-0000-0000330A0000}"/>
    <cellStyle name="쉼표 [0] 6 2 2" xfId="2566" xr:uid="{00000000-0005-0000-0000-0000340A0000}"/>
    <cellStyle name="쉼표 [0] 6 2 2 2" xfId="2567" xr:uid="{00000000-0005-0000-0000-0000350A0000}"/>
    <cellStyle name="쉼표 [0] 6 2 2 2 2" xfId="2568" xr:uid="{00000000-0005-0000-0000-0000360A0000}"/>
    <cellStyle name="쉼표 [0] 6 2 2 3" xfId="2569" xr:uid="{00000000-0005-0000-0000-0000370A0000}"/>
    <cellStyle name="쉼표 [0] 6 2 3" xfId="2570" xr:uid="{00000000-0005-0000-0000-0000380A0000}"/>
    <cellStyle name="쉼표 [0] 6 2 4" xfId="2571" xr:uid="{00000000-0005-0000-0000-0000390A0000}"/>
    <cellStyle name="쉼표 [0] 6 2 5" xfId="2572" xr:uid="{00000000-0005-0000-0000-00003A0A0000}"/>
    <cellStyle name="쉼표 [0] 6 2 6" xfId="2573" xr:uid="{00000000-0005-0000-0000-00003B0A0000}"/>
    <cellStyle name="쉼표 [0] 6 2 7" xfId="2574" xr:uid="{00000000-0005-0000-0000-00003C0A0000}"/>
    <cellStyle name="쉼표 [0] 6 3" xfId="2575" xr:uid="{00000000-0005-0000-0000-00003D0A0000}"/>
    <cellStyle name="쉼표 [0] 6 3 2" xfId="2576" xr:uid="{00000000-0005-0000-0000-00003E0A0000}"/>
    <cellStyle name="쉼표 [0] 6 3 2 2" xfId="2577" xr:uid="{00000000-0005-0000-0000-00003F0A0000}"/>
    <cellStyle name="쉼표 [0] 6 3 2 2 2" xfId="2578" xr:uid="{00000000-0005-0000-0000-0000400A0000}"/>
    <cellStyle name="쉼표 [0] 6 3 2 3" xfId="2579" xr:uid="{00000000-0005-0000-0000-0000410A0000}"/>
    <cellStyle name="쉼표 [0] 6 3 3" xfId="2580" xr:uid="{00000000-0005-0000-0000-0000420A0000}"/>
    <cellStyle name="쉼표 [0] 6 3 4" xfId="2581" xr:uid="{00000000-0005-0000-0000-0000430A0000}"/>
    <cellStyle name="쉼표 [0] 6 3 5" xfId="2582" xr:uid="{00000000-0005-0000-0000-0000440A0000}"/>
    <cellStyle name="쉼표 [0] 6 3 6" xfId="2583" xr:uid="{00000000-0005-0000-0000-0000450A0000}"/>
    <cellStyle name="쉼표 [0] 6 3 7" xfId="2584" xr:uid="{00000000-0005-0000-0000-0000460A0000}"/>
    <cellStyle name="쉼표 [0] 6 4" xfId="2585" xr:uid="{00000000-0005-0000-0000-0000470A0000}"/>
    <cellStyle name="쉼표 [0] 6 5" xfId="2586" xr:uid="{00000000-0005-0000-0000-0000480A0000}"/>
    <cellStyle name="쉼표 [0] 6 6" xfId="2587" xr:uid="{00000000-0005-0000-0000-0000490A0000}"/>
    <cellStyle name="쉼표 [0] 6 7" xfId="2588" xr:uid="{00000000-0005-0000-0000-00004A0A0000}"/>
    <cellStyle name="쉼표 [0] 6 8" xfId="2589" xr:uid="{00000000-0005-0000-0000-00004B0A0000}"/>
    <cellStyle name="쉼표 [0] 6 9" xfId="2590" xr:uid="{00000000-0005-0000-0000-00004C0A0000}"/>
    <cellStyle name="쉼표 [0] 7" xfId="2591" xr:uid="{00000000-0005-0000-0000-00004D0A0000}"/>
    <cellStyle name="쉼표 [0] 7 10" xfId="2592" xr:uid="{00000000-0005-0000-0000-00004E0A0000}"/>
    <cellStyle name="쉼표 [0] 7 11" xfId="2593" xr:uid="{00000000-0005-0000-0000-00004F0A0000}"/>
    <cellStyle name="쉼표 [0] 7 12" xfId="2594" xr:uid="{00000000-0005-0000-0000-0000500A0000}"/>
    <cellStyle name="쉼표 [0] 7 2" xfId="2595" xr:uid="{00000000-0005-0000-0000-0000510A0000}"/>
    <cellStyle name="쉼표 [0] 7 3" xfId="2596" xr:uid="{00000000-0005-0000-0000-0000520A0000}"/>
    <cellStyle name="쉼표 [0] 7 4" xfId="2597" xr:uid="{00000000-0005-0000-0000-0000530A0000}"/>
    <cellStyle name="쉼표 [0] 7 5" xfId="2598" xr:uid="{00000000-0005-0000-0000-0000540A0000}"/>
    <cellStyle name="쉼표 [0] 7 6" xfId="2599" xr:uid="{00000000-0005-0000-0000-0000550A0000}"/>
    <cellStyle name="쉼표 [0] 7 7" xfId="2600" xr:uid="{00000000-0005-0000-0000-0000560A0000}"/>
    <cellStyle name="쉼표 [0] 7 8" xfId="2601" xr:uid="{00000000-0005-0000-0000-0000570A0000}"/>
    <cellStyle name="쉼표 [0] 7 9" xfId="2602" xr:uid="{00000000-0005-0000-0000-0000580A0000}"/>
    <cellStyle name="쉼표 [0] 8" xfId="2603" xr:uid="{00000000-0005-0000-0000-0000590A0000}"/>
    <cellStyle name="쉼표 [0] 8 10" xfId="2604" xr:uid="{00000000-0005-0000-0000-00005A0A0000}"/>
    <cellStyle name="쉼표 [0] 8 11" xfId="2605" xr:uid="{00000000-0005-0000-0000-00005B0A0000}"/>
    <cellStyle name="쉼표 [0] 8 12" xfId="2606" xr:uid="{00000000-0005-0000-0000-00005C0A0000}"/>
    <cellStyle name="쉼표 [0] 8 2" xfId="2607" xr:uid="{00000000-0005-0000-0000-00005D0A0000}"/>
    <cellStyle name="쉼표 [0] 8 3" xfId="2608" xr:uid="{00000000-0005-0000-0000-00005E0A0000}"/>
    <cellStyle name="쉼표 [0] 8 4" xfId="2609" xr:uid="{00000000-0005-0000-0000-00005F0A0000}"/>
    <cellStyle name="쉼표 [0] 8 5" xfId="2610" xr:uid="{00000000-0005-0000-0000-0000600A0000}"/>
    <cellStyle name="쉼표 [0] 8 6" xfId="2611" xr:uid="{00000000-0005-0000-0000-0000610A0000}"/>
    <cellStyle name="쉼표 [0] 8 7" xfId="2612" xr:uid="{00000000-0005-0000-0000-0000620A0000}"/>
    <cellStyle name="쉼표 [0] 8 8" xfId="2613" xr:uid="{00000000-0005-0000-0000-0000630A0000}"/>
    <cellStyle name="쉼표 [0] 8 9" xfId="2614" xr:uid="{00000000-0005-0000-0000-0000640A0000}"/>
    <cellStyle name="쉼표 [0] 9" xfId="2615" xr:uid="{00000000-0005-0000-0000-0000650A0000}"/>
    <cellStyle name="쉼표 [0] 9 10" xfId="2616" xr:uid="{00000000-0005-0000-0000-0000660A0000}"/>
    <cellStyle name="쉼표 [0] 9 11" xfId="2617" xr:uid="{00000000-0005-0000-0000-0000670A0000}"/>
    <cellStyle name="쉼표 [0] 9 12" xfId="2618" xr:uid="{00000000-0005-0000-0000-0000680A0000}"/>
    <cellStyle name="쉼표 [0] 9 2" xfId="2619" xr:uid="{00000000-0005-0000-0000-0000690A0000}"/>
    <cellStyle name="쉼표 [0] 9 3" xfId="2620" xr:uid="{00000000-0005-0000-0000-00006A0A0000}"/>
    <cellStyle name="쉼표 [0] 9 4" xfId="2621" xr:uid="{00000000-0005-0000-0000-00006B0A0000}"/>
    <cellStyle name="쉼표 [0] 9 5" xfId="2622" xr:uid="{00000000-0005-0000-0000-00006C0A0000}"/>
    <cellStyle name="쉼표 [0] 9 6" xfId="2623" xr:uid="{00000000-0005-0000-0000-00006D0A0000}"/>
    <cellStyle name="쉼표 [0] 9 7" xfId="2624" xr:uid="{00000000-0005-0000-0000-00006E0A0000}"/>
    <cellStyle name="쉼표 [0] 9 8" xfId="2625" xr:uid="{00000000-0005-0000-0000-00006F0A0000}"/>
    <cellStyle name="쉼표 [0] 9 9" xfId="2626" xr:uid="{00000000-0005-0000-0000-0000700A0000}"/>
    <cellStyle name="스타일 1" xfId="2627" xr:uid="{00000000-0005-0000-0000-0000710A0000}"/>
    <cellStyle name="스타일 1 2" xfId="3147" xr:uid="{00000000-0005-0000-0000-0000720A0000}"/>
    <cellStyle name="스타일 10" xfId="3148" xr:uid="{00000000-0005-0000-0000-0000730A0000}"/>
    <cellStyle name="스타일 11" xfId="3149" xr:uid="{00000000-0005-0000-0000-0000740A0000}"/>
    <cellStyle name="스타일 12" xfId="3150" xr:uid="{00000000-0005-0000-0000-0000750A0000}"/>
    <cellStyle name="스타일 13" xfId="3151" xr:uid="{00000000-0005-0000-0000-0000760A0000}"/>
    <cellStyle name="스타일 14" xfId="3152" xr:uid="{00000000-0005-0000-0000-0000770A0000}"/>
    <cellStyle name="스타일 15" xfId="3153" xr:uid="{00000000-0005-0000-0000-0000780A0000}"/>
    <cellStyle name="스타일 16" xfId="3154" xr:uid="{00000000-0005-0000-0000-0000790A0000}"/>
    <cellStyle name="스타일 17" xfId="3155" xr:uid="{00000000-0005-0000-0000-00007A0A0000}"/>
    <cellStyle name="스타일 18" xfId="3156" xr:uid="{00000000-0005-0000-0000-00007B0A0000}"/>
    <cellStyle name="스타일 19" xfId="3157" xr:uid="{00000000-0005-0000-0000-00007C0A0000}"/>
    <cellStyle name="스타일 2" xfId="3158" xr:uid="{00000000-0005-0000-0000-00007D0A0000}"/>
    <cellStyle name="스타일 20" xfId="3159" xr:uid="{00000000-0005-0000-0000-00007E0A0000}"/>
    <cellStyle name="스타일 21" xfId="3160" xr:uid="{00000000-0005-0000-0000-00007F0A0000}"/>
    <cellStyle name="스타일 3" xfId="3161" xr:uid="{00000000-0005-0000-0000-0000800A0000}"/>
    <cellStyle name="스타일 4" xfId="3162" xr:uid="{00000000-0005-0000-0000-0000810A0000}"/>
    <cellStyle name="스타일 5" xfId="3163" xr:uid="{00000000-0005-0000-0000-0000820A0000}"/>
    <cellStyle name="스타일 6" xfId="3164" xr:uid="{00000000-0005-0000-0000-0000830A0000}"/>
    <cellStyle name="스타일 7" xfId="3165" xr:uid="{00000000-0005-0000-0000-0000840A0000}"/>
    <cellStyle name="스타일 8" xfId="3166" xr:uid="{00000000-0005-0000-0000-0000850A0000}"/>
    <cellStyle name="스타일 9" xfId="3167" xr:uid="{00000000-0005-0000-0000-0000860A0000}"/>
    <cellStyle name="연결된 셀 2" xfId="2628" xr:uid="{00000000-0005-0000-0000-0000870A0000}"/>
    <cellStyle name="요약 2" xfId="2629" xr:uid="{00000000-0005-0000-0000-0000880A0000}"/>
    <cellStyle name="입력 2" xfId="2630" xr:uid="{00000000-0005-0000-0000-0000890A0000}"/>
    <cellStyle name="제목 1 2" xfId="2631" xr:uid="{00000000-0005-0000-0000-00008A0A0000}"/>
    <cellStyle name="제목 2 2" xfId="2632" xr:uid="{00000000-0005-0000-0000-00008B0A0000}"/>
    <cellStyle name="제목 3 2" xfId="2633" xr:uid="{00000000-0005-0000-0000-00008C0A0000}"/>
    <cellStyle name="제목 4 2" xfId="2634" xr:uid="{00000000-0005-0000-0000-00008D0A0000}"/>
    <cellStyle name="제목 5" xfId="2635" xr:uid="{00000000-0005-0000-0000-00008E0A0000}"/>
    <cellStyle name="좋음 2" xfId="2636" xr:uid="{00000000-0005-0000-0000-00008F0A0000}"/>
    <cellStyle name="출력 2" xfId="2637" xr:uid="{00000000-0005-0000-0000-0000900A0000}"/>
    <cellStyle name="콤마 [0]_1" xfId="2638" xr:uid="{00000000-0005-0000-0000-0000910A0000}"/>
    <cellStyle name="콤마_1" xfId="2639" xr:uid="{00000000-0005-0000-0000-0000920A0000}"/>
    <cellStyle name="통화 [0]" xfId="7" builtinId="7"/>
    <cellStyle name="통화 [0] 10" xfId="2641" xr:uid="{00000000-0005-0000-0000-0000940A0000}"/>
    <cellStyle name="통화 [0] 11" xfId="2642" xr:uid="{00000000-0005-0000-0000-0000950A0000}"/>
    <cellStyle name="통화 [0] 12" xfId="3118" xr:uid="{00000000-0005-0000-0000-0000960A0000}"/>
    <cellStyle name="통화 [0] 12 2" xfId="2643" xr:uid="{00000000-0005-0000-0000-0000970A0000}"/>
    <cellStyle name="통화 [0] 13" xfId="3126" xr:uid="{00000000-0005-0000-0000-0000980A0000}"/>
    <cellStyle name="통화 [0] 14" xfId="3176" xr:uid="{00000000-0005-0000-0000-0000990A0000}"/>
    <cellStyle name="통화 [0] 15" xfId="3185" xr:uid="{00000000-0005-0000-0000-00009A0A0000}"/>
    <cellStyle name="통화 [0] 16" xfId="3198" xr:uid="{00000000-0005-0000-0000-00009B0A0000}"/>
    <cellStyle name="통화 [0] 17" xfId="3217" xr:uid="{00000000-0005-0000-0000-00009C0A0000}"/>
    <cellStyle name="통화 [0] 17 2" xfId="3277" xr:uid="{00000000-0005-0000-0000-00009D0A0000}"/>
    <cellStyle name="통화 [0] 17 2 2" xfId="3389" xr:uid="{00000000-0005-0000-0000-00009E0A0000}"/>
    <cellStyle name="통화 [0] 17 2 2 2" xfId="3718" xr:uid="{00000000-0005-0000-0000-00009F0A0000}"/>
    <cellStyle name="통화 [0] 17 2 3" xfId="3498" xr:uid="{00000000-0005-0000-0000-0000A00A0000}"/>
    <cellStyle name="통화 [0] 17 2 3 2" xfId="3827" xr:uid="{00000000-0005-0000-0000-0000A10A0000}"/>
    <cellStyle name="통화 [0] 17 2 4" xfId="3610" xr:uid="{00000000-0005-0000-0000-0000A20A0000}"/>
    <cellStyle name="통화 [0] 17 3" xfId="3335" xr:uid="{00000000-0005-0000-0000-0000A30A0000}"/>
    <cellStyle name="통화 [0] 17 3 2" xfId="3664" xr:uid="{00000000-0005-0000-0000-0000A40A0000}"/>
    <cellStyle name="통화 [0] 17 4" xfId="3444" xr:uid="{00000000-0005-0000-0000-0000A50A0000}"/>
    <cellStyle name="통화 [0] 17 4 2" xfId="3773" xr:uid="{00000000-0005-0000-0000-0000A60A0000}"/>
    <cellStyle name="통화 [0] 17 5" xfId="3556" xr:uid="{00000000-0005-0000-0000-0000A70A0000}"/>
    <cellStyle name="통화 [0] 18" xfId="3241" xr:uid="{00000000-0005-0000-0000-0000A80A0000}"/>
    <cellStyle name="통화 [0] 19" xfId="3299" xr:uid="{00000000-0005-0000-0000-0000A90A0000}"/>
    <cellStyle name="통화 [0] 2" xfId="2644" xr:uid="{00000000-0005-0000-0000-0000AA0A0000}"/>
    <cellStyle name="통화 [0] 2 10" xfId="2645" xr:uid="{00000000-0005-0000-0000-0000AB0A0000}"/>
    <cellStyle name="통화 [0] 2 10 2" xfId="2646" xr:uid="{00000000-0005-0000-0000-0000AC0A0000}"/>
    <cellStyle name="통화 [0] 2 10 3" xfId="2647" xr:uid="{00000000-0005-0000-0000-0000AD0A0000}"/>
    <cellStyle name="통화 [0] 2 11" xfId="2648" xr:uid="{00000000-0005-0000-0000-0000AE0A0000}"/>
    <cellStyle name="통화 [0] 2 11 2" xfId="2649" xr:uid="{00000000-0005-0000-0000-0000AF0A0000}"/>
    <cellStyle name="통화 [0] 2 11 3" xfId="2650" xr:uid="{00000000-0005-0000-0000-0000B00A0000}"/>
    <cellStyle name="통화 [0] 2 12" xfId="2651" xr:uid="{00000000-0005-0000-0000-0000B10A0000}"/>
    <cellStyle name="통화 [0] 2 12 2" xfId="2652" xr:uid="{00000000-0005-0000-0000-0000B20A0000}"/>
    <cellStyle name="통화 [0] 2 12 3" xfId="2653" xr:uid="{00000000-0005-0000-0000-0000B30A0000}"/>
    <cellStyle name="통화 [0] 2 13" xfId="2654" xr:uid="{00000000-0005-0000-0000-0000B40A0000}"/>
    <cellStyle name="통화 [0] 2 13 2" xfId="2655" xr:uid="{00000000-0005-0000-0000-0000B50A0000}"/>
    <cellStyle name="통화 [0] 2 13 3" xfId="2656" xr:uid="{00000000-0005-0000-0000-0000B60A0000}"/>
    <cellStyle name="통화 [0] 2 14" xfId="2657" xr:uid="{00000000-0005-0000-0000-0000B70A0000}"/>
    <cellStyle name="통화 [0] 2 14 2" xfId="2658" xr:uid="{00000000-0005-0000-0000-0000B80A0000}"/>
    <cellStyle name="통화 [0] 2 14 3" xfId="2659" xr:uid="{00000000-0005-0000-0000-0000B90A0000}"/>
    <cellStyle name="통화 [0] 2 15" xfId="2660" xr:uid="{00000000-0005-0000-0000-0000BA0A0000}"/>
    <cellStyle name="통화 [0] 2 15 2" xfId="2661" xr:uid="{00000000-0005-0000-0000-0000BB0A0000}"/>
    <cellStyle name="통화 [0] 2 15 3" xfId="2662" xr:uid="{00000000-0005-0000-0000-0000BC0A0000}"/>
    <cellStyle name="통화 [0] 2 16" xfId="2663" xr:uid="{00000000-0005-0000-0000-0000BD0A0000}"/>
    <cellStyle name="통화 [0] 2 17" xfId="2664" xr:uid="{00000000-0005-0000-0000-0000BE0A0000}"/>
    <cellStyle name="통화 [0] 2 18" xfId="2665" xr:uid="{00000000-0005-0000-0000-0000BF0A0000}"/>
    <cellStyle name="통화 [0] 2 19" xfId="2666" xr:uid="{00000000-0005-0000-0000-0000C00A0000}"/>
    <cellStyle name="통화 [0] 2 2" xfId="2667" xr:uid="{00000000-0005-0000-0000-0000C10A0000}"/>
    <cellStyle name="통화 [0] 2 2 10" xfId="2668" xr:uid="{00000000-0005-0000-0000-0000C20A0000}"/>
    <cellStyle name="통화 [0] 2 2 2" xfId="2669" xr:uid="{00000000-0005-0000-0000-0000C30A0000}"/>
    <cellStyle name="통화 [0] 2 2 2 2" xfId="2670" xr:uid="{00000000-0005-0000-0000-0000C40A0000}"/>
    <cellStyle name="통화 [0] 2 2 2 2 2" xfId="2671" xr:uid="{00000000-0005-0000-0000-0000C50A0000}"/>
    <cellStyle name="통화 [0] 2 2 2 2 2 2" xfId="2672" xr:uid="{00000000-0005-0000-0000-0000C60A0000}"/>
    <cellStyle name="통화 [0] 2 2 2 2 2 2 2" xfId="2673" xr:uid="{00000000-0005-0000-0000-0000C70A0000}"/>
    <cellStyle name="통화 [0] 2 2 2 2 2 2 2 2" xfId="2674" xr:uid="{00000000-0005-0000-0000-0000C80A0000}"/>
    <cellStyle name="통화 [0] 2 2 2 2 2 2 2 2 2" xfId="2675" xr:uid="{00000000-0005-0000-0000-0000C90A0000}"/>
    <cellStyle name="통화 [0] 2 2 2 2 2 2 2 2 2 2" xfId="2676" xr:uid="{00000000-0005-0000-0000-0000CA0A0000}"/>
    <cellStyle name="통화 [0] 2 2 2 2 2 2 2 2 2 2 2" xfId="2677" xr:uid="{00000000-0005-0000-0000-0000CB0A0000}"/>
    <cellStyle name="통화 [0] 2 2 2 2 2 2 2 2 2 2 2 2" xfId="2678" xr:uid="{00000000-0005-0000-0000-0000CC0A0000}"/>
    <cellStyle name="통화 [0] 2 2 2 2 2 2 2 2 2 2 2 2 2" xfId="2679" xr:uid="{00000000-0005-0000-0000-0000CD0A0000}"/>
    <cellStyle name="통화 [0] 2 2 2 2 2 2 2 2 2 2 3" xfId="2680" xr:uid="{00000000-0005-0000-0000-0000CE0A0000}"/>
    <cellStyle name="통화 [0] 2 2 2 2 2 2 2 2 2 3" xfId="2681" xr:uid="{00000000-0005-0000-0000-0000CF0A0000}"/>
    <cellStyle name="통화 [0] 2 2 2 2 2 2 2 2 3" xfId="2682" xr:uid="{00000000-0005-0000-0000-0000D00A0000}"/>
    <cellStyle name="통화 [0] 2 2 2 2 2 2 2 2 4" xfId="2683" xr:uid="{00000000-0005-0000-0000-0000D10A0000}"/>
    <cellStyle name="통화 [0] 2 2 2 2 2 2 2 3" xfId="2684" xr:uid="{00000000-0005-0000-0000-0000D20A0000}"/>
    <cellStyle name="통화 [0] 2 2 2 2 2 2 2 3 2" xfId="2685" xr:uid="{00000000-0005-0000-0000-0000D30A0000}"/>
    <cellStyle name="통화 [0] 2 2 2 2 2 2 2 4" xfId="2686" xr:uid="{00000000-0005-0000-0000-0000D40A0000}"/>
    <cellStyle name="통화 [0] 2 2 2 2 2 2 3" xfId="2687" xr:uid="{00000000-0005-0000-0000-0000D50A0000}"/>
    <cellStyle name="통화 [0] 2 2 2 2 2 2 4" xfId="2688" xr:uid="{00000000-0005-0000-0000-0000D60A0000}"/>
    <cellStyle name="통화 [0] 2 2 2 2 2 2 5" xfId="2689" xr:uid="{00000000-0005-0000-0000-0000D70A0000}"/>
    <cellStyle name="통화 [0] 2 2 2 2 2 3" xfId="2690" xr:uid="{00000000-0005-0000-0000-0000D80A0000}"/>
    <cellStyle name="통화 [0] 2 2 2 2 2 3 2" xfId="2691" xr:uid="{00000000-0005-0000-0000-0000D90A0000}"/>
    <cellStyle name="통화 [0] 2 2 2 2 2 4" xfId="2692" xr:uid="{00000000-0005-0000-0000-0000DA0A0000}"/>
    <cellStyle name="통화 [0] 2 2 2 2 2 4 2" xfId="2693" xr:uid="{00000000-0005-0000-0000-0000DB0A0000}"/>
    <cellStyle name="통화 [0] 2 2 2 2 2 5" xfId="2694" xr:uid="{00000000-0005-0000-0000-0000DC0A0000}"/>
    <cellStyle name="통화 [0] 2 2 2 2 3" xfId="2695" xr:uid="{00000000-0005-0000-0000-0000DD0A0000}"/>
    <cellStyle name="통화 [0] 2 2 2 2 4" xfId="2696" xr:uid="{00000000-0005-0000-0000-0000DE0A0000}"/>
    <cellStyle name="통화 [0] 2 2 2 2 5" xfId="2697" xr:uid="{00000000-0005-0000-0000-0000DF0A0000}"/>
    <cellStyle name="통화 [0] 2 2 2 2 6" xfId="2698" xr:uid="{00000000-0005-0000-0000-0000E00A0000}"/>
    <cellStyle name="통화 [0] 2 2 2 3" xfId="2699" xr:uid="{00000000-0005-0000-0000-0000E10A0000}"/>
    <cellStyle name="통화 [0] 2 2 2 4" xfId="2700" xr:uid="{00000000-0005-0000-0000-0000E20A0000}"/>
    <cellStyle name="통화 [0] 2 2 2 5" xfId="2701" xr:uid="{00000000-0005-0000-0000-0000E30A0000}"/>
    <cellStyle name="통화 [0] 2 2 2 6" xfId="2702" xr:uid="{00000000-0005-0000-0000-0000E40A0000}"/>
    <cellStyle name="통화 [0] 2 2 3" xfId="2703" xr:uid="{00000000-0005-0000-0000-0000E50A0000}"/>
    <cellStyle name="통화 [0] 2 2 4" xfId="2704" xr:uid="{00000000-0005-0000-0000-0000E60A0000}"/>
    <cellStyle name="통화 [0] 2 2 5" xfId="2705" xr:uid="{00000000-0005-0000-0000-0000E70A0000}"/>
    <cellStyle name="통화 [0] 2 2 5 2" xfId="2706" xr:uid="{00000000-0005-0000-0000-0000E80A0000}"/>
    <cellStyle name="통화 [0] 2 2 5 3" xfId="2707" xr:uid="{00000000-0005-0000-0000-0000E90A0000}"/>
    <cellStyle name="통화 [0] 2 2 5 3 2" xfId="2708" xr:uid="{00000000-0005-0000-0000-0000EA0A0000}"/>
    <cellStyle name="통화 [0] 2 2 5 4" xfId="2709" xr:uid="{00000000-0005-0000-0000-0000EB0A0000}"/>
    <cellStyle name="통화 [0] 2 2 6" xfId="2710" xr:uid="{00000000-0005-0000-0000-0000EC0A0000}"/>
    <cellStyle name="통화 [0] 2 2 6 2" xfId="2711" xr:uid="{00000000-0005-0000-0000-0000ED0A0000}"/>
    <cellStyle name="통화 [0] 2 2 6 2 2" xfId="2712" xr:uid="{00000000-0005-0000-0000-0000EE0A0000}"/>
    <cellStyle name="통화 [0] 2 2 7" xfId="2713" xr:uid="{00000000-0005-0000-0000-0000EF0A0000}"/>
    <cellStyle name="통화 [0] 2 2 8" xfId="2714" xr:uid="{00000000-0005-0000-0000-0000F00A0000}"/>
    <cellStyle name="통화 [0] 2 2 9" xfId="2715" xr:uid="{00000000-0005-0000-0000-0000F10A0000}"/>
    <cellStyle name="통화 [0] 2 20" xfId="2716" xr:uid="{00000000-0005-0000-0000-0000F20A0000}"/>
    <cellStyle name="통화 [0] 2 21" xfId="2717" xr:uid="{00000000-0005-0000-0000-0000F30A0000}"/>
    <cellStyle name="통화 [0] 2 22" xfId="2718" xr:uid="{00000000-0005-0000-0000-0000F40A0000}"/>
    <cellStyle name="통화 [0] 2 23" xfId="2719" xr:uid="{00000000-0005-0000-0000-0000F50A0000}"/>
    <cellStyle name="통화 [0] 2 24" xfId="2720" xr:uid="{00000000-0005-0000-0000-0000F60A0000}"/>
    <cellStyle name="통화 [0] 2 25" xfId="2721" xr:uid="{00000000-0005-0000-0000-0000F70A0000}"/>
    <cellStyle name="통화 [0] 2 26" xfId="2722" xr:uid="{00000000-0005-0000-0000-0000F80A0000}"/>
    <cellStyle name="통화 [0] 2 27" xfId="2723" xr:uid="{00000000-0005-0000-0000-0000F90A0000}"/>
    <cellStyle name="통화 [0] 2 28" xfId="2724" xr:uid="{00000000-0005-0000-0000-0000FA0A0000}"/>
    <cellStyle name="통화 [0] 2 28 2" xfId="2725" xr:uid="{00000000-0005-0000-0000-0000FB0A0000}"/>
    <cellStyle name="통화 [0] 2 3" xfId="2726" xr:uid="{00000000-0005-0000-0000-0000FC0A0000}"/>
    <cellStyle name="통화 [0] 2 3 2" xfId="2727" xr:uid="{00000000-0005-0000-0000-0000FD0A0000}"/>
    <cellStyle name="통화 [0] 2 3 2 2" xfId="2728" xr:uid="{00000000-0005-0000-0000-0000FE0A0000}"/>
    <cellStyle name="통화 [0] 2 3 2 2 2" xfId="2729" xr:uid="{00000000-0005-0000-0000-0000FF0A0000}"/>
    <cellStyle name="통화 [0] 2 3 2 3" xfId="2730" xr:uid="{00000000-0005-0000-0000-0000000B0000}"/>
    <cellStyle name="통화 [0] 2 3 3" xfId="2731" xr:uid="{00000000-0005-0000-0000-0000010B0000}"/>
    <cellStyle name="통화 [0] 2 3 4" xfId="2732" xr:uid="{00000000-0005-0000-0000-0000020B0000}"/>
    <cellStyle name="통화 [0] 2 3 5" xfId="2733" xr:uid="{00000000-0005-0000-0000-0000030B0000}"/>
    <cellStyle name="통화 [0] 2 3 6" xfId="2734" xr:uid="{00000000-0005-0000-0000-0000040B0000}"/>
    <cellStyle name="통화 [0] 2 3 7" xfId="2735" xr:uid="{00000000-0005-0000-0000-0000050B0000}"/>
    <cellStyle name="통화 [0] 2 4" xfId="2736" xr:uid="{00000000-0005-0000-0000-0000060B0000}"/>
    <cellStyle name="통화 [0] 2 4 2" xfId="2737" xr:uid="{00000000-0005-0000-0000-0000070B0000}"/>
    <cellStyle name="통화 [0] 2 4 2 2" xfId="2738" xr:uid="{00000000-0005-0000-0000-0000080B0000}"/>
    <cellStyle name="통화 [0] 2 4 2 2 2" xfId="2739" xr:uid="{00000000-0005-0000-0000-0000090B0000}"/>
    <cellStyle name="통화 [0] 2 4 2 3" xfId="2740" xr:uid="{00000000-0005-0000-0000-00000A0B0000}"/>
    <cellStyle name="통화 [0] 2 4 3" xfId="2741" xr:uid="{00000000-0005-0000-0000-00000B0B0000}"/>
    <cellStyle name="통화 [0] 2 4 4" xfId="2742" xr:uid="{00000000-0005-0000-0000-00000C0B0000}"/>
    <cellStyle name="통화 [0] 2 4 5" xfId="2743" xr:uid="{00000000-0005-0000-0000-00000D0B0000}"/>
    <cellStyle name="통화 [0] 2 4 6" xfId="2744" xr:uid="{00000000-0005-0000-0000-00000E0B0000}"/>
    <cellStyle name="통화 [0] 2 4 7" xfId="2745" xr:uid="{00000000-0005-0000-0000-00000F0B0000}"/>
    <cellStyle name="통화 [0] 2 5" xfId="2746" xr:uid="{00000000-0005-0000-0000-0000100B0000}"/>
    <cellStyle name="통화 [0] 2 6" xfId="2747" xr:uid="{00000000-0005-0000-0000-0000110B0000}"/>
    <cellStyle name="통화 [0] 2 6 2" xfId="2748" xr:uid="{00000000-0005-0000-0000-0000120B0000}"/>
    <cellStyle name="통화 [0] 2 6 2 2" xfId="2749" xr:uid="{00000000-0005-0000-0000-0000130B0000}"/>
    <cellStyle name="통화 [0] 2 6 2 2 2" xfId="2750" xr:uid="{00000000-0005-0000-0000-0000140B0000}"/>
    <cellStyle name="통화 [0] 2 6 2 3" xfId="2751" xr:uid="{00000000-0005-0000-0000-0000150B0000}"/>
    <cellStyle name="통화 [0] 2 6 3" xfId="2752" xr:uid="{00000000-0005-0000-0000-0000160B0000}"/>
    <cellStyle name="통화 [0] 2 6 4" xfId="2753" xr:uid="{00000000-0005-0000-0000-0000170B0000}"/>
    <cellStyle name="통화 [0] 2 6 5" xfId="2754" xr:uid="{00000000-0005-0000-0000-0000180B0000}"/>
    <cellStyle name="통화 [0] 2 6 6" xfId="2755" xr:uid="{00000000-0005-0000-0000-0000190B0000}"/>
    <cellStyle name="통화 [0] 2 6 7" xfId="2756" xr:uid="{00000000-0005-0000-0000-00001A0B0000}"/>
    <cellStyle name="통화 [0] 2 7" xfId="2757" xr:uid="{00000000-0005-0000-0000-00001B0B0000}"/>
    <cellStyle name="통화 [0] 2 7 2" xfId="2758" xr:uid="{00000000-0005-0000-0000-00001C0B0000}"/>
    <cellStyle name="통화 [0] 2 7 3" xfId="2759" xr:uid="{00000000-0005-0000-0000-00001D0B0000}"/>
    <cellStyle name="통화 [0] 2 8" xfId="2760" xr:uid="{00000000-0005-0000-0000-00001E0B0000}"/>
    <cellStyle name="통화 [0] 2 8 2" xfId="2761" xr:uid="{00000000-0005-0000-0000-00001F0B0000}"/>
    <cellStyle name="통화 [0] 2 8 3" xfId="2762" xr:uid="{00000000-0005-0000-0000-0000200B0000}"/>
    <cellStyle name="통화 [0] 2 9" xfId="2763" xr:uid="{00000000-0005-0000-0000-0000210B0000}"/>
    <cellStyle name="통화 [0] 2 9 2" xfId="2764" xr:uid="{00000000-0005-0000-0000-0000220B0000}"/>
    <cellStyle name="통화 [0] 2 9 3" xfId="2765" xr:uid="{00000000-0005-0000-0000-0000230B0000}"/>
    <cellStyle name="통화 [0] 20" xfId="3520" xr:uid="{00000000-0005-0000-0000-0000240B0000}"/>
    <cellStyle name="통화 [0] 21" xfId="2640" xr:uid="{00000000-0005-0000-0000-0000250B0000}"/>
    <cellStyle name="통화 [0] 3" xfId="2766" xr:uid="{00000000-0005-0000-0000-0000260B0000}"/>
    <cellStyle name="통화 [0] 3 10" xfId="2767" xr:uid="{00000000-0005-0000-0000-0000270B0000}"/>
    <cellStyle name="통화 [0] 3 11" xfId="2768" xr:uid="{00000000-0005-0000-0000-0000280B0000}"/>
    <cellStyle name="통화 [0] 3 12" xfId="2769" xr:uid="{00000000-0005-0000-0000-0000290B0000}"/>
    <cellStyle name="통화 [0] 3 2" xfId="2770" xr:uid="{00000000-0005-0000-0000-00002A0B0000}"/>
    <cellStyle name="통화 [0] 3 3" xfId="2771" xr:uid="{00000000-0005-0000-0000-00002B0B0000}"/>
    <cellStyle name="통화 [0] 3 4" xfId="2772" xr:uid="{00000000-0005-0000-0000-00002C0B0000}"/>
    <cellStyle name="통화 [0] 3 5" xfId="2773" xr:uid="{00000000-0005-0000-0000-00002D0B0000}"/>
    <cellStyle name="통화 [0] 3 6" xfId="2774" xr:uid="{00000000-0005-0000-0000-00002E0B0000}"/>
    <cellStyle name="통화 [0] 3 7" xfId="2775" xr:uid="{00000000-0005-0000-0000-00002F0B0000}"/>
    <cellStyle name="통화 [0] 3 8" xfId="2776" xr:uid="{00000000-0005-0000-0000-0000300B0000}"/>
    <cellStyle name="통화 [0] 3 9" xfId="2777" xr:uid="{00000000-0005-0000-0000-0000310B0000}"/>
    <cellStyle name="통화 [0] 33" xfId="2778" xr:uid="{00000000-0005-0000-0000-0000320B0000}"/>
    <cellStyle name="통화 [0] 33 2" xfId="2779" xr:uid="{00000000-0005-0000-0000-0000330B0000}"/>
    <cellStyle name="통화 [0] 4" xfId="2780" xr:uid="{00000000-0005-0000-0000-0000340B0000}"/>
    <cellStyle name="통화 [0] 4 10" xfId="2781" xr:uid="{00000000-0005-0000-0000-0000350B0000}"/>
    <cellStyle name="통화 [0] 4 11" xfId="2782" xr:uid="{00000000-0005-0000-0000-0000360B0000}"/>
    <cellStyle name="통화 [0] 4 12" xfId="2783" xr:uid="{00000000-0005-0000-0000-0000370B0000}"/>
    <cellStyle name="통화 [0] 4 2" xfId="2784" xr:uid="{00000000-0005-0000-0000-0000380B0000}"/>
    <cellStyle name="통화 [0] 4 3" xfId="2785" xr:uid="{00000000-0005-0000-0000-0000390B0000}"/>
    <cellStyle name="통화 [0] 4 4" xfId="2786" xr:uid="{00000000-0005-0000-0000-00003A0B0000}"/>
    <cellStyle name="통화 [0] 4 5" xfId="2787" xr:uid="{00000000-0005-0000-0000-00003B0B0000}"/>
    <cellStyle name="통화 [0] 4 6" xfId="2788" xr:uid="{00000000-0005-0000-0000-00003C0B0000}"/>
    <cellStyle name="통화 [0] 4 7" xfId="2789" xr:uid="{00000000-0005-0000-0000-00003D0B0000}"/>
    <cellStyle name="통화 [0] 4 8" xfId="2790" xr:uid="{00000000-0005-0000-0000-00003E0B0000}"/>
    <cellStyle name="통화 [0] 4 9" xfId="2791" xr:uid="{00000000-0005-0000-0000-00003F0B0000}"/>
    <cellStyle name="통화 [0] 5" xfId="2792" xr:uid="{00000000-0005-0000-0000-0000400B0000}"/>
    <cellStyle name="통화 [0] 5 10" xfId="2793" xr:uid="{00000000-0005-0000-0000-0000410B0000}"/>
    <cellStyle name="통화 [0] 5 11" xfId="2794" xr:uid="{00000000-0005-0000-0000-0000420B0000}"/>
    <cellStyle name="통화 [0] 5 12" xfId="2795" xr:uid="{00000000-0005-0000-0000-0000430B0000}"/>
    <cellStyle name="통화 [0] 5 2" xfId="2796" xr:uid="{00000000-0005-0000-0000-0000440B0000}"/>
    <cellStyle name="통화 [0] 5 3" xfId="2797" xr:uid="{00000000-0005-0000-0000-0000450B0000}"/>
    <cellStyle name="통화 [0] 5 4" xfId="2798" xr:uid="{00000000-0005-0000-0000-0000460B0000}"/>
    <cellStyle name="통화 [0] 5 5" xfId="2799" xr:uid="{00000000-0005-0000-0000-0000470B0000}"/>
    <cellStyle name="통화 [0] 5 6" xfId="2800" xr:uid="{00000000-0005-0000-0000-0000480B0000}"/>
    <cellStyle name="통화 [0] 5 7" xfId="2801" xr:uid="{00000000-0005-0000-0000-0000490B0000}"/>
    <cellStyle name="통화 [0] 5 8" xfId="2802" xr:uid="{00000000-0005-0000-0000-00004A0B0000}"/>
    <cellStyle name="통화 [0] 5 9" xfId="2803" xr:uid="{00000000-0005-0000-0000-00004B0B0000}"/>
    <cellStyle name="통화 [0] 6" xfId="2804" xr:uid="{00000000-0005-0000-0000-00004C0B0000}"/>
    <cellStyle name="통화 [0] 6 10" xfId="2805" xr:uid="{00000000-0005-0000-0000-00004D0B0000}"/>
    <cellStyle name="통화 [0] 6 11" xfId="2806" xr:uid="{00000000-0005-0000-0000-00004E0B0000}"/>
    <cellStyle name="통화 [0] 6 12" xfId="2807" xr:uid="{00000000-0005-0000-0000-00004F0B0000}"/>
    <cellStyle name="통화 [0] 6 2" xfId="2808" xr:uid="{00000000-0005-0000-0000-0000500B0000}"/>
    <cellStyle name="통화 [0] 6 3" xfId="2809" xr:uid="{00000000-0005-0000-0000-0000510B0000}"/>
    <cellStyle name="통화 [0] 6 4" xfId="2810" xr:uid="{00000000-0005-0000-0000-0000520B0000}"/>
    <cellStyle name="통화 [0] 6 5" xfId="2811" xr:uid="{00000000-0005-0000-0000-0000530B0000}"/>
    <cellStyle name="통화 [0] 6 6" xfId="2812" xr:uid="{00000000-0005-0000-0000-0000540B0000}"/>
    <cellStyle name="통화 [0] 6 7" xfId="2813" xr:uid="{00000000-0005-0000-0000-0000550B0000}"/>
    <cellStyle name="통화 [0] 6 8" xfId="2814" xr:uid="{00000000-0005-0000-0000-0000560B0000}"/>
    <cellStyle name="통화 [0] 6 9" xfId="2815" xr:uid="{00000000-0005-0000-0000-0000570B0000}"/>
    <cellStyle name="통화 [0] 7" xfId="2816" xr:uid="{00000000-0005-0000-0000-0000580B0000}"/>
    <cellStyle name="통화 [0] 7 10" xfId="2817" xr:uid="{00000000-0005-0000-0000-0000590B0000}"/>
    <cellStyle name="통화 [0] 7 11" xfId="2818" xr:uid="{00000000-0005-0000-0000-00005A0B0000}"/>
    <cellStyle name="통화 [0] 7 12" xfId="2819" xr:uid="{00000000-0005-0000-0000-00005B0B0000}"/>
    <cellStyle name="통화 [0] 7 2" xfId="2820" xr:uid="{00000000-0005-0000-0000-00005C0B0000}"/>
    <cellStyle name="통화 [0] 7 3" xfId="2821" xr:uid="{00000000-0005-0000-0000-00005D0B0000}"/>
    <cellStyle name="통화 [0] 7 4" xfId="2822" xr:uid="{00000000-0005-0000-0000-00005E0B0000}"/>
    <cellStyle name="통화 [0] 7 5" xfId="2823" xr:uid="{00000000-0005-0000-0000-00005F0B0000}"/>
    <cellStyle name="통화 [0] 7 6" xfId="2824" xr:uid="{00000000-0005-0000-0000-0000600B0000}"/>
    <cellStyle name="통화 [0] 7 7" xfId="2825" xr:uid="{00000000-0005-0000-0000-0000610B0000}"/>
    <cellStyle name="통화 [0] 7 8" xfId="2826" xr:uid="{00000000-0005-0000-0000-0000620B0000}"/>
    <cellStyle name="통화 [0] 7 9" xfId="2827" xr:uid="{00000000-0005-0000-0000-0000630B0000}"/>
    <cellStyle name="통화 [0] 8" xfId="2828" xr:uid="{00000000-0005-0000-0000-0000640B0000}"/>
    <cellStyle name="통화 [0] 8 10" xfId="2829" xr:uid="{00000000-0005-0000-0000-0000650B0000}"/>
    <cellStyle name="통화 [0] 8 11" xfId="2830" xr:uid="{00000000-0005-0000-0000-0000660B0000}"/>
    <cellStyle name="통화 [0] 8 12" xfId="2831" xr:uid="{00000000-0005-0000-0000-0000670B0000}"/>
    <cellStyle name="통화 [0] 8 2" xfId="2832" xr:uid="{00000000-0005-0000-0000-0000680B0000}"/>
    <cellStyle name="통화 [0] 8 3" xfId="2833" xr:uid="{00000000-0005-0000-0000-0000690B0000}"/>
    <cellStyle name="통화 [0] 8 4" xfId="2834" xr:uid="{00000000-0005-0000-0000-00006A0B0000}"/>
    <cellStyle name="통화 [0] 8 5" xfId="2835" xr:uid="{00000000-0005-0000-0000-00006B0B0000}"/>
    <cellStyle name="통화 [0] 8 6" xfId="2836" xr:uid="{00000000-0005-0000-0000-00006C0B0000}"/>
    <cellStyle name="통화 [0] 8 7" xfId="2837" xr:uid="{00000000-0005-0000-0000-00006D0B0000}"/>
    <cellStyle name="통화 [0] 8 8" xfId="2838" xr:uid="{00000000-0005-0000-0000-00006E0B0000}"/>
    <cellStyle name="통화 [0] 8 9" xfId="2839" xr:uid="{00000000-0005-0000-0000-00006F0B0000}"/>
    <cellStyle name="통화 [0] 9" xfId="2840" xr:uid="{00000000-0005-0000-0000-0000700B0000}"/>
    <cellStyle name="표준" xfId="0" builtinId="0"/>
    <cellStyle name="표준 10" xfId="2841" xr:uid="{00000000-0005-0000-0000-0000720B0000}"/>
    <cellStyle name="표준 10 2" xfId="2842" xr:uid="{00000000-0005-0000-0000-0000730B0000}"/>
    <cellStyle name="표준 10 3" xfId="2843" xr:uid="{00000000-0005-0000-0000-0000740B0000}"/>
    <cellStyle name="표준 10 4" xfId="2844" xr:uid="{00000000-0005-0000-0000-0000750B0000}"/>
    <cellStyle name="표준 10 5" xfId="2845" xr:uid="{00000000-0005-0000-0000-0000760B0000}"/>
    <cellStyle name="표준 11" xfId="2846" xr:uid="{00000000-0005-0000-0000-0000770B0000}"/>
    <cellStyle name="표준 11 2" xfId="2847" xr:uid="{00000000-0005-0000-0000-0000780B0000}"/>
    <cellStyle name="표준 11 3" xfId="2848" xr:uid="{00000000-0005-0000-0000-0000790B0000}"/>
    <cellStyle name="표준 11 4" xfId="2849" xr:uid="{00000000-0005-0000-0000-00007A0B0000}"/>
    <cellStyle name="표준 11 5" xfId="2850" xr:uid="{00000000-0005-0000-0000-00007B0B0000}"/>
    <cellStyle name="표준 11 6" xfId="2851" xr:uid="{00000000-0005-0000-0000-00007C0B0000}"/>
    <cellStyle name="표준 11 7" xfId="2852" xr:uid="{00000000-0005-0000-0000-00007D0B0000}"/>
    <cellStyle name="표준 11 8" xfId="2853" xr:uid="{00000000-0005-0000-0000-00007E0B0000}"/>
    <cellStyle name="표준 12" xfId="3119" xr:uid="{00000000-0005-0000-0000-00007F0B0000}"/>
    <cellStyle name="표준 12 2" xfId="2854" xr:uid="{00000000-0005-0000-0000-0000800B0000}"/>
    <cellStyle name="표준 12 3" xfId="2855" xr:uid="{00000000-0005-0000-0000-0000810B0000}"/>
    <cellStyle name="표준 12 4" xfId="2856" xr:uid="{00000000-0005-0000-0000-0000820B0000}"/>
    <cellStyle name="표준 12 5" xfId="2857" xr:uid="{00000000-0005-0000-0000-0000830B0000}"/>
    <cellStyle name="표준 13" xfId="2858" xr:uid="{00000000-0005-0000-0000-0000840B0000}"/>
    <cellStyle name="표준 13 10" xfId="2859" xr:uid="{00000000-0005-0000-0000-0000850B0000}"/>
    <cellStyle name="표준 13 11" xfId="2860" xr:uid="{00000000-0005-0000-0000-0000860B0000}"/>
    <cellStyle name="표준 13 12" xfId="2861" xr:uid="{00000000-0005-0000-0000-0000870B0000}"/>
    <cellStyle name="표준 13 13" xfId="2862" xr:uid="{00000000-0005-0000-0000-0000880B0000}"/>
    <cellStyle name="표준 13 2" xfId="2863" xr:uid="{00000000-0005-0000-0000-0000890B0000}"/>
    <cellStyle name="표준 13 3" xfId="2864" xr:uid="{00000000-0005-0000-0000-00008A0B0000}"/>
    <cellStyle name="표준 13 4" xfId="2865" xr:uid="{00000000-0005-0000-0000-00008B0B0000}"/>
    <cellStyle name="표준 13 5" xfId="2866" xr:uid="{00000000-0005-0000-0000-00008C0B0000}"/>
    <cellStyle name="표준 13 6" xfId="2867" xr:uid="{00000000-0005-0000-0000-00008D0B0000}"/>
    <cellStyle name="표준 13 7" xfId="2868" xr:uid="{00000000-0005-0000-0000-00008E0B0000}"/>
    <cellStyle name="표준 13 8" xfId="2869" xr:uid="{00000000-0005-0000-0000-00008F0B0000}"/>
    <cellStyle name="표준 13 9" xfId="2870" xr:uid="{00000000-0005-0000-0000-0000900B0000}"/>
    <cellStyle name="표준 14" xfId="2871" xr:uid="{00000000-0005-0000-0000-0000910B0000}"/>
    <cellStyle name="標準 14" xfId="2872" xr:uid="{00000000-0005-0000-0000-0000920B0000}"/>
    <cellStyle name="표준 14 10" xfId="2873" xr:uid="{00000000-0005-0000-0000-0000930B0000}"/>
    <cellStyle name="표준 14 11" xfId="2874" xr:uid="{00000000-0005-0000-0000-0000940B0000}"/>
    <cellStyle name="표준 14 12" xfId="2875" xr:uid="{00000000-0005-0000-0000-0000950B0000}"/>
    <cellStyle name="표준 14 2" xfId="2876" xr:uid="{00000000-0005-0000-0000-0000960B0000}"/>
    <cellStyle name="표준 14 3" xfId="2877" xr:uid="{00000000-0005-0000-0000-0000970B0000}"/>
    <cellStyle name="표준 14 4" xfId="2878" xr:uid="{00000000-0005-0000-0000-0000980B0000}"/>
    <cellStyle name="표준 14 5" xfId="2879" xr:uid="{00000000-0005-0000-0000-0000990B0000}"/>
    <cellStyle name="표준 14 6" xfId="2880" xr:uid="{00000000-0005-0000-0000-00009A0B0000}"/>
    <cellStyle name="표준 14 7" xfId="2881" xr:uid="{00000000-0005-0000-0000-00009B0B0000}"/>
    <cellStyle name="표준 14 8" xfId="2882" xr:uid="{00000000-0005-0000-0000-00009C0B0000}"/>
    <cellStyle name="표준 14 9" xfId="2883" xr:uid="{00000000-0005-0000-0000-00009D0B0000}"/>
    <cellStyle name="표준 15" xfId="2884" xr:uid="{00000000-0005-0000-0000-00009E0B0000}"/>
    <cellStyle name="표준 15 10" xfId="2885" xr:uid="{00000000-0005-0000-0000-00009F0B0000}"/>
    <cellStyle name="표준 15 11" xfId="2886" xr:uid="{00000000-0005-0000-0000-0000A00B0000}"/>
    <cellStyle name="표준 15 12" xfId="2887" xr:uid="{00000000-0005-0000-0000-0000A10B0000}"/>
    <cellStyle name="표준 15 13" xfId="2888" xr:uid="{00000000-0005-0000-0000-0000A20B0000}"/>
    <cellStyle name="표준 15 2" xfId="2889" xr:uid="{00000000-0005-0000-0000-0000A30B0000}"/>
    <cellStyle name="표준 15 3" xfId="2890" xr:uid="{00000000-0005-0000-0000-0000A40B0000}"/>
    <cellStyle name="표준 15 4" xfId="2891" xr:uid="{00000000-0005-0000-0000-0000A50B0000}"/>
    <cellStyle name="표준 15 5" xfId="2892" xr:uid="{00000000-0005-0000-0000-0000A60B0000}"/>
    <cellStyle name="표준 15 6" xfId="2893" xr:uid="{00000000-0005-0000-0000-0000A70B0000}"/>
    <cellStyle name="표준 15 7" xfId="2894" xr:uid="{00000000-0005-0000-0000-0000A80B0000}"/>
    <cellStyle name="표준 15 8" xfId="2895" xr:uid="{00000000-0005-0000-0000-0000A90B0000}"/>
    <cellStyle name="표준 15 9" xfId="2896" xr:uid="{00000000-0005-0000-0000-0000AA0B0000}"/>
    <cellStyle name="표준 16" xfId="2897" xr:uid="{00000000-0005-0000-0000-0000AB0B0000}"/>
    <cellStyle name="표준 16 10" xfId="2898" xr:uid="{00000000-0005-0000-0000-0000AC0B0000}"/>
    <cellStyle name="표준 16 11" xfId="2899" xr:uid="{00000000-0005-0000-0000-0000AD0B0000}"/>
    <cellStyle name="표준 16 12" xfId="2900" xr:uid="{00000000-0005-0000-0000-0000AE0B0000}"/>
    <cellStyle name="표준 16 13" xfId="2901" xr:uid="{00000000-0005-0000-0000-0000AF0B0000}"/>
    <cellStyle name="표준 16 2" xfId="2902" xr:uid="{00000000-0005-0000-0000-0000B00B0000}"/>
    <cellStyle name="표준 16 3" xfId="2903" xr:uid="{00000000-0005-0000-0000-0000B10B0000}"/>
    <cellStyle name="표준 16 4" xfId="2904" xr:uid="{00000000-0005-0000-0000-0000B20B0000}"/>
    <cellStyle name="표준 16 5" xfId="2905" xr:uid="{00000000-0005-0000-0000-0000B30B0000}"/>
    <cellStyle name="표준 16 6" xfId="2906" xr:uid="{00000000-0005-0000-0000-0000B40B0000}"/>
    <cellStyle name="표준 16 7" xfId="2907" xr:uid="{00000000-0005-0000-0000-0000B50B0000}"/>
    <cellStyle name="표준 16 8" xfId="2908" xr:uid="{00000000-0005-0000-0000-0000B60B0000}"/>
    <cellStyle name="표준 16 9" xfId="2909" xr:uid="{00000000-0005-0000-0000-0000B70B0000}"/>
    <cellStyle name="표준 17" xfId="2910" xr:uid="{00000000-0005-0000-0000-0000B80B0000}"/>
    <cellStyle name="표준 18" xfId="2911" xr:uid="{00000000-0005-0000-0000-0000B90B0000}"/>
    <cellStyle name="표준 19" xfId="2912" xr:uid="{00000000-0005-0000-0000-0000BA0B0000}"/>
    <cellStyle name="표준 19 2" xfId="2913" xr:uid="{00000000-0005-0000-0000-0000BB0B0000}"/>
    <cellStyle name="표준 19 3" xfId="2914" xr:uid="{00000000-0005-0000-0000-0000BC0B0000}"/>
    <cellStyle name="표준 19 4" xfId="2915" xr:uid="{00000000-0005-0000-0000-0000BD0B0000}"/>
    <cellStyle name="표준 2" xfId="2" xr:uid="{00000000-0005-0000-0000-0000BE0B0000}"/>
    <cellStyle name="표준 2 10" xfId="2917" xr:uid="{00000000-0005-0000-0000-0000BF0B0000}"/>
    <cellStyle name="표준 2 11" xfId="2918" xr:uid="{00000000-0005-0000-0000-0000C00B0000}"/>
    <cellStyle name="표준 2 12" xfId="2919" xr:uid="{00000000-0005-0000-0000-0000C10B0000}"/>
    <cellStyle name="표준 2 13" xfId="2920" xr:uid="{00000000-0005-0000-0000-0000C20B0000}"/>
    <cellStyle name="표준 2 14" xfId="2921" xr:uid="{00000000-0005-0000-0000-0000C30B0000}"/>
    <cellStyle name="표준 2 15" xfId="2922" xr:uid="{00000000-0005-0000-0000-0000C40B0000}"/>
    <cellStyle name="표준 2 16" xfId="2923" xr:uid="{00000000-0005-0000-0000-0000C50B0000}"/>
    <cellStyle name="표준 2 17" xfId="2924" xr:uid="{00000000-0005-0000-0000-0000C60B0000}"/>
    <cellStyle name="표준 2 18" xfId="2925" xr:uid="{00000000-0005-0000-0000-0000C70B0000}"/>
    <cellStyle name="표준 2 19" xfId="2926" xr:uid="{00000000-0005-0000-0000-0000C80B0000}"/>
    <cellStyle name="표준 2 2" xfId="2927" xr:uid="{00000000-0005-0000-0000-0000C90B0000}"/>
    <cellStyle name="표준 2 2 2" xfId="2928" xr:uid="{00000000-0005-0000-0000-0000CA0B0000}"/>
    <cellStyle name="표준 2 2 2 2" xfId="2929" xr:uid="{00000000-0005-0000-0000-0000CB0B0000}"/>
    <cellStyle name="표준 2 2 2 2 2" xfId="2930" xr:uid="{00000000-0005-0000-0000-0000CC0B0000}"/>
    <cellStyle name="표준 2 2 2 2 2 2" xfId="2931" xr:uid="{00000000-0005-0000-0000-0000CD0B0000}"/>
    <cellStyle name="표준 2 2 2 2 2 2 2" xfId="2932" xr:uid="{00000000-0005-0000-0000-0000CE0B0000}"/>
    <cellStyle name="표준 2 2 2 2 2 2 2 2" xfId="2933" xr:uid="{00000000-0005-0000-0000-0000CF0B0000}"/>
    <cellStyle name="표준 2 2 2 2 2 2 2 2 2" xfId="2934" xr:uid="{00000000-0005-0000-0000-0000D00B0000}"/>
    <cellStyle name="표준 2 2 2 2 2 2 2 2 2 2" xfId="2935" xr:uid="{00000000-0005-0000-0000-0000D10B0000}"/>
    <cellStyle name="표준 2 2 2 2 2 2 2 2 2 2 2" xfId="2936" xr:uid="{00000000-0005-0000-0000-0000D20B0000}"/>
    <cellStyle name="표준 2 2 2 2 2 2 2 2 2 2 2 2" xfId="2937" xr:uid="{00000000-0005-0000-0000-0000D30B0000}"/>
    <cellStyle name="표준 2 2 2 2 2 2 2 2 2 2 2 2 2" xfId="2938" xr:uid="{00000000-0005-0000-0000-0000D40B0000}"/>
    <cellStyle name="표준 2 2 2 2 2 2 2 2 2 2 3" xfId="2939" xr:uid="{00000000-0005-0000-0000-0000D50B0000}"/>
    <cellStyle name="표준 2 2 2 2 2 2 2 2 2 3" xfId="2940" xr:uid="{00000000-0005-0000-0000-0000D60B0000}"/>
    <cellStyle name="표준 2 2 2 2 2 2 2 2 3" xfId="2941" xr:uid="{00000000-0005-0000-0000-0000D70B0000}"/>
    <cellStyle name="표준 2 2 2 2 2 2 2 2 4" xfId="2942" xr:uid="{00000000-0005-0000-0000-0000D80B0000}"/>
    <cellStyle name="표준 2 2 2 2 2 2 2 3" xfId="2943" xr:uid="{00000000-0005-0000-0000-0000D90B0000}"/>
    <cellStyle name="표준 2 2 2 2 2 2 2 4" xfId="2944" xr:uid="{00000000-0005-0000-0000-0000DA0B0000}"/>
    <cellStyle name="표준 2 2 2 2 2 2 3" xfId="2945" xr:uid="{00000000-0005-0000-0000-0000DB0B0000}"/>
    <cellStyle name="표준 2 2 2 2 2 2 4" xfId="2946" xr:uid="{00000000-0005-0000-0000-0000DC0B0000}"/>
    <cellStyle name="표준 2 2 2 2 2 2 5" xfId="2947" xr:uid="{00000000-0005-0000-0000-0000DD0B0000}"/>
    <cellStyle name="표준 2 2 2 2 2 3" xfId="2948" xr:uid="{00000000-0005-0000-0000-0000DE0B0000}"/>
    <cellStyle name="표준 2 2 2 2 2 4" xfId="2949" xr:uid="{00000000-0005-0000-0000-0000DF0B0000}"/>
    <cellStyle name="표준 2 2 2 2 2 5" xfId="2950" xr:uid="{00000000-0005-0000-0000-0000E00B0000}"/>
    <cellStyle name="표준 2 2 2 2 3" xfId="2951" xr:uid="{00000000-0005-0000-0000-0000E10B0000}"/>
    <cellStyle name="표준 2 2 2 2 4" xfId="2952" xr:uid="{00000000-0005-0000-0000-0000E20B0000}"/>
    <cellStyle name="표준 2 2 2 2 5" xfId="2953" xr:uid="{00000000-0005-0000-0000-0000E30B0000}"/>
    <cellStyle name="표준 2 2 2 2 6" xfId="2954" xr:uid="{00000000-0005-0000-0000-0000E40B0000}"/>
    <cellStyle name="표준 2 2 2 3" xfId="2955" xr:uid="{00000000-0005-0000-0000-0000E50B0000}"/>
    <cellStyle name="표준 2 2 2 4" xfId="2956" xr:uid="{00000000-0005-0000-0000-0000E60B0000}"/>
    <cellStyle name="표준 2 2 2 5" xfId="2957" xr:uid="{00000000-0005-0000-0000-0000E70B0000}"/>
    <cellStyle name="표준 2 2 2 6" xfId="2958" xr:uid="{00000000-0005-0000-0000-0000E80B0000}"/>
    <cellStyle name="표준 2 2 3" xfId="2959" xr:uid="{00000000-0005-0000-0000-0000E90B0000}"/>
    <cellStyle name="표준 2 2 4" xfId="2960" xr:uid="{00000000-0005-0000-0000-0000EA0B0000}"/>
    <cellStyle name="표준 2 2 5" xfId="2961" xr:uid="{00000000-0005-0000-0000-0000EB0B0000}"/>
    <cellStyle name="표준 2 2 6" xfId="2962" xr:uid="{00000000-0005-0000-0000-0000EC0B0000}"/>
    <cellStyle name="표준 2 2 7" xfId="2963" xr:uid="{00000000-0005-0000-0000-0000ED0B0000}"/>
    <cellStyle name="표준 2 20" xfId="2964" xr:uid="{00000000-0005-0000-0000-0000EE0B0000}"/>
    <cellStyle name="표준 2 21" xfId="2965" xr:uid="{00000000-0005-0000-0000-0000EF0B0000}"/>
    <cellStyle name="표준 2 22" xfId="2966" xr:uid="{00000000-0005-0000-0000-0000F00B0000}"/>
    <cellStyle name="표준 2 23" xfId="2967" xr:uid="{00000000-0005-0000-0000-0000F10B0000}"/>
    <cellStyle name="표준 2 24" xfId="2968" xr:uid="{00000000-0005-0000-0000-0000F20B0000}"/>
    <cellStyle name="표준 2 25" xfId="2969" xr:uid="{00000000-0005-0000-0000-0000F30B0000}"/>
    <cellStyle name="표준 2 26" xfId="2970" xr:uid="{00000000-0005-0000-0000-0000F40B0000}"/>
    <cellStyle name="표준 2 26 2" xfId="2971" xr:uid="{00000000-0005-0000-0000-0000F50B0000}"/>
    <cellStyle name="표준 2 27" xfId="2972" xr:uid="{00000000-0005-0000-0000-0000F60B0000}"/>
    <cellStyle name="표준 2 28" xfId="2916" xr:uid="{00000000-0005-0000-0000-0000F70B0000}"/>
    <cellStyle name="표준 2 3" xfId="2973" xr:uid="{00000000-0005-0000-0000-0000F80B0000}"/>
    <cellStyle name="표준 2 4" xfId="2974" xr:uid="{00000000-0005-0000-0000-0000F90B0000}"/>
    <cellStyle name="표준 2 5" xfId="2975" xr:uid="{00000000-0005-0000-0000-0000FA0B0000}"/>
    <cellStyle name="표준 2 6" xfId="2976" xr:uid="{00000000-0005-0000-0000-0000FB0B0000}"/>
    <cellStyle name="표준 2 7" xfId="2977" xr:uid="{00000000-0005-0000-0000-0000FC0B0000}"/>
    <cellStyle name="표준 2 8" xfId="2978" xr:uid="{00000000-0005-0000-0000-0000FD0B0000}"/>
    <cellStyle name="표준 2 8 10" xfId="2979" xr:uid="{00000000-0005-0000-0000-0000FE0B0000}"/>
    <cellStyle name="표준 2 8 11" xfId="2980" xr:uid="{00000000-0005-0000-0000-0000FF0B0000}"/>
    <cellStyle name="표준 2 8 12" xfId="2981" xr:uid="{00000000-0005-0000-0000-0000000C0000}"/>
    <cellStyle name="표준 2 8 13" xfId="2982" xr:uid="{00000000-0005-0000-0000-0000010C0000}"/>
    <cellStyle name="표준 2 8 13 2" xfId="2983" xr:uid="{00000000-0005-0000-0000-0000020C0000}"/>
    <cellStyle name="표준 2 8 14" xfId="2984" xr:uid="{00000000-0005-0000-0000-0000030C0000}"/>
    <cellStyle name="표준 2 8 15" xfId="2985" xr:uid="{00000000-0005-0000-0000-0000040C0000}"/>
    <cellStyle name="표준 2 8 16" xfId="2986" xr:uid="{00000000-0005-0000-0000-0000050C0000}"/>
    <cellStyle name="표준 2 8 17" xfId="2987" xr:uid="{00000000-0005-0000-0000-0000060C0000}"/>
    <cellStyle name="표준 2 8 18" xfId="2988" xr:uid="{00000000-0005-0000-0000-0000070C0000}"/>
    <cellStyle name="표준 2 8 19" xfId="2989" xr:uid="{00000000-0005-0000-0000-0000080C0000}"/>
    <cellStyle name="표준 2 8 2" xfId="2990" xr:uid="{00000000-0005-0000-0000-0000090C0000}"/>
    <cellStyle name="표준 2 8 2 10" xfId="2991" xr:uid="{00000000-0005-0000-0000-00000A0C0000}"/>
    <cellStyle name="표준 2 8 2 11" xfId="2992" xr:uid="{00000000-0005-0000-0000-00000B0C0000}"/>
    <cellStyle name="표준 2 8 2 12" xfId="2993" xr:uid="{00000000-0005-0000-0000-00000C0C0000}"/>
    <cellStyle name="표준 2 8 2 2" xfId="2994" xr:uid="{00000000-0005-0000-0000-00000D0C0000}"/>
    <cellStyle name="표준 2 8 2 2 2" xfId="2995" xr:uid="{00000000-0005-0000-0000-00000E0C0000}"/>
    <cellStyle name="표준 2 8 2 3" xfId="2996" xr:uid="{00000000-0005-0000-0000-00000F0C0000}"/>
    <cellStyle name="표준 2 8 2 4" xfId="2997" xr:uid="{00000000-0005-0000-0000-0000100C0000}"/>
    <cellStyle name="표준 2 8 2 5" xfId="2998" xr:uid="{00000000-0005-0000-0000-0000110C0000}"/>
    <cellStyle name="표준 2 8 2 6" xfId="2999" xr:uid="{00000000-0005-0000-0000-0000120C0000}"/>
    <cellStyle name="표준 2 8 2 7" xfId="3000" xr:uid="{00000000-0005-0000-0000-0000130C0000}"/>
    <cellStyle name="표준 2 8 2 8" xfId="3001" xr:uid="{00000000-0005-0000-0000-0000140C0000}"/>
    <cellStyle name="표준 2 8 2 9" xfId="3002" xr:uid="{00000000-0005-0000-0000-0000150C0000}"/>
    <cellStyle name="표준 2 8 20" xfId="3003" xr:uid="{00000000-0005-0000-0000-0000160C0000}"/>
    <cellStyle name="표준 2 8 21" xfId="3004" xr:uid="{00000000-0005-0000-0000-0000170C0000}"/>
    <cellStyle name="표준 2 8 22" xfId="3005" xr:uid="{00000000-0005-0000-0000-0000180C0000}"/>
    <cellStyle name="표준 2 8 3" xfId="3006" xr:uid="{00000000-0005-0000-0000-0000190C0000}"/>
    <cellStyle name="표준 2 8 4" xfId="3007" xr:uid="{00000000-0005-0000-0000-00001A0C0000}"/>
    <cellStyle name="표준 2 8 5" xfId="3008" xr:uid="{00000000-0005-0000-0000-00001B0C0000}"/>
    <cellStyle name="표준 2 8 6" xfId="3009" xr:uid="{00000000-0005-0000-0000-00001C0C0000}"/>
    <cellStyle name="표준 2 8 7" xfId="3010" xr:uid="{00000000-0005-0000-0000-00001D0C0000}"/>
    <cellStyle name="표준 2 8 8" xfId="3011" xr:uid="{00000000-0005-0000-0000-00001E0C0000}"/>
    <cellStyle name="표준 2 8 9" xfId="3012" xr:uid="{00000000-0005-0000-0000-00001F0C0000}"/>
    <cellStyle name="표준 2 9" xfId="3013" xr:uid="{00000000-0005-0000-0000-0000200C0000}"/>
    <cellStyle name="표준 2 9 2" xfId="3014" xr:uid="{00000000-0005-0000-0000-0000210C0000}"/>
    <cellStyle name="표준 2 9 2 2" xfId="3015" xr:uid="{00000000-0005-0000-0000-0000220C0000}"/>
    <cellStyle name="표준 2 9 2 3" xfId="3016" xr:uid="{00000000-0005-0000-0000-0000230C0000}"/>
    <cellStyle name="표준 2 9 2 4" xfId="3017" xr:uid="{00000000-0005-0000-0000-0000240C0000}"/>
    <cellStyle name="표준 2 9 3" xfId="3018" xr:uid="{00000000-0005-0000-0000-0000250C0000}"/>
    <cellStyle name="표준 2 9 4" xfId="3019" xr:uid="{00000000-0005-0000-0000-0000260C0000}"/>
    <cellStyle name="표준 20" xfId="3020" xr:uid="{00000000-0005-0000-0000-0000270C0000}"/>
    <cellStyle name="표준 20 2" xfId="3168" xr:uid="{00000000-0005-0000-0000-0000280C0000}"/>
    <cellStyle name="표준 21" xfId="3021" xr:uid="{00000000-0005-0000-0000-0000290C0000}"/>
    <cellStyle name="표준 21 2" xfId="3022" xr:uid="{00000000-0005-0000-0000-00002A0C0000}"/>
    <cellStyle name="표준 21 3" xfId="3023" xr:uid="{00000000-0005-0000-0000-00002B0C0000}"/>
    <cellStyle name="표준 21 4" xfId="3024" xr:uid="{00000000-0005-0000-0000-00002C0C0000}"/>
    <cellStyle name="표준 21 5" xfId="3169" xr:uid="{00000000-0005-0000-0000-00002D0C0000}"/>
    <cellStyle name="표준 22" xfId="3112" xr:uid="{00000000-0005-0000-0000-00002E0C0000}"/>
    <cellStyle name="표준 22 2" xfId="3178" xr:uid="{00000000-0005-0000-0000-00002F0C0000}"/>
    <cellStyle name="표준 22 2 2" xfId="3192" xr:uid="{00000000-0005-0000-0000-0000300C0000}"/>
    <cellStyle name="표준 22 2 2 2" xfId="3213" xr:uid="{00000000-0005-0000-0000-0000310C0000}"/>
    <cellStyle name="표준 22 2 2 2 2" xfId="3273" xr:uid="{00000000-0005-0000-0000-0000320C0000}"/>
    <cellStyle name="표준 22 2 2 2 2 2" xfId="3385" xr:uid="{00000000-0005-0000-0000-0000330C0000}"/>
    <cellStyle name="표준 22 2 2 2 2 2 2" xfId="3714" xr:uid="{00000000-0005-0000-0000-0000340C0000}"/>
    <cellStyle name="표준 22 2 2 2 2 3" xfId="3494" xr:uid="{00000000-0005-0000-0000-0000350C0000}"/>
    <cellStyle name="표준 22 2 2 2 2 3 2" xfId="3823" xr:uid="{00000000-0005-0000-0000-0000360C0000}"/>
    <cellStyle name="표준 22 2 2 2 2 4" xfId="3606" xr:uid="{00000000-0005-0000-0000-0000370C0000}"/>
    <cellStyle name="표준 22 2 2 2 3" xfId="3331" xr:uid="{00000000-0005-0000-0000-0000380C0000}"/>
    <cellStyle name="표준 22 2 2 2 3 2" xfId="3660" xr:uid="{00000000-0005-0000-0000-0000390C0000}"/>
    <cellStyle name="표준 22 2 2 2 4" xfId="3440" xr:uid="{00000000-0005-0000-0000-00003A0C0000}"/>
    <cellStyle name="표준 22 2 2 2 4 2" xfId="3769" xr:uid="{00000000-0005-0000-0000-00003B0C0000}"/>
    <cellStyle name="표준 22 2 2 2 5" xfId="3552" xr:uid="{00000000-0005-0000-0000-00003C0C0000}"/>
    <cellStyle name="표준 22 2 2 3" xfId="3235" xr:uid="{00000000-0005-0000-0000-00003D0C0000}"/>
    <cellStyle name="표준 22 2 2 3 2" xfId="3293" xr:uid="{00000000-0005-0000-0000-00003E0C0000}"/>
    <cellStyle name="표준 22 2 2 3 2 2" xfId="3405" xr:uid="{00000000-0005-0000-0000-00003F0C0000}"/>
    <cellStyle name="표준 22 2 2 3 2 2 2" xfId="3734" xr:uid="{00000000-0005-0000-0000-0000400C0000}"/>
    <cellStyle name="표준 22 2 2 3 2 3" xfId="3514" xr:uid="{00000000-0005-0000-0000-0000410C0000}"/>
    <cellStyle name="표준 22 2 2 3 2 3 2" xfId="3843" xr:uid="{00000000-0005-0000-0000-0000420C0000}"/>
    <cellStyle name="표준 22 2 2 3 2 4" xfId="3626" xr:uid="{00000000-0005-0000-0000-0000430C0000}"/>
    <cellStyle name="표준 22 2 2 3 3" xfId="3351" xr:uid="{00000000-0005-0000-0000-0000440C0000}"/>
    <cellStyle name="표준 22 2 2 3 3 2" xfId="3680" xr:uid="{00000000-0005-0000-0000-0000450C0000}"/>
    <cellStyle name="표준 22 2 2 3 4" xfId="3460" xr:uid="{00000000-0005-0000-0000-0000460C0000}"/>
    <cellStyle name="표준 22 2 2 3 4 2" xfId="3789" xr:uid="{00000000-0005-0000-0000-0000470C0000}"/>
    <cellStyle name="표준 22 2 2 3 5" xfId="3572" xr:uid="{00000000-0005-0000-0000-0000480C0000}"/>
    <cellStyle name="표준 22 2 2 4" xfId="3256" xr:uid="{00000000-0005-0000-0000-0000490C0000}"/>
    <cellStyle name="표준 22 2 2 4 2" xfId="3368" xr:uid="{00000000-0005-0000-0000-00004A0C0000}"/>
    <cellStyle name="표준 22 2 2 4 2 2" xfId="3697" xr:uid="{00000000-0005-0000-0000-00004B0C0000}"/>
    <cellStyle name="표준 22 2 2 4 3" xfId="3477" xr:uid="{00000000-0005-0000-0000-00004C0C0000}"/>
    <cellStyle name="표준 22 2 2 4 3 2" xfId="3806" xr:uid="{00000000-0005-0000-0000-00004D0C0000}"/>
    <cellStyle name="표준 22 2 2 4 4" xfId="3589" xr:uid="{00000000-0005-0000-0000-00004E0C0000}"/>
    <cellStyle name="표준 22 2 2 5" xfId="3314" xr:uid="{00000000-0005-0000-0000-00004F0C0000}"/>
    <cellStyle name="표준 22 2 2 5 2" xfId="3643" xr:uid="{00000000-0005-0000-0000-0000500C0000}"/>
    <cellStyle name="표준 22 2 2 6" xfId="3423" xr:uid="{00000000-0005-0000-0000-0000510C0000}"/>
    <cellStyle name="표준 22 2 2 6 2" xfId="3752" xr:uid="{00000000-0005-0000-0000-0000520C0000}"/>
    <cellStyle name="표준 22 2 2 7" xfId="3535" xr:uid="{00000000-0005-0000-0000-0000530C0000}"/>
    <cellStyle name="표준 22 2 3" xfId="3203" xr:uid="{00000000-0005-0000-0000-0000540C0000}"/>
    <cellStyle name="표준 22 2 3 2" xfId="3263" xr:uid="{00000000-0005-0000-0000-0000550C0000}"/>
    <cellStyle name="표준 22 2 3 2 2" xfId="3375" xr:uid="{00000000-0005-0000-0000-0000560C0000}"/>
    <cellStyle name="표준 22 2 3 2 2 2" xfId="3704" xr:uid="{00000000-0005-0000-0000-0000570C0000}"/>
    <cellStyle name="표준 22 2 3 2 3" xfId="3484" xr:uid="{00000000-0005-0000-0000-0000580C0000}"/>
    <cellStyle name="표준 22 2 3 2 3 2" xfId="3813" xr:uid="{00000000-0005-0000-0000-0000590C0000}"/>
    <cellStyle name="표준 22 2 3 2 4" xfId="3596" xr:uid="{00000000-0005-0000-0000-00005A0C0000}"/>
    <cellStyle name="표준 22 2 3 3" xfId="3321" xr:uid="{00000000-0005-0000-0000-00005B0C0000}"/>
    <cellStyle name="표준 22 2 3 3 2" xfId="3650" xr:uid="{00000000-0005-0000-0000-00005C0C0000}"/>
    <cellStyle name="표준 22 2 3 4" xfId="3430" xr:uid="{00000000-0005-0000-0000-00005D0C0000}"/>
    <cellStyle name="표준 22 2 3 4 2" xfId="3759" xr:uid="{00000000-0005-0000-0000-00005E0C0000}"/>
    <cellStyle name="표준 22 2 3 5" xfId="3542" xr:uid="{00000000-0005-0000-0000-00005F0C0000}"/>
    <cellStyle name="표준 22 2 4" xfId="3225" xr:uid="{00000000-0005-0000-0000-0000600C0000}"/>
    <cellStyle name="표준 22 2 4 2" xfId="3283" xr:uid="{00000000-0005-0000-0000-0000610C0000}"/>
    <cellStyle name="표준 22 2 4 2 2" xfId="3395" xr:uid="{00000000-0005-0000-0000-0000620C0000}"/>
    <cellStyle name="표준 22 2 4 2 2 2" xfId="3724" xr:uid="{00000000-0005-0000-0000-0000630C0000}"/>
    <cellStyle name="표준 22 2 4 2 3" xfId="3504" xr:uid="{00000000-0005-0000-0000-0000640C0000}"/>
    <cellStyle name="표준 22 2 4 2 3 2" xfId="3833" xr:uid="{00000000-0005-0000-0000-0000650C0000}"/>
    <cellStyle name="표준 22 2 4 2 4" xfId="3616" xr:uid="{00000000-0005-0000-0000-0000660C0000}"/>
    <cellStyle name="표준 22 2 4 3" xfId="3341" xr:uid="{00000000-0005-0000-0000-0000670C0000}"/>
    <cellStyle name="표준 22 2 4 3 2" xfId="3670" xr:uid="{00000000-0005-0000-0000-0000680C0000}"/>
    <cellStyle name="표준 22 2 4 4" xfId="3450" xr:uid="{00000000-0005-0000-0000-0000690C0000}"/>
    <cellStyle name="표준 22 2 4 4 2" xfId="3779" xr:uid="{00000000-0005-0000-0000-00006A0C0000}"/>
    <cellStyle name="표준 22 2 4 5" xfId="3562" xr:uid="{00000000-0005-0000-0000-00006B0C0000}"/>
    <cellStyle name="표준 22 2 5" xfId="3246" xr:uid="{00000000-0005-0000-0000-00006C0C0000}"/>
    <cellStyle name="표준 22 2 5 2" xfId="3358" xr:uid="{00000000-0005-0000-0000-00006D0C0000}"/>
    <cellStyle name="표준 22 2 5 2 2" xfId="3687" xr:uid="{00000000-0005-0000-0000-00006E0C0000}"/>
    <cellStyle name="표준 22 2 5 3" xfId="3467" xr:uid="{00000000-0005-0000-0000-00006F0C0000}"/>
    <cellStyle name="표준 22 2 5 3 2" xfId="3796" xr:uid="{00000000-0005-0000-0000-0000700C0000}"/>
    <cellStyle name="표준 22 2 5 4" xfId="3579" xr:uid="{00000000-0005-0000-0000-0000710C0000}"/>
    <cellStyle name="표준 22 2 6" xfId="3304" xr:uid="{00000000-0005-0000-0000-0000720C0000}"/>
    <cellStyle name="표준 22 2 6 2" xfId="3633" xr:uid="{00000000-0005-0000-0000-0000730C0000}"/>
    <cellStyle name="표준 22 2 7" xfId="3413" xr:uid="{00000000-0005-0000-0000-0000740C0000}"/>
    <cellStyle name="표준 22 2 7 2" xfId="3742" xr:uid="{00000000-0005-0000-0000-0000750C0000}"/>
    <cellStyle name="표준 22 2 8" xfId="3525" xr:uid="{00000000-0005-0000-0000-0000760C0000}"/>
    <cellStyle name="표준 22 3" xfId="3188" xr:uid="{00000000-0005-0000-0000-0000770C0000}"/>
    <cellStyle name="표준 22 3 2" xfId="3209" xr:uid="{00000000-0005-0000-0000-0000780C0000}"/>
    <cellStyle name="표준 22 3 2 2" xfId="3269" xr:uid="{00000000-0005-0000-0000-0000790C0000}"/>
    <cellStyle name="표준 22 3 2 2 2" xfId="3381" xr:uid="{00000000-0005-0000-0000-00007A0C0000}"/>
    <cellStyle name="표준 22 3 2 2 2 2" xfId="3710" xr:uid="{00000000-0005-0000-0000-00007B0C0000}"/>
    <cellStyle name="표준 22 3 2 2 3" xfId="3490" xr:uid="{00000000-0005-0000-0000-00007C0C0000}"/>
    <cellStyle name="표준 22 3 2 2 3 2" xfId="3819" xr:uid="{00000000-0005-0000-0000-00007D0C0000}"/>
    <cellStyle name="표준 22 3 2 2 4" xfId="3602" xr:uid="{00000000-0005-0000-0000-00007E0C0000}"/>
    <cellStyle name="표준 22 3 2 3" xfId="3327" xr:uid="{00000000-0005-0000-0000-00007F0C0000}"/>
    <cellStyle name="표준 22 3 2 3 2" xfId="3656" xr:uid="{00000000-0005-0000-0000-0000800C0000}"/>
    <cellStyle name="표준 22 3 2 4" xfId="3436" xr:uid="{00000000-0005-0000-0000-0000810C0000}"/>
    <cellStyle name="표준 22 3 2 4 2" xfId="3765" xr:uid="{00000000-0005-0000-0000-0000820C0000}"/>
    <cellStyle name="표준 22 3 2 5" xfId="3548" xr:uid="{00000000-0005-0000-0000-0000830C0000}"/>
    <cellStyle name="표준 22 3 3" xfId="3231" xr:uid="{00000000-0005-0000-0000-0000840C0000}"/>
    <cellStyle name="표준 22 3 3 2" xfId="3289" xr:uid="{00000000-0005-0000-0000-0000850C0000}"/>
    <cellStyle name="표준 22 3 3 2 2" xfId="3401" xr:uid="{00000000-0005-0000-0000-0000860C0000}"/>
    <cellStyle name="표준 22 3 3 2 2 2" xfId="3730" xr:uid="{00000000-0005-0000-0000-0000870C0000}"/>
    <cellStyle name="표준 22 3 3 2 3" xfId="3510" xr:uid="{00000000-0005-0000-0000-0000880C0000}"/>
    <cellStyle name="표준 22 3 3 2 3 2" xfId="3839" xr:uid="{00000000-0005-0000-0000-0000890C0000}"/>
    <cellStyle name="표준 22 3 3 2 4" xfId="3622" xr:uid="{00000000-0005-0000-0000-00008A0C0000}"/>
    <cellStyle name="표준 22 3 3 3" xfId="3347" xr:uid="{00000000-0005-0000-0000-00008B0C0000}"/>
    <cellStyle name="표준 22 3 3 3 2" xfId="3676" xr:uid="{00000000-0005-0000-0000-00008C0C0000}"/>
    <cellStyle name="표준 22 3 3 4" xfId="3456" xr:uid="{00000000-0005-0000-0000-00008D0C0000}"/>
    <cellStyle name="표준 22 3 3 4 2" xfId="3785" xr:uid="{00000000-0005-0000-0000-00008E0C0000}"/>
    <cellStyle name="표준 22 3 3 5" xfId="3568" xr:uid="{00000000-0005-0000-0000-00008F0C0000}"/>
    <cellStyle name="표준 22 3 4" xfId="3252" xr:uid="{00000000-0005-0000-0000-0000900C0000}"/>
    <cellStyle name="표준 22 3 4 2" xfId="3364" xr:uid="{00000000-0005-0000-0000-0000910C0000}"/>
    <cellStyle name="표준 22 3 4 2 2" xfId="3693" xr:uid="{00000000-0005-0000-0000-0000920C0000}"/>
    <cellStyle name="표준 22 3 4 3" xfId="3473" xr:uid="{00000000-0005-0000-0000-0000930C0000}"/>
    <cellStyle name="표준 22 3 4 3 2" xfId="3802" xr:uid="{00000000-0005-0000-0000-0000940C0000}"/>
    <cellStyle name="표준 22 3 4 4" xfId="3585" xr:uid="{00000000-0005-0000-0000-0000950C0000}"/>
    <cellStyle name="표준 22 3 5" xfId="3310" xr:uid="{00000000-0005-0000-0000-0000960C0000}"/>
    <cellStyle name="표준 22 3 5 2" xfId="3639" xr:uid="{00000000-0005-0000-0000-0000970C0000}"/>
    <cellStyle name="표준 22 3 6" xfId="3419" xr:uid="{00000000-0005-0000-0000-0000980C0000}"/>
    <cellStyle name="표준 22 3 6 2" xfId="3748" xr:uid="{00000000-0005-0000-0000-0000990C0000}"/>
    <cellStyle name="표준 22 3 7" xfId="3531" xr:uid="{00000000-0005-0000-0000-00009A0C0000}"/>
    <cellStyle name="표준 22 4" xfId="3199" xr:uid="{00000000-0005-0000-0000-00009B0C0000}"/>
    <cellStyle name="표준 22 4 2" xfId="3259" xr:uid="{00000000-0005-0000-0000-00009C0C0000}"/>
    <cellStyle name="표준 22 4 2 2" xfId="3371" xr:uid="{00000000-0005-0000-0000-00009D0C0000}"/>
    <cellStyle name="표준 22 4 2 2 2" xfId="3700" xr:uid="{00000000-0005-0000-0000-00009E0C0000}"/>
    <cellStyle name="표준 22 4 2 3" xfId="3480" xr:uid="{00000000-0005-0000-0000-00009F0C0000}"/>
    <cellStyle name="표준 22 4 2 3 2" xfId="3809" xr:uid="{00000000-0005-0000-0000-0000A00C0000}"/>
    <cellStyle name="표준 22 4 2 4" xfId="3592" xr:uid="{00000000-0005-0000-0000-0000A10C0000}"/>
    <cellStyle name="표준 22 4 3" xfId="3317" xr:uid="{00000000-0005-0000-0000-0000A20C0000}"/>
    <cellStyle name="표준 22 4 3 2" xfId="3646" xr:uid="{00000000-0005-0000-0000-0000A30C0000}"/>
    <cellStyle name="표준 22 4 4" xfId="3426" xr:uid="{00000000-0005-0000-0000-0000A40C0000}"/>
    <cellStyle name="표준 22 4 4 2" xfId="3755" xr:uid="{00000000-0005-0000-0000-0000A50C0000}"/>
    <cellStyle name="표준 22 4 5" xfId="3538" xr:uid="{00000000-0005-0000-0000-0000A60C0000}"/>
    <cellStyle name="표준 22 5" xfId="3221" xr:uid="{00000000-0005-0000-0000-0000A70C0000}"/>
    <cellStyle name="표준 22 5 2" xfId="3279" xr:uid="{00000000-0005-0000-0000-0000A80C0000}"/>
    <cellStyle name="표준 22 5 2 2" xfId="3391" xr:uid="{00000000-0005-0000-0000-0000A90C0000}"/>
    <cellStyle name="표준 22 5 2 2 2" xfId="3720" xr:uid="{00000000-0005-0000-0000-0000AA0C0000}"/>
    <cellStyle name="표준 22 5 2 3" xfId="3500" xr:uid="{00000000-0005-0000-0000-0000AB0C0000}"/>
    <cellStyle name="표준 22 5 2 3 2" xfId="3829" xr:uid="{00000000-0005-0000-0000-0000AC0C0000}"/>
    <cellStyle name="표준 22 5 2 4" xfId="3612" xr:uid="{00000000-0005-0000-0000-0000AD0C0000}"/>
    <cellStyle name="표준 22 5 3" xfId="3337" xr:uid="{00000000-0005-0000-0000-0000AE0C0000}"/>
    <cellStyle name="표준 22 5 3 2" xfId="3666" xr:uid="{00000000-0005-0000-0000-0000AF0C0000}"/>
    <cellStyle name="표준 22 5 4" xfId="3446" xr:uid="{00000000-0005-0000-0000-0000B00C0000}"/>
    <cellStyle name="표준 22 5 4 2" xfId="3775" xr:uid="{00000000-0005-0000-0000-0000B10C0000}"/>
    <cellStyle name="표준 22 5 5" xfId="3558" xr:uid="{00000000-0005-0000-0000-0000B20C0000}"/>
    <cellStyle name="표준 22 6" xfId="3242" xr:uid="{00000000-0005-0000-0000-0000B30C0000}"/>
    <cellStyle name="표준 22 6 2" xfId="3354" xr:uid="{00000000-0005-0000-0000-0000B40C0000}"/>
    <cellStyle name="표준 22 6 2 2" xfId="3683" xr:uid="{00000000-0005-0000-0000-0000B50C0000}"/>
    <cellStyle name="표준 22 6 3" xfId="3463" xr:uid="{00000000-0005-0000-0000-0000B60C0000}"/>
    <cellStyle name="표준 22 6 3 2" xfId="3792" xr:uid="{00000000-0005-0000-0000-0000B70C0000}"/>
    <cellStyle name="표준 22 6 4" xfId="3575" xr:uid="{00000000-0005-0000-0000-0000B80C0000}"/>
    <cellStyle name="표준 22 7" xfId="3300" xr:uid="{00000000-0005-0000-0000-0000B90C0000}"/>
    <cellStyle name="표준 22 7 2" xfId="3629" xr:uid="{00000000-0005-0000-0000-0000BA0C0000}"/>
    <cellStyle name="표준 22 8" xfId="3409" xr:uid="{00000000-0005-0000-0000-0000BB0C0000}"/>
    <cellStyle name="표준 22 8 2" xfId="3738" xr:uid="{00000000-0005-0000-0000-0000BC0C0000}"/>
    <cellStyle name="표준 22 9" xfId="3521" xr:uid="{00000000-0005-0000-0000-0000BD0C0000}"/>
    <cellStyle name="표준 23" xfId="3025" xr:uid="{00000000-0005-0000-0000-0000BE0C0000}"/>
    <cellStyle name="표준 24" xfId="3026" xr:uid="{00000000-0005-0000-0000-0000BF0C0000}"/>
    <cellStyle name="표준 25" xfId="3027" xr:uid="{00000000-0005-0000-0000-0000C00C0000}"/>
    <cellStyle name="표준 26" xfId="3028" xr:uid="{00000000-0005-0000-0000-0000C10C0000}"/>
    <cellStyle name="표준 27" xfId="3029" xr:uid="{00000000-0005-0000-0000-0000C20C0000}"/>
    <cellStyle name="표준 28" xfId="3030" xr:uid="{00000000-0005-0000-0000-0000C30C0000}"/>
    <cellStyle name="표준 29" xfId="3031" xr:uid="{00000000-0005-0000-0000-0000C40C0000}"/>
    <cellStyle name="표준 3" xfId="3032" xr:uid="{00000000-0005-0000-0000-0000C50C0000}"/>
    <cellStyle name="표준 3 2" xfId="5" xr:uid="{00000000-0005-0000-0000-0000C60C0000}"/>
    <cellStyle name="표준 3 3" xfId="3033" xr:uid="{00000000-0005-0000-0000-0000C70C0000}"/>
    <cellStyle name="표준 3 4" xfId="3034" xr:uid="{00000000-0005-0000-0000-0000C80C0000}"/>
    <cellStyle name="표준 3 5" xfId="3035" xr:uid="{00000000-0005-0000-0000-0000C90C0000}"/>
    <cellStyle name="표준 3 6" xfId="3036" xr:uid="{00000000-0005-0000-0000-0000CA0C0000}"/>
    <cellStyle name="표준 3 7" xfId="3037" xr:uid="{00000000-0005-0000-0000-0000CB0C0000}"/>
    <cellStyle name="표준 3 8" xfId="3038" xr:uid="{00000000-0005-0000-0000-0000CC0C0000}"/>
    <cellStyle name="표준 3 9" xfId="3039" xr:uid="{00000000-0005-0000-0000-0000CD0C0000}"/>
    <cellStyle name="표준 30" xfId="3040" xr:uid="{00000000-0005-0000-0000-0000CE0C0000}"/>
    <cellStyle name="표준 30 10" xfId="3041" xr:uid="{00000000-0005-0000-0000-0000CF0C0000}"/>
    <cellStyle name="표준 30 11" xfId="3042" xr:uid="{00000000-0005-0000-0000-0000D00C0000}"/>
    <cellStyle name="표준 30 12" xfId="3043" xr:uid="{00000000-0005-0000-0000-0000D10C0000}"/>
    <cellStyle name="표준 30 2" xfId="3044" xr:uid="{00000000-0005-0000-0000-0000D20C0000}"/>
    <cellStyle name="표준 30 3" xfId="3045" xr:uid="{00000000-0005-0000-0000-0000D30C0000}"/>
    <cellStyle name="표준 30 4" xfId="3046" xr:uid="{00000000-0005-0000-0000-0000D40C0000}"/>
    <cellStyle name="표준 30 5" xfId="3047" xr:uid="{00000000-0005-0000-0000-0000D50C0000}"/>
    <cellStyle name="표준 30 6" xfId="3048" xr:uid="{00000000-0005-0000-0000-0000D60C0000}"/>
    <cellStyle name="표준 30 7" xfId="3049" xr:uid="{00000000-0005-0000-0000-0000D70C0000}"/>
    <cellStyle name="표준 30 8" xfId="3050" xr:uid="{00000000-0005-0000-0000-0000D80C0000}"/>
    <cellStyle name="표준 30 9" xfId="3051" xr:uid="{00000000-0005-0000-0000-0000D90C0000}"/>
    <cellStyle name="표준 31" xfId="3052" xr:uid="{00000000-0005-0000-0000-0000DA0C0000}"/>
    <cellStyle name="표준 32" xfId="3053" xr:uid="{00000000-0005-0000-0000-0000DB0C0000}"/>
    <cellStyle name="표준 33" xfId="3054" xr:uid="{00000000-0005-0000-0000-0000DC0C0000}"/>
    <cellStyle name="표준 34" xfId="3055" xr:uid="{00000000-0005-0000-0000-0000DD0C0000}"/>
    <cellStyle name="표준 35" xfId="3056" xr:uid="{00000000-0005-0000-0000-0000DE0C0000}"/>
    <cellStyle name="표준 36" xfId="3057" xr:uid="{00000000-0005-0000-0000-0000DF0C0000}"/>
    <cellStyle name="표준 37" xfId="3058" xr:uid="{00000000-0005-0000-0000-0000E00C0000}"/>
    <cellStyle name="표준 38" xfId="3059" xr:uid="{00000000-0005-0000-0000-0000E10C0000}"/>
    <cellStyle name="표준 39" xfId="3060" xr:uid="{00000000-0005-0000-0000-0000E20C0000}"/>
    <cellStyle name="표준 4" xfId="3061" xr:uid="{00000000-0005-0000-0000-0000E30C0000}"/>
    <cellStyle name="표준 4 2" xfId="6" xr:uid="{00000000-0005-0000-0000-0000E40C0000}"/>
    <cellStyle name="표준 4 3" xfId="3062" xr:uid="{00000000-0005-0000-0000-0000E50C0000}"/>
    <cellStyle name="표준 4 4" xfId="3063" xr:uid="{00000000-0005-0000-0000-0000E60C0000}"/>
    <cellStyle name="표준 4 5" xfId="3064" xr:uid="{00000000-0005-0000-0000-0000E70C0000}"/>
    <cellStyle name="표준 4 6" xfId="3065" xr:uid="{00000000-0005-0000-0000-0000E80C0000}"/>
    <cellStyle name="표준 4 7" xfId="3066" xr:uid="{00000000-0005-0000-0000-0000E90C0000}"/>
    <cellStyle name="표준 40" xfId="3067" xr:uid="{00000000-0005-0000-0000-0000EA0C0000}"/>
    <cellStyle name="표준 41" xfId="3120" xr:uid="{00000000-0005-0000-0000-0000EB0C0000}"/>
    <cellStyle name="표준 42" xfId="3122" xr:uid="{00000000-0005-0000-0000-0000EC0C0000}"/>
    <cellStyle name="표준 43" xfId="3068" xr:uid="{00000000-0005-0000-0000-0000ED0C0000}"/>
    <cellStyle name="표준 44" xfId="3069" xr:uid="{00000000-0005-0000-0000-0000EE0C0000}"/>
    <cellStyle name="표준 45" xfId="3070" xr:uid="{00000000-0005-0000-0000-0000EF0C0000}"/>
    <cellStyle name="표준 46" xfId="3123" xr:uid="{00000000-0005-0000-0000-0000F00C0000}"/>
    <cellStyle name="표준 46 2" xfId="3179" xr:uid="{00000000-0005-0000-0000-0000F10C0000}"/>
    <cellStyle name="표준 46 2 2" xfId="3193" xr:uid="{00000000-0005-0000-0000-0000F20C0000}"/>
    <cellStyle name="표준 46 2 2 2" xfId="3214" xr:uid="{00000000-0005-0000-0000-0000F30C0000}"/>
    <cellStyle name="표준 46 2 2 2 2" xfId="3274" xr:uid="{00000000-0005-0000-0000-0000F40C0000}"/>
    <cellStyle name="표준 46 2 2 2 2 2" xfId="3386" xr:uid="{00000000-0005-0000-0000-0000F50C0000}"/>
    <cellStyle name="표준 46 2 2 2 2 2 2" xfId="3715" xr:uid="{00000000-0005-0000-0000-0000F60C0000}"/>
    <cellStyle name="표준 46 2 2 2 2 3" xfId="3495" xr:uid="{00000000-0005-0000-0000-0000F70C0000}"/>
    <cellStyle name="표준 46 2 2 2 2 3 2" xfId="3824" xr:uid="{00000000-0005-0000-0000-0000F80C0000}"/>
    <cellStyle name="표준 46 2 2 2 2 4" xfId="3607" xr:uid="{00000000-0005-0000-0000-0000F90C0000}"/>
    <cellStyle name="표준 46 2 2 2 3" xfId="3332" xr:uid="{00000000-0005-0000-0000-0000FA0C0000}"/>
    <cellStyle name="표준 46 2 2 2 3 2" xfId="3661" xr:uid="{00000000-0005-0000-0000-0000FB0C0000}"/>
    <cellStyle name="표준 46 2 2 2 4" xfId="3441" xr:uid="{00000000-0005-0000-0000-0000FC0C0000}"/>
    <cellStyle name="표준 46 2 2 2 4 2" xfId="3770" xr:uid="{00000000-0005-0000-0000-0000FD0C0000}"/>
    <cellStyle name="표준 46 2 2 2 5" xfId="3553" xr:uid="{00000000-0005-0000-0000-0000FE0C0000}"/>
    <cellStyle name="표준 46 2 2 3" xfId="3236" xr:uid="{00000000-0005-0000-0000-0000FF0C0000}"/>
    <cellStyle name="표준 46 2 2 3 2" xfId="3294" xr:uid="{00000000-0005-0000-0000-0000000D0000}"/>
    <cellStyle name="표준 46 2 2 3 2 2" xfId="3406" xr:uid="{00000000-0005-0000-0000-0000010D0000}"/>
    <cellStyle name="표준 46 2 2 3 2 2 2" xfId="3735" xr:uid="{00000000-0005-0000-0000-0000020D0000}"/>
    <cellStyle name="표준 46 2 2 3 2 3" xfId="3515" xr:uid="{00000000-0005-0000-0000-0000030D0000}"/>
    <cellStyle name="표준 46 2 2 3 2 3 2" xfId="3844" xr:uid="{00000000-0005-0000-0000-0000040D0000}"/>
    <cellStyle name="표준 46 2 2 3 2 4" xfId="3627" xr:uid="{00000000-0005-0000-0000-0000050D0000}"/>
    <cellStyle name="표준 46 2 2 3 3" xfId="3352" xr:uid="{00000000-0005-0000-0000-0000060D0000}"/>
    <cellStyle name="표준 46 2 2 3 3 2" xfId="3681" xr:uid="{00000000-0005-0000-0000-0000070D0000}"/>
    <cellStyle name="표준 46 2 2 3 4" xfId="3461" xr:uid="{00000000-0005-0000-0000-0000080D0000}"/>
    <cellStyle name="표준 46 2 2 3 4 2" xfId="3790" xr:uid="{00000000-0005-0000-0000-0000090D0000}"/>
    <cellStyle name="표준 46 2 2 3 5" xfId="3573" xr:uid="{00000000-0005-0000-0000-00000A0D0000}"/>
    <cellStyle name="표준 46 2 2 4" xfId="3257" xr:uid="{00000000-0005-0000-0000-00000B0D0000}"/>
    <cellStyle name="표준 46 2 2 4 2" xfId="3369" xr:uid="{00000000-0005-0000-0000-00000C0D0000}"/>
    <cellStyle name="표준 46 2 2 4 2 2" xfId="3698" xr:uid="{00000000-0005-0000-0000-00000D0D0000}"/>
    <cellStyle name="표준 46 2 2 4 3" xfId="3478" xr:uid="{00000000-0005-0000-0000-00000E0D0000}"/>
    <cellStyle name="표준 46 2 2 4 3 2" xfId="3807" xr:uid="{00000000-0005-0000-0000-00000F0D0000}"/>
    <cellStyle name="표준 46 2 2 4 4" xfId="3590" xr:uid="{00000000-0005-0000-0000-0000100D0000}"/>
    <cellStyle name="표준 46 2 2 5" xfId="3315" xr:uid="{00000000-0005-0000-0000-0000110D0000}"/>
    <cellStyle name="표준 46 2 2 5 2" xfId="3644" xr:uid="{00000000-0005-0000-0000-0000120D0000}"/>
    <cellStyle name="표준 46 2 2 6" xfId="3424" xr:uid="{00000000-0005-0000-0000-0000130D0000}"/>
    <cellStyle name="표준 46 2 2 6 2" xfId="3753" xr:uid="{00000000-0005-0000-0000-0000140D0000}"/>
    <cellStyle name="표준 46 2 2 7" xfId="3536" xr:uid="{00000000-0005-0000-0000-0000150D0000}"/>
    <cellStyle name="표준 46 2 3" xfId="3204" xr:uid="{00000000-0005-0000-0000-0000160D0000}"/>
    <cellStyle name="표준 46 2 3 2" xfId="3264" xr:uid="{00000000-0005-0000-0000-0000170D0000}"/>
    <cellStyle name="표준 46 2 3 2 2" xfId="3376" xr:uid="{00000000-0005-0000-0000-0000180D0000}"/>
    <cellStyle name="표준 46 2 3 2 2 2" xfId="3705" xr:uid="{00000000-0005-0000-0000-0000190D0000}"/>
    <cellStyle name="표준 46 2 3 2 3" xfId="3485" xr:uid="{00000000-0005-0000-0000-00001A0D0000}"/>
    <cellStyle name="표준 46 2 3 2 3 2" xfId="3814" xr:uid="{00000000-0005-0000-0000-00001B0D0000}"/>
    <cellStyle name="표준 46 2 3 2 4" xfId="3597" xr:uid="{00000000-0005-0000-0000-00001C0D0000}"/>
    <cellStyle name="표준 46 2 3 3" xfId="3322" xr:uid="{00000000-0005-0000-0000-00001D0D0000}"/>
    <cellStyle name="표준 46 2 3 3 2" xfId="3651" xr:uid="{00000000-0005-0000-0000-00001E0D0000}"/>
    <cellStyle name="표준 46 2 3 4" xfId="3431" xr:uid="{00000000-0005-0000-0000-00001F0D0000}"/>
    <cellStyle name="표준 46 2 3 4 2" xfId="3760" xr:uid="{00000000-0005-0000-0000-0000200D0000}"/>
    <cellStyle name="표준 46 2 3 5" xfId="3543" xr:uid="{00000000-0005-0000-0000-0000210D0000}"/>
    <cellStyle name="표준 46 2 4" xfId="3226" xr:uid="{00000000-0005-0000-0000-0000220D0000}"/>
    <cellStyle name="표준 46 2 4 2" xfId="3284" xr:uid="{00000000-0005-0000-0000-0000230D0000}"/>
    <cellStyle name="표준 46 2 4 2 2" xfId="3396" xr:uid="{00000000-0005-0000-0000-0000240D0000}"/>
    <cellStyle name="표준 46 2 4 2 2 2" xfId="3725" xr:uid="{00000000-0005-0000-0000-0000250D0000}"/>
    <cellStyle name="표준 46 2 4 2 3" xfId="3505" xr:uid="{00000000-0005-0000-0000-0000260D0000}"/>
    <cellStyle name="표준 46 2 4 2 3 2" xfId="3834" xr:uid="{00000000-0005-0000-0000-0000270D0000}"/>
    <cellStyle name="표준 46 2 4 2 4" xfId="3617" xr:uid="{00000000-0005-0000-0000-0000280D0000}"/>
    <cellStyle name="표준 46 2 4 3" xfId="3342" xr:uid="{00000000-0005-0000-0000-0000290D0000}"/>
    <cellStyle name="표준 46 2 4 3 2" xfId="3671" xr:uid="{00000000-0005-0000-0000-00002A0D0000}"/>
    <cellStyle name="표준 46 2 4 4" xfId="3451" xr:uid="{00000000-0005-0000-0000-00002B0D0000}"/>
    <cellStyle name="표준 46 2 4 4 2" xfId="3780" xr:uid="{00000000-0005-0000-0000-00002C0D0000}"/>
    <cellStyle name="표준 46 2 4 5" xfId="3563" xr:uid="{00000000-0005-0000-0000-00002D0D0000}"/>
    <cellStyle name="표준 46 2 5" xfId="3247" xr:uid="{00000000-0005-0000-0000-00002E0D0000}"/>
    <cellStyle name="표준 46 2 5 2" xfId="3359" xr:uid="{00000000-0005-0000-0000-00002F0D0000}"/>
    <cellStyle name="표준 46 2 5 2 2" xfId="3688" xr:uid="{00000000-0005-0000-0000-0000300D0000}"/>
    <cellStyle name="표준 46 2 5 3" xfId="3468" xr:uid="{00000000-0005-0000-0000-0000310D0000}"/>
    <cellStyle name="표준 46 2 5 3 2" xfId="3797" xr:uid="{00000000-0005-0000-0000-0000320D0000}"/>
    <cellStyle name="표준 46 2 5 4" xfId="3580" xr:uid="{00000000-0005-0000-0000-0000330D0000}"/>
    <cellStyle name="표준 46 2 6" xfId="3305" xr:uid="{00000000-0005-0000-0000-0000340D0000}"/>
    <cellStyle name="표준 46 2 6 2" xfId="3634" xr:uid="{00000000-0005-0000-0000-0000350D0000}"/>
    <cellStyle name="표준 46 2 7" xfId="3414" xr:uid="{00000000-0005-0000-0000-0000360D0000}"/>
    <cellStyle name="표준 46 2 7 2" xfId="3743" xr:uid="{00000000-0005-0000-0000-0000370D0000}"/>
    <cellStyle name="표준 46 2 8" xfId="3526" xr:uid="{00000000-0005-0000-0000-0000380D0000}"/>
    <cellStyle name="표준 46 3" xfId="3189" xr:uid="{00000000-0005-0000-0000-0000390D0000}"/>
    <cellStyle name="표준 46 3 2" xfId="3210" xr:uid="{00000000-0005-0000-0000-00003A0D0000}"/>
    <cellStyle name="표준 46 3 2 2" xfId="3270" xr:uid="{00000000-0005-0000-0000-00003B0D0000}"/>
    <cellStyle name="표준 46 3 2 2 2" xfId="3382" xr:uid="{00000000-0005-0000-0000-00003C0D0000}"/>
    <cellStyle name="표준 46 3 2 2 2 2" xfId="3711" xr:uid="{00000000-0005-0000-0000-00003D0D0000}"/>
    <cellStyle name="표준 46 3 2 2 3" xfId="3491" xr:uid="{00000000-0005-0000-0000-00003E0D0000}"/>
    <cellStyle name="표준 46 3 2 2 3 2" xfId="3820" xr:uid="{00000000-0005-0000-0000-00003F0D0000}"/>
    <cellStyle name="표준 46 3 2 2 4" xfId="3603" xr:uid="{00000000-0005-0000-0000-0000400D0000}"/>
    <cellStyle name="표준 46 3 2 3" xfId="3328" xr:uid="{00000000-0005-0000-0000-0000410D0000}"/>
    <cellStyle name="표준 46 3 2 3 2" xfId="3657" xr:uid="{00000000-0005-0000-0000-0000420D0000}"/>
    <cellStyle name="표준 46 3 2 4" xfId="3437" xr:uid="{00000000-0005-0000-0000-0000430D0000}"/>
    <cellStyle name="표준 46 3 2 4 2" xfId="3766" xr:uid="{00000000-0005-0000-0000-0000440D0000}"/>
    <cellStyle name="표준 46 3 2 5" xfId="3549" xr:uid="{00000000-0005-0000-0000-0000450D0000}"/>
    <cellStyle name="표준 46 3 3" xfId="3232" xr:uid="{00000000-0005-0000-0000-0000460D0000}"/>
    <cellStyle name="표준 46 3 3 2" xfId="3290" xr:uid="{00000000-0005-0000-0000-0000470D0000}"/>
    <cellStyle name="표준 46 3 3 2 2" xfId="3402" xr:uid="{00000000-0005-0000-0000-0000480D0000}"/>
    <cellStyle name="표준 46 3 3 2 2 2" xfId="3731" xr:uid="{00000000-0005-0000-0000-0000490D0000}"/>
    <cellStyle name="표준 46 3 3 2 3" xfId="3511" xr:uid="{00000000-0005-0000-0000-00004A0D0000}"/>
    <cellStyle name="표준 46 3 3 2 3 2" xfId="3840" xr:uid="{00000000-0005-0000-0000-00004B0D0000}"/>
    <cellStyle name="표준 46 3 3 2 4" xfId="3623" xr:uid="{00000000-0005-0000-0000-00004C0D0000}"/>
    <cellStyle name="표준 46 3 3 3" xfId="3348" xr:uid="{00000000-0005-0000-0000-00004D0D0000}"/>
    <cellStyle name="표준 46 3 3 3 2" xfId="3677" xr:uid="{00000000-0005-0000-0000-00004E0D0000}"/>
    <cellStyle name="표준 46 3 3 4" xfId="3457" xr:uid="{00000000-0005-0000-0000-00004F0D0000}"/>
    <cellStyle name="표준 46 3 3 4 2" xfId="3786" xr:uid="{00000000-0005-0000-0000-0000500D0000}"/>
    <cellStyle name="표준 46 3 3 5" xfId="3569" xr:uid="{00000000-0005-0000-0000-0000510D0000}"/>
    <cellStyle name="표준 46 3 4" xfId="3253" xr:uid="{00000000-0005-0000-0000-0000520D0000}"/>
    <cellStyle name="표준 46 3 4 2" xfId="3365" xr:uid="{00000000-0005-0000-0000-0000530D0000}"/>
    <cellStyle name="표준 46 3 4 2 2" xfId="3694" xr:uid="{00000000-0005-0000-0000-0000540D0000}"/>
    <cellStyle name="표준 46 3 4 3" xfId="3474" xr:uid="{00000000-0005-0000-0000-0000550D0000}"/>
    <cellStyle name="표준 46 3 4 3 2" xfId="3803" xr:uid="{00000000-0005-0000-0000-0000560D0000}"/>
    <cellStyle name="표준 46 3 4 4" xfId="3586" xr:uid="{00000000-0005-0000-0000-0000570D0000}"/>
    <cellStyle name="표준 46 3 5" xfId="3311" xr:uid="{00000000-0005-0000-0000-0000580D0000}"/>
    <cellStyle name="표준 46 3 5 2" xfId="3640" xr:uid="{00000000-0005-0000-0000-0000590D0000}"/>
    <cellStyle name="표준 46 3 6" xfId="3420" xr:uid="{00000000-0005-0000-0000-00005A0D0000}"/>
    <cellStyle name="표준 46 3 6 2" xfId="3749" xr:uid="{00000000-0005-0000-0000-00005B0D0000}"/>
    <cellStyle name="표준 46 3 7" xfId="3532" xr:uid="{00000000-0005-0000-0000-00005C0D0000}"/>
    <cellStyle name="표준 46 4" xfId="3200" xr:uid="{00000000-0005-0000-0000-00005D0D0000}"/>
    <cellStyle name="표준 46 4 2" xfId="3260" xr:uid="{00000000-0005-0000-0000-00005E0D0000}"/>
    <cellStyle name="표준 46 4 2 2" xfId="3372" xr:uid="{00000000-0005-0000-0000-00005F0D0000}"/>
    <cellStyle name="표준 46 4 2 2 2" xfId="3701" xr:uid="{00000000-0005-0000-0000-0000600D0000}"/>
    <cellStyle name="표준 46 4 2 3" xfId="3481" xr:uid="{00000000-0005-0000-0000-0000610D0000}"/>
    <cellStyle name="표준 46 4 2 3 2" xfId="3810" xr:uid="{00000000-0005-0000-0000-0000620D0000}"/>
    <cellStyle name="표준 46 4 2 4" xfId="3593" xr:uid="{00000000-0005-0000-0000-0000630D0000}"/>
    <cellStyle name="표준 46 4 3" xfId="3318" xr:uid="{00000000-0005-0000-0000-0000640D0000}"/>
    <cellStyle name="표준 46 4 3 2" xfId="3647" xr:uid="{00000000-0005-0000-0000-0000650D0000}"/>
    <cellStyle name="표준 46 4 4" xfId="3427" xr:uid="{00000000-0005-0000-0000-0000660D0000}"/>
    <cellStyle name="표준 46 4 4 2" xfId="3756" xr:uid="{00000000-0005-0000-0000-0000670D0000}"/>
    <cellStyle name="표준 46 4 5" xfId="3539" xr:uid="{00000000-0005-0000-0000-0000680D0000}"/>
    <cellStyle name="표준 46 5" xfId="3222" xr:uid="{00000000-0005-0000-0000-0000690D0000}"/>
    <cellStyle name="표준 46 5 2" xfId="3280" xr:uid="{00000000-0005-0000-0000-00006A0D0000}"/>
    <cellStyle name="표준 46 5 2 2" xfId="3392" xr:uid="{00000000-0005-0000-0000-00006B0D0000}"/>
    <cellStyle name="표준 46 5 2 2 2" xfId="3721" xr:uid="{00000000-0005-0000-0000-00006C0D0000}"/>
    <cellStyle name="표준 46 5 2 3" xfId="3501" xr:uid="{00000000-0005-0000-0000-00006D0D0000}"/>
    <cellStyle name="표준 46 5 2 3 2" xfId="3830" xr:uid="{00000000-0005-0000-0000-00006E0D0000}"/>
    <cellStyle name="표준 46 5 2 4" xfId="3613" xr:uid="{00000000-0005-0000-0000-00006F0D0000}"/>
    <cellStyle name="표준 46 5 3" xfId="3338" xr:uid="{00000000-0005-0000-0000-0000700D0000}"/>
    <cellStyle name="표준 46 5 3 2" xfId="3667" xr:uid="{00000000-0005-0000-0000-0000710D0000}"/>
    <cellStyle name="표준 46 5 4" xfId="3447" xr:uid="{00000000-0005-0000-0000-0000720D0000}"/>
    <cellStyle name="표준 46 5 4 2" xfId="3776" xr:uid="{00000000-0005-0000-0000-0000730D0000}"/>
    <cellStyle name="표준 46 5 5" xfId="3559" xr:uid="{00000000-0005-0000-0000-0000740D0000}"/>
    <cellStyle name="표준 46 6" xfId="3243" xr:uid="{00000000-0005-0000-0000-0000750D0000}"/>
    <cellStyle name="표준 46 6 2" xfId="3355" xr:uid="{00000000-0005-0000-0000-0000760D0000}"/>
    <cellStyle name="표준 46 6 2 2" xfId="3684" xr:uid="{00000000-0005-0000-0000-0000770D0000}"/>
    <cellStyle name="표준 46 6 3" xfId="3464" xr:uid="{00000000-0005-0000-0000-0000780D0000}"/>
    <cellStyle name="표준 46 6 3 2" xfId="3793" xr:uid="{00000000-0005-0000-0000-0000790D0000}"/>
    <cellStyle name="표준 46 6 4" xfId="3576" xr:uid="{00000000-0005-0000-0000-00007A0D0000}"/>
    <cellStyle name="표준 46 7" xfId="3301" xr:uid="{00000000-0005-0000-0000-00007B0D0000}"/>
    <cellStyle name="표준 46 7 2" xfId="3630" xr:uid="{00000000-0005-0000-0000-00007C0D0000}"/>
    <cellStyle name="표준 46 8" xfId="3410" xr:uid="{00000000-0005-0000-0000-00007D0D0000}"/>
    <cellStyle name="표준 46 8 2" xfId="3739" xr:uid="{00000000-0005-0000-0000-00007E0D0000}"/>
    <cellStyle name="표준 46 9" xfId="3522" xr:uid="{00000000-0005-0000-0000-00007F0D0000}"/>
    <cellStyle name="표준 47" xfId="3127" xr:uid="{00000000-0005-0000-0000-0000800D0000}"/>
    <cellStyle name="표준 48" xfId="3071" xr:uid="{00000000-0005-0000-0000-0000810D0000}"/>
    <cellStyle name="표준 49" xfId="3170" xr:uid="{00000000-0005-0000-0000-0000820D0000}"/>
    <cellStyle name="표준 5" xfId="3072" xr:uid="{00000000-0005-0000-0000-0000830D0000}"/>
    <cellStyle name="표준 5 2" xfId="3073" xr:uid="{00000000-0005-0000-0000-0000840D0000}"/>
    <cellStyle name="표준 5 3" xfId="3074" xr:uid="{00000000-0005-0000-0000-0000850D0000}"/>
    <cellStyle name="표준 5 4" xfId="3075" xr:uid="{00000000-0005-0000-0000-0000860D0000}"/>
    <cellStyle name="표준 5 5" xfId="3076" xr:uid="{00000000-0005-0000-0000-0000870D0000}"/>
    <cellStyle name="표준 5 6" xfId="3077" xr:uid="{00000000-0005-0000-0000-0000880D0000}"/>
    <cellStyle name="표준 5 7" xfId="3078" xr:uid="{00000000-0005-0000-0000-0000890D0000}"/>
    <cellStyle name="표준 5 8" xfId="3079" xr:uid="{00000000-0005-0000-0000-00008A0D0000}"/>
    <cellStyle name="표준 5 9" xfId="3080" xr:uid="{00000000-0005-0000-0000-00008B0D0000}"/>
    <cellStyle name="표준 50" xfId="3081" xr:uid="{00000000-0005-0000-0000-00008C0D0000}"/>
    <cellStyle name="표준 51" xfId="3082" xr:uid="{00000000-0005-0000-0000-00008D0D0000}"/>
    <cellStyle name="표준 52" xfId="3083" xr:uid="{00000000-0005-0000-0000-00008E0D0000}"/>
    <cellStyle name="표준 52 2" xfId="3084" xr:uid="{00000000-0005-0000-0000-00008F0D0000}"/>
    <cellStyle name="표준 52 3" xfId="3085" xr:uid="{00000000-0005-0000-0000-0000900D0000}"/>
    <cellStyle name="표준 52 4" xfId="3086" xr:uid="{00000000-0005-0000-0000-0000910D0000}"/>
    <cellStyle name="표준 52 5" xfId="3087" xr:uid="{00000000-0005-0000-0000-0000920D0000}"/>
    <cellStyle name="표준 52 6" xfId="3088" xr:uid="{00000000-0005-0000-0000-0000930D0000}"/>
    <cellStyle name="표준 52 7" xfId="3089" xr:uid="{00000000-0005-0000-0000-0000940D0000}"/>
    <cellStyle name="표준 53" xfId="3171" xr:uid="{00000000-0005-0000-0000-0000950D0000}"/>
    <cellStyle name="표준 54" xfId="3173" xr:uid="{00000000-0005-0000-0000-0000960D0000}"/>
    <cellStyle name="표준 55" xfId="3172" xr:uid="{00000000-0005-0000-0000-0000970D0000}"/>
    <cellStyle name="표준 55 2" xfId="3190" xr:uid="{00000000-0005-0000-0000-0000980D0000}"/>
    <cellStyle name="표준 55 2 2" xfId="3211" xr:uid="{00000000-0005-0000-0000-0000990D0000}"/>
    <cellStyle name="표준 55 2 2 2" xfId="3271" xr:uid="{00000000-0005-0000-0000-00009A0D0000}"/>
    <cellStyle name="표준 55 2 2 2 2" xfId="3383" xr:uid="{00000000-0005-0000-0000-00009B0D0000}"/>
    <cellStyle name="표준 55 2 2 2 2 2" xfId="3712" xr:uid="{00000000-0005-0000-0000-00009C0D0000}"/>
    <cellStyle name="표준 55 2 2 2 3" xfId="3492" xr:uid="{00000000-0005-0000-0000-00009D0D0000}"/>
    <cellStyle name="표준 55 2 2 2 3 2" xfId="3821" xr:uid="{00000000-0005-0000-0000-00009E0D0000}"/>
    <cellStyle name="표준 55 2 2 2 4" xfId="3604" xr:uid="{00000000-0005-0000-0000-00009F0D0000}"/>
    <cellStyle name="표준 55 2 2 3" xfId="3329" xr:uid="{00000000-0005-0000-0000-0000A00D0000}"/>
    <cellStyle name="표준 55 2 2 3 2" xfId="3658" xr:uid="{00000000-0005-0000-0000-0000A10D0000}"/>
    <cellStyle name="표준 55 2 2 4" xfId="3438" xr:uid="{00000000-0005-0000-0000-0000A20D0000}"/>
    <cellStyle name="표준 55 2 2 4 2" xfId="3767" xr:uid="{00000000-0005-0000-0000-0000A30D0000}"/>
    <cellStyle name="표준 55 2 2 5" xfId="3550" xr:uid="{00000000-0005-0000-0000-0000A40D0000}"/>
    <cellStyle name="표준 55 2 3" xfId="3233" xr:uid="{00000000-0005-0000-0000-0000A50D0000}"/>
    <cellStyle name="표준 55 2 3 2" xfId="3291" xr:uid="{00000000-0005-0000-0000-0000A60D0000}"/>
    <cellStyle name="표준 55 2 3 2 2" xfId="3403" xr:uid="{00000000-0005-0000-0000-0000A70D0000}"/>
    <cellStyle name="표준 55 2 3 2 2 2" xfId="3732" xr:uid="{00000000-0005-0000-0000-0000A80D0000}"/>
    <cellStyle name="표준 55 2 3 2 3" xfId="3512" xr:uid="{00000000-0005-0000-0000-0000A90D0000}"/>
    <cellStyle name="표준 55 2 3 2 3 2" xfId="3841" xr:uid="{00000000-0005-0000-0000-0000AA0D0000}"/>
    <cellStyle name="표준 55 2 3 2 4" xfId="3624" xr:uid="{00000000-0005-0000-0000-0000AB0D0000}"/>
    <cellStyle name="표준 55 2 3 3" xfId="3349" xr:uid="{00000000-0005-0000-0000-0000AC0D0000}"/>
    <cellStyle name="표준 55 2 3 3 2" xfId="3678" xr:uid="{00000000-0005-0000-0000-0000AD0D0000}"/>
    <cellStyle name="표준 55 2 3 4" xfId="3458" xr:uid="{00000000-0005-0000-0000-0000AE0D0000}"/>
    <cellStyle name="표준 55 2 3 4 2" xfId="3787" xr:uid="{00000000-0005-0000-0000-0000AF0D0000}"/>
    <cellStyle name="표준 55 2 3 5" xfId="3570" xr:uid="{00000000-0005-0000-0000-0000B00D0000}"/>
    <cellStyle name="표준 55 2 4" xfId="3254" xr:uid="{00000000-0005-0000-0000-0000B10D0000}"/>
    <cellStyle name="표준 55 2 4 2" xfId="3366" xr:uid="{00000000-0005-0000-0000-0000B20D0000}"/>
    <cellStyle name="표준 55 2 4 2 2" xfId="3695" xr:uid="{00000000-0005-0000-0000-0000B30D0000}"/>
    <cellStyle name="표준 55 2 4 3" xfId="3475" xr:uid="{00000000-0005-0000-0000-0000B40D0000}"/>
    <cellStyle name="표준 55 2 4 3 2" xfId="3804" xr:uid="{00000000-0005-0000-0000-0000B50D0000}"/>
    <cellStyle name="표준 55 2 4 4" xfId="3587" xr:uid="{00000000-0005-0000-0000-0000B60D0000}"/>
    <cellStyle name="표준 55 2 5" xfId="3312" xr:uid="{00000000-0005-0000-0000-0000B70D0000}"/>
    <cellStyle name="표준 55 2 5 2" xfId="3641" xr:uid="{00000000-0005-0000-0000-0000B80D0000}"/>
    <cellStyle name="표준 55 2 6" xfId="3421" xr:uid="{00000000-0005-0000-0000-0000B90D0000}"/>
    <cellStyle name="표준 55 2 6 2" xfId="3750" xr:uid="{00000000-0005-0000-0000-0000BA0D0000}"/>
    <cellStyle name="표준 55 2 7" xfId="3533" xr:uid="{00000000-0005-0000-0000-0000BB0D0000}"/>
    <cellStyle name="표준 55 3" xfId="3201" xr:uid="{00000000-0005-0000-0000-0000BC0D0000}"/>
    <cellStyle name="표준 55 3 2" xfId="3261" xr:uid="{00000000-0005-0000-0000-0000BD0D0000}"/>
    <cellStyle name="표준 55 3 2 2" xfId="3373" xr:uid="{00000000-0005-0000-0000-0000BE0D0000}"/>
    <cellStyle name="표준 55 3 2 2 2" xfId="3702" xr:uid="{00000000-0005-0000-0000-0000BF0D0000}"/>
    <cellStyle name="표준 55 3 2 3" xfId="3482" xr:uid="{00000000-0005-0000-0000-0000C00D0000}"/>
    <cellStyle name="표준 55 3 2 3 2" xfId="3811" xr:uid="{00000000-0005-0000-0000-0000C10D0000}"/>
    <cellStyle name="표준 55 3 2 4" xfId="3594" xr:uid="{00000000-0005-0000-0000-0000C20D0000}"/>
    <cellStyle name="표준 55 3 3" xfId="3319" xr:uid="{00000000-0005-0000-0000-0000C30D0000}"/>
    <cellStyle name="표준 55 3 3 2" xfId="3648" xr:uid="{00000000-0005-0000-0000-0000C40D0000}"/>
    <cellStyle name="표준 55 3 4" xfId="3428" xr:uid="{00000000-0005-0000-0000-0000C50D0000}"/>
    <cellStyle name="표준 55 3 4 2" xfId="3757" xr:uid="{00000000-0005-0000-0000-0000C60D0000}"/>
    <cellStyle name="표준 55 3 5" xfId="3540" xr:uid="{00000000-0005-0000-0000-0000C70D0000}"/>
    <cellStyle name="표준 55 4" xfId="3223" xr:uid="{00000000-0005-0000-0000-0000C80D0000}"/>
    <cellStyle name="표준 55 4 2" xfId="3281" xr:uid="{00000000-0005-0000-0000-0000C90D0000}"/>
    <cellStyle name="표준 55 4 2 2" xfId="3393" xr:uid="{00000000-0005-0000-0000-0000CA0D0000}"/>
    <cellStyle name="표준 55 4 2 2 2" xfId="3722" xr:uid="{00000000-0005-0000-0000-0000CB0D0000}"/>
    <cellStyle name="표준 55 4 2 3" xfId="3502" xr:uid="{00000000-0005-0000-0000-0000CC0D0000}"/>
    <cellStyle name="표준 55 4 2 3 2" xfId="3831" xr:uid="{00000000-0005-0000-0000-0000CD0D0000}"/>
    <cellStyle name="표준 55 4 2 4" xfId="3614" xr:uid="{00000000-0005-0000-0000-0000CE0D0000}"/>
    <cellStyle name="표준 55 4 3" xfId="3339" xr:uid="{00000000-0005-0000-0000-0000CF0D0000}"/>
    <cellStyle name="표준 55 4 3 2" xfId="3668" xr:uid="{00000000-0005-0000-0000-0000D00D0000}"/>
    <cellStyle name="표준 55 4 4" xfId="3448" xr:uid="{00000000-0005-0000-0000-0000D10D0000}"/>
    <cellStyle name="표준 55 4 4 2" xfId="3777" xr:uid="{00000000-0005-0000-0000-0000D20D0000}"/>
    <cellStyle name="표준 55 4 5" xfId="3560" xr:uid="{00000000-0005-0000-0000-0000D30D0000}"/>
    <cellStyle name="표준 55 5" xfId="3244" xr:uid="{00000000-0005-0000-0000-0000D40D0000}"/>
    <cellStyle name="표준 55 5 2" xfId="3356" xr:uid="{00000000-0005-0000-0000-0000D50D0000}"/>
    <cellStyle name="표준 55 5 2 2" xfId="3685" xr:uid="{00000000-0005-0000-0000-0000D60D0000}"/>
    <cellStyle name="표준 55 5 3" xfId="3465" xr:uid="{00000000-0005-0000-0000-0000D70D0000}"/>
    <cellStyle name="표준 55 5 3 2" xfId="3794" xr:uid="{00000000-0005-0000-0000-0000D80D0000}"/>
    <cellStyle name="표준 55 5 4" xfId="3577" xr:uid="{00000000-0005-0000-0000-0000D90D0000}"/>
    <cellStyle name="표준 55 6" xfId="3302" xr:uid="{00000000-0005-0000-0000-0000DA0D0000}"/>
    <cellStyle name="표준 55 6 2" xfId="3631" xr:uid="{00000000-0005-0000-0000-0000DB0D0000}"/>
    <cellStyle name="표준 55 7" xfId="3411" xr:uid="{00000000-0005-0000-0000-0000DC0D0000}"/>
    <cellStyle name="표준 55 7 2" xfId="3740" xr:uid="{00000000-0005-0000-0000-0000DD0D0000}"/>
    <cellStyle name="표준 55 8" xfId="3523" xr:uid="{00000000-0005-0000-0000-0000DE0D0000}"/>
    <cellStyle name="표준 56" xfId="3177" xr:uid="{00000000-0005-0000-0000-0000DF0D0000}"/>
    <cellStyle name="표준 56 2" xfId="3191" xr:uid="{00000000-0005-0000-0000-0000E00D0000}"/>
    <cellStyle name="표준 56 2 2" xfId="3212" xr:uid="{00000000-0005-0000-0000-0000E10D0000}"/>
    <cellStyle name="표준 56 2 2 2" xfId="3272" xr:uid="{00000000-0005-0000-0000-0000E20D0000}"/>
    <cellStyle name="표준 56 2 2 2 2" xfId="3384" xr:uid="{00000000-0005-0000-0000-0000E30D0000}"/>
    <cellStyle name="표준 56 2 2 2 2 2" xfId="3713" xr:uid="{00000000-0005-0000-0000-0000E40D0000}"/>
    <cellStyle name="표준 56 2 2 2 3" xfId="3493" xr:uid="{00000000-0005-0000-0000-0000E50D0000}"/>
    <cellStyle name="표준 56 2 2 2 3 2" xfId="3822" xr:uid="{00000000-0005-0000-0000-0000E60D0000}"/>
    <cellStyle name="표준 56 2 2 2 4" xfId="3605" xr:uid="{00000000-0005-0000-0000-0000E70D0000}"/>
    <cellStyle name="표준 56 2 2 3" xfId="3330" xr:uid="{00000000-0005-0000-0000-0000E80D0000}"/>
    <cellStyle name="표준 56 2 2 3 2" xfId="3659" xr:uid="{00000000-0005-0000-0000-0000E90D0000}"/>
    <cellStyle name="표준 56 2 2 4" xfId="3439" xr:uid="{00000000-0005-0000-0000-0000EA0D0000}"/>
    <cellStyle name="표준 56 2 2 4 2" xfId="3768" xr:uid="{00000000-0005-0000-0000-0000EB0D0000}"/>
    <cellStyle name="표준 56 2 2 5" xfId="3551" xr:uid="{00000000-0005-0000-0000-0000EC0D0000}"/>
    <cellStyle name="표준 56 2 3" xfId="3234" xr:uid="{00000000-0005-0000-0000-0000ED0D0000}"/>
    <cellStyle name="표준 56 2 3 2" xfId="3292" xr:uid="{00000000-0005-0000-0000-0000EE0D0000}"/>
    <cellStyle name="표준 56 2 3 2 2" xfId="3404" xr:uid="{00000000-0005-0000-0000-0000EF0D0000}"/>
    <cellStyle name="표준 56 2 3 2 2 2" xfId="3733" xr:uid="{00000000-0005-0000-0000-0000F00D0000}"/>
    <cellStyle name="표준 56 2 3 2 3" xfId="3513" xr:uid="{00000000-0005-0000-0000-0000F10D0000}"/>
    <cellStyle name="표준 56 2 3 2 3 2" xfId="3842" xr:uid="{00000000-0005-0000-0000-0000F20D0000}"/>
    <cellStyle name="표준 56 2 3 2 4" xfId="3625" xr:uid="{00000000-0005-0000-0000-0000F30D0000}"/>
    <cellStyle name="표준 56 2 3 3" xfId="3350" xr:uid="{00000000-0005-0000-0000-0000F40D0000}"/>
    <cellStyle name="표준 56 2 3 3 2" xfId="3679" xr:uid="{00000000-0005-0000-0000-0000F50D0000}"/>
    <cellStyle name="표준 56 2 3 4" xfId="3459" xr:uid="{00000000-0005-0000-0000-0000F60D0000}"/>
    <cellStyle name="표준 56 2 3 4 2" xfId="3788" xr:uid="{00000000-0005-0000-0000-0000F70D0000}"/>
    <cellStyle name="표준 56 2 3 5" xfId="3571" xr:uid="{00000000-0005-0000-0000-0000F80D0000}"/>
    <cellStyle name="표준 56 2 4" xfId="3255" xr:uid="{00000000-0005-0000-0000-0000F90D0000}"/>
    <cellStyle name="표준 56 2 4 2" xfId="3367" xr:uid="{00000000-0005-0000-0000-0000FA0D0000}"/>
    <cellStyle name="표준 56 2 4 2 2" xfId="3696" xr:uid="{00000000-0005-0000-0000-0000FB0D0000}"/>
    <cellStyle name="표준 56 2 4 3" xfId="3476" xr:uid="{00000000-0005-0000-0000-0000FC0D0000}"/>
    <cellStyle name="표준 56 2 4 3 2" xfId="3805" xr:uid="{00000000-0005-0000-0000-0000FD0D0000}"/>
    <cellStyle name="표준 56 2 4 4" xfId="3588" xr:uid="{00000000-0005-0000-0000-0000FE0D0000}"/>
    <cellStyle name="표준 56 2 5" xfId="3313" xr:uid="{00000000-0005-0000-0000-0000FF0D0000}"/>
    <cellStyle name="표준 56 2 5 2" xfId="3642" xr:uid="{00000000-0005-0000-0000-0000000E0000}"/>
    <cellStyle name="표준 56 2 6" xfId="3422" xr:uid="{00000000-0005-0000-0000-0000010E0000}"/>
    <cellStyle name="표준 56 2 6 2" xfId="3751" xr:uid="{00000000-0005-0000-0000-0000020E0000}"/>
    <cellStyle name="표준 56 2 7" xfId="3534" xr:uid="{00000000-0005-0000-0000-0000030E0000}"/>
    <cellStyle name="표준 56 3" xfId="3202" xr:uid="{00000000-0005-0000-0000-0000040E0000}"/>
    <cellStyle name="표준 56 3 2" xfId="3262" xr:uid="{00000000-0005-0000-0000-0000050E0000}"/>
    <cellStyle name="표준 56 3 2 2" xfId="3374" xr:uid="{00000000-0005-0000-0000-0000060E0000}"/>
    <cellStyle name="표준 56 3 2 2 2" xfId="3703" xr:uid="{00000000-0005-0000-0000-0000070E0000}"/>
    <cellStyle name="표준 56 3 2 3" xfId="3483" xr:uid="{00000000-0005-0000-0000-0000080E0000}"/>
    <cellStyle name="표준 56 3 2 3 2" xfId="3812" xr:uid="{00000000-0005-0000-0000-0000090E0000}"/>
    <cellStyle name="표준 56 3 2 4" xfId="3595" xr:uid="{00000000-0005-0000-0000-00000A0E0000}"/>
    <cellStyle name="표준 56 3 3" xfId="3320" xr:uid="{00000000-0005-0000-0000-00000B0E0000}"/>
    <cellStyle name="표준 56 3 3 2" xfId="3649" xr:uid="{00000000-0005-0000-0000-00000C0E0000}"/>
    <cellStyle name="표준 56 3 4" xfId="3429" xr:uid="{00000000-0005-0000-0000-00000D0E0000}"/>
    <cellStyle name="표준 56 3 4 2" xfId="3758" xr:uid="{00000000-0005-0000-0000-00000E0E0000}"/>
    <cellStyle name="표준 56 3 5" xfId="3541" xr:uid="{00000000-0005-0000-0000-00000F0E0000}"/>
    <cellStyle name="표준 56 4" xfId="3224" xr:uid="{00000000-0005-0000-0000-0000100E0000}"/>
    <cellStyle name="표준 56 4 2" xfId="3282" xr:uid="{00000000-0005-0000-0000-0000110E0000}"/>
    <cellStyle name="표준 56 4 2 2" xfId="3394" xr:uid="{00000000-0005-0000-0000-0000120E0000}"/>
    <cellStyle name="표준 56 4 2 2 2" xfId="3723" xr:uid="{00000000-0005-0000-0000-0000130E0000}"/>
    <cellStyle name="표준 56 4 2 3" xfId="3503" xr:uid="{00000000-0005-0000-0000-0000140E0000}"/>
    <cellStyle name="표준 56 4 2 3 2" xfId="3832" xr:uid="{00000000-0005-0000-0000-0000150E0000}"/>
    <cellStyle name="표준 56 4 2 4" xfId="3615" xr:uid="{00000000-0005-0000-0000-0000160E0000}"/>
    <cellStyle name="표준 56 4 3" xfId="3340" xr:uid="{00000000-0005-0000-0000-0000170E0000}"/>
    <cellStyle name="표준 56 4 3 2" xfId="3669" xr:uid="{00000000-0005-0000-0000-0000180E0000}"/>
    <cellStyle name="표준 56 4 4" xfId="3449" xr:uid="{00000000-0005-0000-0000-0000190E0000}"/>
    <cellStyle name="표준 56 4 4 2" xfId="3778" xr:uid="{00000000-0005-0000-0000-00001A0E0000}"/>
    <cellStyle name="표준 56 4 5" xfId="3561" xr:uid="{00000000-0005-0000-0000-00001B0E0000}"/>
    <cellStyle name="표준 56 5" xfId="3245" xr:uid="{00000000-0005-0000-0000-00001C0E0000}"/>
    <cellStyle name="표준 56 5 2" xfId="3357" xr:uid="{00000000-0005-0000-0000-00001D0E0000}"/>
    <cellStyle name="표준 56 5 2 2" xfId="3686" xr:uid="{00000000-0005-0000-0000-00001E0E0000}"/>
    <cellStyle name="표준 56 5 3" xfId="3466" xr:uid="{00000000-0005-0000-0000-00001F0E0000}"/>
    <cellStyle name="표준 56 5 3 2" xfId="3795" xr:uid="{00000000-0005-0000-0000-0000200E0000}"/>
    <cellStyle name="표준 56 5 4" xfId="3578" xr:uid="{00000000-0005-0000-0000-0000210E0000}"/>
    <cellStyle name="표준 56 6" xfId="3303" xr:uid="{00000000-0005-0000-0000-0000220E0000}"/>
    <cellStyle name="표준 56 6 2" xfId="3632" xr:uid="{00000000-0005-0000-0000-0000230E0000}"/>
    <cellStyle name="표준 56 7" xfId="3412" xr:uid="{00000000-0005-0000-0000-0000240E0000}"/>
    <cellStyle name="표준 56 7 2" xfId="3741" xr:uid="{00000000-0005-0000-0000-0000250E0000}"/>
    <cellStyle name="표준 56 8" xfId="3524" xr:uid="{00000000-0005-0000-0000-0000260E0000}"/>
    <cellStyle name="표준 57" xfId="3181" xr:uid="{00000000-0005-0000-0000-0000270E0000}"/>
    <cellStyle name="표준 58" xfId="3180" xr:uid="{00000000-0005-0000-0000-0000280E0000}"/>
    <cellStyle name="표준 58 2" xfId="3205" xr:uid="{00000000-0005-0000-0000-0000290E0000}"/>
    <cellStyle name="표준 58 2 2" xfId="3265" xr:uid="{00000000-0005-0000-0000-00002A0E0000}"/>
    <cellStyle name="표준 58 2 2 2" xfId="3377" xr:uid="{00000000-0005-0000-0000-00002B0E0000}"/>
    <cellStyle name="표준 58 2 2 2 2" xfId="3706" xr:uid="{00000000-0005-0000-0000-00002C0E0000}"/>
    <cellStyle name="표준 58 2 2 3" xfId="3486" xr:uid="{00000000-0005-0000-0000-00002D0E0000}"/>
    <cellStyle name="표준 58 2 2 3 2" xfId="3815" xr:uid="{00000000-0005-0000-0000-00002E0E0000}"/>
    <cellStyle name="표준 58 2 2 4" xfId="3598" xr:uid="{00000000-0005-0000-0000-00002F0E0000}"/>
    <cellStyle name="표준 58 2 3" xfId="3323" xr:uid="{00000000-0005-0000-0000-0000300E0000}"/>
    <cellStyle name="표준 58 2 3 2" xfId="3652" xr:uid="{00000000-0005-0000-0000-0000310E0000}"/>
    <cellStyle name="표준 58 2 4" xfId="3432" xr:uid="{00000000-0005-0000-0000-0000320E0000}"/>
    <cellStyle name="표준 58 2 4 2" xfId="3761" xr:uid="{00000000-0005-0000-0000-0000330E0000}"/>
    <cellStyle name="표준 58 2 5" xfId="3544" xr:uid="{00000000-0005-0000-0000-0000340E0000}"/>
    <cellStyle name="표준 58 3" xfId="3227" xr:uid="{00000000-0005-0000-0000-0000350E0000}"/>
    <cellStyle name="표준 58 3 2" xfId="3285" xr:uid="{00000000-0005-0000-0000-0000360E0000}"/>
    <cellStyle name="표준 58 3 2 2" xfId="3397" xr:uid="{00000000-0005-0000-0000-0000370E0000}"/>
    <cellStyle name="표준 58 3 2 2 2" xfId="3726" xr:uid="{00000000-0005-0000-0000-0000380E0000}"/>
    <cellStyle name="표준 58 3 2 3" xfId="3506" xr:uid="{00000000-0005-0000-0000-0000390E0000}"/>
    <cellStyle name="표준 58 3 2 3 2" xfId="3835" xr:uid="{00000000-0005-0000-0000-00003A0E0000}"/>
    <cellStyle name="표준 58 3 2 4" xfId="3618" xr:uid="{00000000-0005-0000-0000-00003B0E0000}"/>
    <cellStyle name="표준 58 3 3" xfId="3343" xr:uid="{00000000-0005-0000-0000-00003C0E0000}"/>
    <cellStyle name="표준 58 3 3 2" xfId="3672" xr:uid="{00000000-0005-0000-0000-00003D0E0000}"/>
    <cellStyle name="표준 58 3 4" xfId="3452" xr:uid="{00000000-0005-0000-0000-00003E0E0000}"/>
    <cellStyle name="표준 58 3 4 2" xfId="3781" xr:uid="{00000000-0005-0000-0000-00003F0E0000}"/>
    <cellStyle name="표준 58 3 5" xfId="3564" xr:uid="{00000000-0005-0000-0000-0000400E0000}"/>
    <cellStyle name="표준 58 4" xfId="3248" xr:uid="{00000000-0005-0000-0000-0000410E0000}"/>
    <cellStyle name="표준 58 4 2" xfId="3360" xr:uid="{00000000-0005-0000-0000-0000420E0000}"/>
    <cellStyle name="표준 58 4 2 2" xfId="3689" xr:uid="{00000000-0005-0000-0000-0000430E0000}"/>
    <cellStyle name="표준 58 4 3" xfId="3469" xr:uid="{00000000-0005-0000-0000-0000440E0000}"/>
    <cellStyle name="표준 58 4 3 2" xfId="3798" xr:uid="{00000000-0005-0000-0000-0000450E0000}"/>
    <cellStyle name="표준 58 4 4" xfId="3581" xr:uid="{00000000-0005-0000-0000-0000460E0000}"/>
    <cellStyle name="표준 58 5" xfId="3306" xr:uid="{00000000-0005-0000-0000-0000470E0000}"/>
    <cellStyle name="표준 58 5 2" xfId="3635" xr:uid="{00000000-0005-0000-0000-0000480E0000}"/>
    <cellStyle name="표준 58 6" xfId="3415" xr:uid="{00000000-0005-0000-0000-0000490E0000}"/>
    <cellStyle name="표준 58 6 2" xfId="3744" xr:uid="{00000000-0005-0000-0000-00004A0E0000}"/>
    <cellStyle name="표준 58 7" xfId="3527" xr:uid="{00000000-0005-0000-0000-00004B0E0000}"/>
    <cellStyle name="표준 59" xfId="3187" xr:uid="{00000000-0005-0000-0000-00004C0E0000}"/>
    <cellStyle name="표준 59 2" xfId="3208" xr:uid="{00000000-0005-0000-0000-00004D0E0000}"/>
    <cellStyle name="표준 59 2 2" xfId="3268" xr:uid="{00000000-0005-0000-0000-00004E0E0000}"/>
    <cellStyle name="표준 59 2 2 2" xfId="3380" xr:uid="{00000000-0005-0000-0000-00004F0E0000}"/>
    <cellStyle name="표준 59 2 2 2 2" xfId="3709" xr:uid="{00000000-0005-0000-0000-0000500E0000}"/>
    <cellStyle name="표준 59 2 2 3" xfId="3489" xr:uid="{00000000-0005-0000-0000-0000510E0000}"/>
    <cellStyle name="표준 59 2 2 3 2" xfId="3818" xr:uid="{00000000-0005-0000-0000-0000520E0000}"/>
    <cellStyle name="표준 59 2 2 4" xfId="3601" xr:uid="{00000000-0005-0000-0000-0000530E0000}"/>
    <cellStyle name="표준 59 2 3" xfId="3326" xr:uid="{00000000-0005-0000-0000-0000540E0000}"/>
    <cellStyle name="표준 59 2 3 2" xfId="3655" xr:uid="{00000000-0005-0000-0000-0000550E0000}"/>
    <cellStyle name="표준 59 2 4" xfId="3435" xr:uid="{00000000-0005-0000-0000-0000560E0000}"/>
    <cellStyle name="표준 59 2 4 2" xfId="3764" xr:uid="{00000000-0005-0000-0000-0000570E0000}"/>
    <cellStyle name="표준 59 2 5" xfId="3547" xr:uid="{00000000-0005-0000-0000-0000580E0000}"/>
    <cellStyle name="표준 59 3" xfId="3230" xr:uid="{00000000-0005-0000-0000-0000590E0000}"/>
    <cellStyle name="표준 59 3 2" xfId="3288" xr:uid="{00000000-0005-0000-0000-00005A0E0000}"/>
    <cellStyle name="표준 59 3 2 2" xfId="3400" xr:uid="{00000000-0005-0000-0000-00005B0E0000}"/>
    <cellStyle name="표준 59 3 2 2 2" xfId="3729" xr:uid="{00000000-0005-0000-0000-00005C0E0000}"/>
    <cellStyle name="표준 59 3 2 3" xfId="3509" xr:uid="{00000000-0005-0000-0000-00005D0E0000}"/>
    <cellStyle name="표준 59 3 2 3 2" xfId="3838" xr:uid="{00000000-0005-0000-0000-00005E0E0000}"/>
    <cellStyle name="표준 59 3 2 4" xfId="3621" xr:uid="{00000000-0005-0000-0000-00005F0E0000}"/>
    <cellStyle name="표준 59 3 3" xfId="3346" xr:uid="{00000000-0005-0000-0000-0000600E0000}"/>
    <cellStyle name="표준 59 3 3 2" xfId="3675" xr:uid="{00000000-0005-0000-0000-0000610E0000}"/>
    <cellStyle name="표준 59 3 4" xfId="3455" xr:uid="{00000000-0005-0000-0000-0000620E0000}"/>
    <cellStyle name="표준 59 3 4 2" xfId="3784" xr:uid="{00000000-0005-0000-0000-0000630E0000}"/>
    <cellStyle name="표준 59 3 5" xfId="3567" xr:uid="{00000000-0005-0000-0000-0000640E0000}"/>
    <cellStyle name="표준 59 4" xfId="3251" xr:uid="{00000000-0005-0000-0000-0000650E0000}"/>
    <cellStyle name="표준 59 4 2" xfId="3363" xr:uid="{00000000-0005-0000-0000-0000660E0000}"/>
    <cellStyle name="표준 59 4 2 2" xfId="3692" xr:uid="{00000000-0005-0000-0000-0000670E0000}"/>
    <cellStyle name="표준 59 4 3" xfId="3472" xr:uid="{00000000-0005-0000-0000-0000680E0000}"/>
    <cellStyle name="표준 59 4 3 2" xfId="3801" xr:uid="{00000000-0005-0000-0000-0000690E0000}"/>
    <cellStyle name="표준 59 4 4" xfId="3584" xr:uid="{00000000-0005-0000-0000-00006A0E0000}"/>
    <cellStyle name="표준 59 5" xfId="3309" xr:uid="{00000000-0005-0000-0000-00006B0E0000}"/>
    <cellStyle name="표준 59 5 2" xfId="3638" xr:uid="{00000000-0005-0000-0000-00006C0E0000}"/>
    <cellStyle name="표준 59 6" xfId="3418" xr:uid="{00000000-0005-0000-0000-00006D0E0000}"/>
    <cellStyle name="표준 59 6 2" xfId="3747" xr:uid="{00000000-0005-0000-0000-00006E0E0000}"/>
    <cellStyle name="표준 59 7" xfId="3530" xr:uid="{00000000-0005-0000-0000-00006F0E0000}"/>
    <cellStyle name="표준 6" xfId="3090" xr:uid="{00000000-0005-0000-0000-0000700E0000}"/>
    <cellStyle name="표준 6 2" xfId="3091" xr:uid="{00000000-0005-0000-0000-0000710E0000}"/>
    <cellStyle name="표준 60" xfId="3182" xr:uid="{00000000-0005-0000-0000-0000720E0000}"/>
    <cellStyle name="표준 60 2" xfId="3206" xr:uid="{00000000-0005-0000-0000-0000730E0000}"/>
    <cellStyle name="표준 60 2 2" xfId="3266" xr:uid="{00000000-0005-0000-0000-0000740E0000}"/>
    <cellStyle name="표준 60 2 2 2" xfId="3378" xr:uid="{00000000-0005-0000-0000-0000750E0000}"/>
    <cellStyle name="표준 60 2 2 2 2" xfId="3707" xr:uid="{00000000-0005-0000-0000-0000760E0000}"/>
    <cellStyle name="표준 60 2 2 3" xfId="3487" xr:uid="{00000000-0005-0000-0000-0000770E0000}"/>
    <cellStyle name="표준 60 2 2 3 2" xfId="3816" xr:uid="{00000000-0005-0000-0000-0000780E0000}"/>
    <cellStyle name="표준 60 2 2 4" xfId="3599" xr:uid="{00000000-0005-0000-0000-0000790E0000}"/>
    <cellStyle name="표준 60 2 3" xfId="3324" xr:uid="{00000000-0005-0000-0000-00007A0E0000}"/>
    <cellStyle name="표준 60 2 3 2" xfId="3653" xr:uid="{00000000-0005-0000-0000-00007B0E0000}"/>
    <cellStyle name="표준 60 2 4" xfId="3433" xr:uid="{00000000-0005-0000-0000-00007C0E0000}"/>
    <cellStyle name="표준 60 2 4 2" xfId="3762" xr:uid="{00000000-0005-0000-0000-00007D0E0000}"/>
    <cellStyle name="표준 60 2 5" xfId="3545" xr:uid="{00000000-0005-0000-0000-00007E0E0000}"/>
    <cellStyle name="표준 60 3" xfId="3228" xr:uid="{00000000-0005-0000-0000-00007F0E0000}"/>
    <cellStyle name="표준 60 3 2" xfId="3286" xr:uid="{00000000-0005-0000-0000-0000800E0000}"/>
    <cellStyle name="표준 60 3 2 2" xfId="3398" xr:uid="{00000000-0005-0000-0000-0000810E0000}"/>
    <cellStyle name="표준 60 3 2 2 2" xfId="3727" xr:uid="{00000000-0005-0000-0000-0000820E0000}"/>
    <cellStyle name="표준 60 3 2 3" xfId="3507" xr:uid="{00000000-0005-0000-0000-0000830E0000}"/>
    <cellStyle name="표준 60 3 2 3 2" xfId="3836" xr:uid="{00000000-0005-0000-0000-0000840E0000}"/>
    <cellStyle name="표준 60 3 2 4" xfId="3619" xr:uid="{00000000-0005-0000-0000-0000850E0000}"/>
    <cellStyle name="표준 60 3 3" xfId="3344" xr:uid="{00000000-0005-0000-0000-0000860E0000}"/>
    <cellStyle name="표준 60 3 3 2" xfId="3673" xr:uid="{00000000-0005-0000-0000-0000870E0000}"/>
    <cellStyle name="표준 60 3 4" xfId="3453" xr:uid="{00000000-0005-0000-0000-0000880E0000}"/>
    <cellStyle name="표준 60 3 4 2" xfId="3782" xr:uid="{00000000-0005-0000-0000-0000890E0000}"/>
    <cellStyle name="표준 60 3 5" xfId="3565" xr:uid="{00000000-0005-0000-0000-00008A0E0000}"/>
    <cellStyle name="표준 60 4" xfId="3249" xr:uid="{00000000-0005-0000-0000-00008B0E0000}"/>
    <cellStyle name="표준 60 4 2" xfId="3361" xr:uid="{00000000-0005-0000-0000-00008C0E0000}"/>
    <cellStyle name="표준 60 4 2 2" xfId="3690" xr:uid="{00000000-0005-0000-0000-00008D0E0000}"/>
    <cellStyle name="표준 60 4 3" xfId="3470" xr:uid="{00000000-0005-0000-0000-00008E0E0000}"/>
    <cellStyle name="표준 60 4 3 2" xfId="3799" xr:uid="{00000000-0005-0000-0000-00008F0E0000}"/>
    <cellStyle name="표준 60 4 4" xfId="3582" xr:uid="{00000000-0005-0000-0000-0000900E0000}"/>
    <cellStyle name="표준 60 5" xfId="3307" xr:uid="{00000000-0005-0000-0000-0000910E0000}"/>
    <cellStyle name="표준 60 5 2" xfId="3636" xr:uid="{00000000-0005-0000-0000-0000920E0000}"/>
    <cellStyle name="표준 60 6" xfId="3416" xr:uid="{00000000-0005-0000-0000-0000930E0000}"/>
    <cellStyle name="표준 60 6 2" xfId="3745" xr:uid="{00000000-0005-0000-0000-0000940E0000}"/>
    <cellStyle name="표준 60 7" xfId="3528" xr:uid="{00000000-0005-0000-0000-0000950E0000}"/>
    <cellStyle name="표준 61" xfId="3186" xr:uid="{00000000-0005-0000-0000-0000960E0000}"/>
    <cellStyle name="표준 61 2" xfId="3207" xr:uid="{00000000-0005-0000-0000-0000970E0000}"/>
    <cellStyle name="표준 61 2 2" xfId="3267" xr:uid="{00000000-0005-0000-0000-0000980E0000}"/>
    <cellStyle name="표준 61 2 2 2" xfId="3379" xr:uid="{00000000-0005-0000-0000-0000990E0000}"/>
    <cellStyle name="표준 61 2 2 2 2" xfId="3708" xr:uid="{00000000-0005-0000-0000-00009A0E0000}"/>
    <cellStyle name="표준 61 2 2 3" xfId="3488" xr:uid="{00000000-0005-0000-0000-00009B0E0000}"/>
    <cellStyle name="표준 61 2 2 3 2" xfId="3817" xr:uid="{00000000-0005-0000-0000-00009C0E0000}"/>
    <cellStyle name="표준 61 2 2 4" xfId="3600" xr:uid="{00000000-0005-0000-0000-00009D0E0000}"/>
    <cellStyle name="표준 61 2 3" xfId="3325" xr:uid="{00000000-0005-0000-0000-00009E0E0000}"/>
    <cellStyle name="표준 61 2 3 2" xfId="3654" xr:uid="{00000000-0005-0000-0000-00009F0E0000}"/>
    <cellStyle name="표준 61 2 4" xfId="3434" xr:uid="{00000000-0005-0000-0000-0000A00E0000}"/>
    <cellStyle name="표준 61 2 4 2" xfId="3763" xr:uid="{00000000-0005-0000-0000-0000A10E0000}"/>
    <cellStyle name="표준 61 2 5" xfId="3546" xr:uid="{00000000-0005-0000-0000-0000A20E0000}"/>
    <cellStyle name="표준 61 3" xfId="3229" xr:uid="{00000000-0005-0000-0000-0000A30E0000}"/>
    <cellStyle name="표준 61 3 2" xfId="3287" xr:uid="{00000000-0005-0000-0000-0000A40E0000}"/>
    <cellStyle name="표준 61 3 2 2" xfId="3399" xr:uid="{00000000-0005-0000-0000-0000A50E0000}"/>
    <cellStyle name="표준 61 3 2 2 2" xfId="3728" xr:uid="{00000000-0005-0000-0000-0000A60E0000}"/>
    <cellStyle name="표준 61 3 2 3" xfId="3508" xr:uid="{00000000-0005-0000-0000-0000A70E0000}"/>
    <cellStyle name="표준 61 3 2 3 2" xfId="3837" xr:uid="{00000000-0005-0000-0000-0000A80E0000}"/>
    <cellStyle name="표준 61 3 2 4" xfId="3620" xr:uid="{00000000-0005-0000-0000-0000A90E0000}"/>
    <cellStyle name="표준 61 3 3" xfId="3345" xr:uid="{00000000-0005-0000-0000-0000AA0E0000}"/>
    <cellStyle name="표준 61 3 3 2" xfId="3674" xr:uid="{00000000-0005-0000-0000-0000AB0E0000}"/>
    <cellStyle name="표준 61 3 4" xfId="3454" xr:uid="{00000000-0005-0000-0000-0000AC0E0000}"/>
    <cellStyle name="표준 61 3 4 2" xfId="3783" xr:uid="{00000000-0005-0000-0000-0000AD0E0000}"/>
    <cellStyle name="표준 61 3 5" xfId="3566" xr:uid="{00000000-0005-0000-0000-0000AE0E0000}"/>
    <cellStyle name="표준 61 4" xfId="3250" xr:uid="{00000000-0005-0000-0000-0000AF0E0000}"/>
    <cellStyle name="표준 61 4 2" xfId="3362" xr:uid="{00000000-0005-0000-0000-0000B00E0000}"/>
    <cellStyle name="표준 61 4 2 2" xfId="3691" xr:uid="{00000000-0005-0000-0000-0000B10E0000}"/>
    <cellStyle name="표준 61 4 3" xfId="3471" xr:uid="{00000000-0005-0000-0000-0000B20E0000}"/>
    <cellStyle name="표준 61 4 3 2" xfId="3800" xr:uid="{00000000-0005-0000-0000-0000B30E0000}"/>
    <cellStyle name="표준 61 4 4" xfId="3583" xr:uid="{00000000-0005-0000-0000-0000B40E0000}"/>
    <cellStyle name="표준 61 5" xfId="3308" xr:uid="{00000000-0005-0000-0000-0000B50E0000}"/>
    <cellStyle name="표준 61 5 2" xfId="3637" xr:uid="{00000000-0005-0000-0000-0000B60E0000}"/>
    <cellStyle name="표준 61 6" xfId="3417" xr:uid="{00000000-0005-0000-0000-0000B70E0000}"/>
    <cellStyle name="표준 61 6 2" xfId="3746" xr:uid="{00000000-0005-0000-0000-0000B80E0000}"/>
    <cellStyle name="표준 61 7" xfId="3529" xr:uid="{00000000-0005-0000-0000-0000B90E0000}"/>
    <cellStyle name="표준 62" xfId="3195" xr:uid="{00000000-0005-0000-0000-0000BA0E0000}"/>
    <cellStyle name="표준 63" xfId="3194" xr:uid="{00000000-0005-0000-0000-0000BB0E0000}"/>
    <cellStyle name="표준 63 2" xfId="3258" xr:uid="{00000000-0005-0000-0000-0000BC0E0000}"/>
    <cellStyle name="표준 63 2 2" xfId="3370" xr:uid="{00000000-0005-0000-0000-0000BD0E0000}"/>
    <cellStyle name="표준 63 2 2 2" xfId="3699" xr:uid="{00000000-0005-0000-0000-0000BE0E0000}"/>
    <cellStyle name="표준 63 2 3" xfId="3479" xr:uid="{00000000-0005-0000-0000-0000BF0E0000}"/>
    <cellStyle name="표준 63 2 3 2" xfId="3808" xr:uid="{00000000-0005-0000-0000-0000C00E0000}"/>
    <cellStyle name="표준 63 2 4" xfId="3591" xr:uid="{00000000-0005-0000-0000-0000C10E0000}"/>
    <cellStyle name="표준 63 3" xfId="3316" xr:uid="{00000000-0005-0000-0000-0000C20E0000}"/>
    <cellStyle name="표준 63 3 2" xfId="3645" xr:uid="{00000000-0005-0000-0000-0000C30E0000}"/>
    <cellStyle name="표준 63 4" xfId="3425" xr:uid="{00000000-0005-0000-0000-0000C40E0000}"/>
    <cellStyle name="표준 63 4 2" xfId="3754" xr:uid="{00000000-0005-0000-0000-0000C50E0000}"/>
    <cellStyle name="표준 63 5" xfId="3537" xr:uid="{00000000-0005-0000-0000-0000C60E0000}"/>
    <cellStyle name="표준 64" xfId="3215" xr:uid="{00000000-0005-0000-0000-0000C70E0000}"/>
    <cellStyle name="표준 64 2" xfId="3275" xr:uid="{00000000-0005-0000-0000-0000C80E0000}"/>
    <cellStyle name="표준 64 2 2" xfId="3387" xr:uid="{00000000-0005-0000-0000-0000C90E0000}"/>
    <cellStyle name="표준 64 2 2 2" xfId="3716" xr:uid="{00000000-0005-0000-0000-0000CA0E0000}"/>
    <cellStyle name="표준 64 2 3" xfId="3496" xr:uid="{00000000-0005-0000-0000-0000CB0E0000}"/>
    <cellStyle name="표준 64 2 3 2" xfId="3825" xr:uid="{00000000-0005-0000-0000-0000CC0E0000}"/>
    <cellStyle name="표준 64 2 4" xfId="3608" xr:uid="{00000000-0005-0000-0000-0000CD0E0000}"/>
    <cellStyle name="표준 64 3" xfId="3333" xr:uid="{00000000-0005-0000-0000-0000CE0E0000}"/>
    <cellStyle name="표준 64 3 2" xfId="3662" xr:uid="{00000000-0005-0000-0000-0000CF0E0000}"/>
    <cellStyle name="표준 64 4" xfId="3442" xr:uid="{00000000-0005-0000-0000-0000D00E0000}"/>
    <cellStyle name="표준 64 4 2" xfId="3771" xr:uid="{00000000-0005-0000-0000-0000D10E0000}"/>
    <cellStyle name="표준 64 5" xfId="3554" xr:uid="{00000000-0005-0000-0000-0000D20E0000}"/>
    <cellStyle name="표준 65" xfId="3220" xr:uid="{00000000-0005-0000-0000-0000D30E0000}"/>
    <cellStyle name="표준 65 2" xfId="3278" xr:uid="{00000000-0005-0000-0000-0000D40E0000}"/>
    <cellStyle name="표준 65 2 2" xfId="3390" xr:uid="{00000000-0005-0000-0000-0000D50E0000}"/>
    <cellStyle name="표준 65 2 2 2" xfId="3719" xr:uid="{00000000-0005-0000-0000-0000D60E0000}"/>
    <cellStyle name="표준 65 2 3" xfId="3499" xr:uid="{00000000-0005-0000-0000-0000D70E0000}"/>
    <cellStyle name="표준 65 2 3 2" xfId="3828" xr:uid="{00000000-0005-0000-0000-0000D80E0000}"/>
    <cellStyle name="표준 65 2 4" xfId="3611" xr:uid="{00000000-0005-0000-0000-0000D90E0000}"/>
    <cellStyle name="표준 65 3" xfId="3336" xr:uid="{00000000-0005-0000-0000-0000DA0E0000}"/>
    <cellStyle name="표준 65 3 2" xfId="3665" xr:uid="{00000000-0005-0000-0000-0000DB0E0000}"/>
    <cellStyle name="표준 65 4" xfId="3445" xr:uid="{00000000-0005-0000-0000-0000DC0E0000}"/>
    <cellStyle name="표준 65 4 2" xfId="3774" xr:uid="{00000000-0005-0000-0000-0000DD0E0000}"/>
    <cellStyle name="표준 65 5" xfId="3557" xr:uid="{00000000-0005-0000-0000-0000DE0E0000}"/>
    <cellStyle name="표준 66" xfId="3238" xr:uid="{00000000-0005-0000-0000-0000DF0E0000}"/>
    <cellStyle name="표준 67" xfId="3237" xr:uid="{00000000-0005-0000-0000-0000E00E0000}"/>
    <cellStyle name="표준 67 2" xfId="3353" xr:uid="{00000000-0005-0000-0000-0000E10E0000}"/>
    <cellStyle name="표준 67 2 2" xfId="3682" xr:uid="{00000000-0005-0000-0000-0000E20E0000}"/>
    <cellStyle name="표준 67 3" xfId="3462" xr:uid="{00000000-0005-0000-0000-0000E30E0000}"/>
    <cellStyle name="표준 67 3 2" xfId="3791" xr:uid="{00000000-0005-0000-0000-0000E40E0000}"/>
    <cellStyle name="표준 67 4" xfId="3574" xr:uid="{00000000-0005-0000-0000-0000E50E0000}"/>
    <cellStyle name="표준 68" xfId="3296" xr:uid="{00000000-0005-0000-0000-0000E60E0000}"/>
    <cellStyle name="표준 69" xfId="3295" xr:uid="{00000000-0005-0000-0000-0000E70E0000}"/>
    <cellStyle name="표준 69 2" xfId="3628" xr:uid="{00000000-0005-0000-0000-0000E80E0000}"/>
    <cellStyle name="표준 7" xfId="3092" xr:uid="{00000000-0005-0000-0000-0000E90E0000}"/>
    <cellStyle name="표준 7 2" xfId="3093" xr:uid="{00000000-0005-0000-0000-0000EA0E0000}"/>
    <cellStyle name="표준 7 3" xfId="3094" xr:uid="{00000000-0005-0000-0000-0000EB0E0000}"/>
    <cellStyle name="표준 7 4" xfId="3095" xr:uid="{00000000-0005-0000-0000-0000EC0E0000}"/>
    <cellStyle name="표준 7 5" xfId="3096" xr:uid="{00000000-0005-0000-0000-0000ED0E0000}"/>
    <cellStyle name="표준 7 6" xfId="3097" xr:uid="{00000000-0005-0000-0000-0000EE0E0000}"/>
    <cellStyle name="표준 7 7" xfId="3098" xr:uid="{00000000-0005-0000-0000-0000EF0E0000}"/>
    <cellStyle name="표준 70" xfId="3407" xr:uid="{00000000-0005-0000-0000-0000F00E0000}"/>
    <cellStyle name="표준 70 2" xfId="3736" xr:uid="{00000000-0005-0000-0000-0000F10E0000}"/>
    <cellStyle name="표준 71" xfId="3408" xr:uid="{00000000-0005-0000-0000-0000F20E0000}"/>
    <cellStyle name="표준 71 2" xfId="3737" xr:uid="{00000000-0005-0000-0000-0000F30E0000}"/>
    <cellStyle name="표준 72" xfId="3517" xr:uid="{00000000-0005-0000-0000-0000F40E0000}"/>
    <cellStyle name="표준 73" xfId="3516" xr:uid="{00000000-0005-0000-0000-0000F50E0000}"/>
    <cellStyle name="표준 74" xfId="9" xr:uid="{00000000-0005-0000-0000-0000F60E0000}"/>
    <cellStyle name="표준 8" xfId="3099" xr:uid="{00000000-0005-0000-0000-0000F70E0000}"/>
    <cellStyle name="표준 8 2" xfId="3100" xr:uid="{00000000-0005-0000-0000-0000F80E0000}"/>
    <cellStyle name="표준 8 3" xfId="3101" xr:uid="{00000000-0005-0000-0000-0000F90E0000}"/>
    <cellStyle name="표준 8 4" xfId="3102" xr:uid="{00000000-0005-0000-0000-0000FA0E0000}"/>
    <cellStyle name="표준 9" xfId="3113" xr:uid="{00000000-0005-0000-0000-0000FB0E0000}"/>
    <cellStyle name="표준 9 2" xfId="3103" xr:uid="{00000000-0005-0000-0000-0000FC0E0000}"/>
    <cellStyle name="표준 9 3" xfId="3104" xr:uid="{00000000-0005-0000-0000-0000FD0E0000}"/>
    <cellStyle name="표준 9 4" xfId="3105" xr:uid="{00000000-0005-0000-0000-0000FE0E0000}"/>
    <cellStyle name="표준 9 5" xfId="3106" xr:uid="{00000000-0005-0000-0000-0000FF0E0000}"/>
    <cellStyle name="표준 9 6" xfId="3107" xr:uid="{00000000-0005-0000-0000-0000000F0000}"/>
    <cellStyle name="표준 9 7" xfId="3108" xr:uid="{00000000-0005-0000-0000-0000010F0000}"/>
    <cellStyle name="표준 9 8" xfId="3109" xr:uid="{00000000-0005-0000-0000-0000020F0000}"/>
    <cellStyle name="標準_Sheet1" xfId="3110" xr:uid="{00000000-0005-0000-0000-0000030F0000}"/>
    <cellStyle name="桁区切り 15" xfId="3111" xr:uid="{00000000-0005-0000-0000-000004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08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320477502295683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82880"/>
        <c:axId val="3507018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82880"/>
        <c:axId val="350701824"/>
      </c:lineChart>
      <c:catAx>
        <c:axId val="19948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1824"/>
        <c:crosses val="autoZero"/>
        <c:auto val="1"/>
        <c:lblAlgn val="ctr"/>
        <c:lblOffset val="100"/>
        <c:noMultiLvlLbl val="0"/>
      </c:catAx>
      <c:valAx>
        <c:axId val="350701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48288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LEAD GUIDE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88P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'02'!$L$6:$L$20</c:f>
              <c:numCache>
                <c:formatCode>_(* #,##0_);_(* \(#,##0\);_(* "-"_);_(@_)</c:formatCode>
                <c:ptCount val="15"/>
                <c:pt idx="2">
                  <c:v>3610</c:v>
                </c:pt>
                <c:pt idx="3">
                  <c:v>2776</c:v>
                </c:pt>
                <c:pt idx="4">
                  <c:v>16158</c:v>
                </c:pt>
                <c:pt idx="5">
                  <c:v>6570</c:v>
                </c:pt>
                <c:pt idx="6">
                  <c:v>4770</c:v>
                </c:pt>
                <c:pt idx="10">
                  <c:v>4862</c:v>
                </c:pt>
                <c:pt idx="11">
                  <c:v>342</c:v>
                </c:pt>
                <c:pt idx="12">
                  <c:v>5495</c:v>
                </c:pt>
                <c:pt idx="13">
                  <c:v>1200</c:v>
                </c:pt>
                <c:pt idx="14">
                  <c:v>41052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E-42E6-9AD5-B8534F17D00E}"/>
            </c:ext>
          </c:extLst>
        </c:ser>
        <c:ser>
          <c:idx val="1"/>
          <c:order val="1"/>
          <c:tx>
            <c:v>계획</c:v>
          </c:tx>
          <c:cat>
            <c:strRef>
              <c:f>'02'!$D$6:$D$20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LEAD GUIDE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88P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'02'!$J$6:$J$20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3610</c:v>
                </c:pt>
                <c:pt idx="3">
                  <c:v>2776</c:v>
                </c:pt>
                <c:pt idx="4">
                  <c:v>16158</c:v>
                </c:pt>
                <c:pt idx="5">
                  <c:v>6570</c:v>
                </c:pt>
                <c:pt idx="6">
                  <c:v>4770</c:v>
                </c:pt>
                <c:pt idx="7">
                  <c:v>1513</c:v>
                </c:pt>
                <c:pt idx="8">
                  <c:v>131</c:v>
                </c:pt>
                <c:pt idx="9">
                  <c:v>878</c:v>
                </c:pt>
                <c:pt idx="10">
                  <c:v>4862</c:v>
                </c:pt>
                <c:pt idx="11">
                  <c:v>342</c:v>
                </c:pt>
                <c:pt idx="12">
                  <c:v>5495</c:v>
                </c:pt>
                <c:pt idx="13">
                  <c:v>1200</c:v>
                </c:pt>
                <c:pt idx="14">
                  <c:v>41052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E-42E6-9AD5-B8534F17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'29'!$L$6:$L$20</c:f>
              <c:numCache>
                <c:formatCode>_(* #,##0_);_(* \(#,##0\);_(* "-"_);_(@_)</c:formatCode>
                <c:ptCount val="15"/>
                <c:pt idx="2">
                  <c:v>3423</c:v>
                </c:pt>
                <c:pt idx="3">
                  <c:v>1697</c:v>
                </c:pt>
                <c:pt idx="5">
                  <c:v>1200</c:v>
                </c:pt>
                <c:pt idx="11">
                  <c:v>18369</c:v>
                </c:pt>
                <c:pt idx="12">
                  <c:v>5602</c:v>
                </c:pt>
                <c:pt idx="13">
                  <c:v>5291</c:v>
                </c:pt>
                <c:pt idx="14">
                  <c:v>86908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E-47D2-B775-62B143D8F6EE}"/>
            </c:ext>
          </c:extLst>
        </c:ser>
        <c:ser>
          <c:idx val="1"/>
          <c:order val="1"/>
          <c:tx>
            <c:v>계획</c:v>
          </c:tx>
          <c:cat>
            <c:strRef>
              <c:f>'29'!$D$6:$D$20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'29'!$J$6:$J$20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3423</c:v>
                </c:pt>
                <c:pt idx="3">
                  <c:v>1697</c:v>
                </c:pt>
                <c:pt idx="4">
                  <c:v>6408</c:v>
                </c:pt>
                <c:pt idx="5">
                  <c:v>1200</c:v>
                </c:pt>
                <c:pt idx="6">
                  <c:v>4302</c:v>
                </c:pt>
                <c:pt idx="7">
                  <c:v>793</c:v>
                </c:pt>
                <c:pt idx="8">
                  <c:v>628</c:v>
                </c:pt>
                <c:pt idx="9">
                  <c:v>7008</c:v>
                </c:pt>
                <c:pt idx="10">
                  <c:v>4928</c:v>
                </c:pt>
                <c:pt idx="11">
                  <c:v>18369</c:v>
                </c:pt>
                <c:pt idx="12">
                  <c:v>5602</c:v>
                </c:pt>
                <c:pt idx="13">
                  <c:v>5291</c:v>
                </c:pt>
                <c:pt idx="14">
                  <c:v>86908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E-47D2-B775-62B143D8F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71%</c:v>
                </c:pt>
                <c:pt idx="3">
                  <c:v>42%</c:v>
                </c:pt>
                <c:pt idx="4">
                  <c:v>0%</c:v>
                </c:pt>
                <c:pt idx="5">
                  <c:v>29%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58%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0.70833333333333337</c:v>
                </c:pt>
                <c:pt idx="3">
                  <c:v>0.41666666666666669</c:v>
                </c:pt>
                <c:pt idx="4">
                  <c:v>0</c:v>
                </c:pt>
                <c:pt idx="5">
                  <c:v>0.29166666666666669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0.58333333333333337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A-4608-B4CA-4447578EB65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2A-4608-B4CA-4447578EB65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'29'!$AE$6:$AE$20</c:f>
              <c:numCache>
                <c:formatCode>0%</c:formatCode>
                <c:ptCount val="1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A-4608-B4CA-4447578EB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DE0-4A99-B0A5-3F737A4680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0-4A99-B0A5-3F737A46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E0-4A99-B0A5-3F737A4680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0-4A99-B0A5-3F737A46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'30'!$L$6:$L$20</c:f>
              <c:numCache>
                <c:formatCode>_(* #,##0_);_(* \(#,##0\);_(* "-"_);_(@_)</c:formatCode>
                <c:ptCount val="15"/>
                <c:pt idx="2">
                  <c:v>5313</c:v>
                </c:pt>
                <c:pt idx="3">
                  <c:v>4367</c:v>
                </c:pt>
                <c:pt idx="4">
                  <c:v>87374</c:v>
                </c:pt>
                <c:pt idx="6">
                  <c:v>4654</c:v>
                </c:pt>
                <c:pt idx="11">
                  <c:v>1374</c:v>
                </c:pt>
                <c:pt idx="12">
                  <c:v>5615</c:v>
                </c:pt>
                <c:pt idx="13">
                  <c:v>4951</c:v>
                </c:pt>
                <c:pt idx="14">
                  <c:v>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7-4546-80DD-F1F40261B24F}"/>
            </c:ext>
          </c:extLst>
        </c:ser>
        <c:ser>
          <c:idx val="1"/>
          <c:order val="1"/>
          <c:tx>
            <c:v>계획</c:v>
          </c:tx>
          <c:cat>
            <c:strRef>
              <c:f>'30'!$D$6:$D$20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'30'!$J$6:$J$20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5313</c:v>
                </c:pt>
                <c:pt idx="3">
                  <c:v>4367</c:v>
                </c:pt>
                <c:pt idx="4">
                  <c:v>87374</c:v>
                </c:pt>
                <c:pt idx="5">
                  <c:v>1200</c:v>
                </c:pt>
                <c:pt idx="6">
                  <c:v>4654</c:v>
                </c:pt>
                <c:pt idx="7">
                  <c:v>793</c:v>
                </c:pt>
                <c:pt idx="8">
                  <c:v>628</c:v>
                </c:pt>
                <c:pt idx="9">
                  <c:v>7008</c:v>
                </c:pt>
                <c:pt idx="10">
                  <c:v>4928</c:v>
                </c:pt>
                <c:pt idx="11">
                  <c:v>1374</c:v>
                </c:pt>
                <c:pt idx="12">
                  <c:v>5615</c:v>
                </c:pt>
                <c:pt idx="13">
                  <c:v>5291</c:v>
                </c:pt>
                <c:pt idx="14">
                  <c:v>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7-4546-80DD-F1F40261B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96%</c:v>
                </c:pt>
                <c:pt idx="3">
                  <c:v>88%</c:v>
                </c:pt>
                <c:pt idx="4">
                  <c:v>92%</c:v>
                </c:pt>
                <c:pt idx="5">
                  <c:v>0%</c:v>
                </c:pt>
                <c:pt idx="6">
                  <c:v>96%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13%</c:v>
                </c:pt>
                <c:pt idx="12">
                  <c:v>100%</c:v>
                </c:pt>
                <c:pt idx="13">
                  <c:v>86%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'30'!$AD$6:$AD$20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0.95833333333333337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</c:v>
                </c:pt>
                <c:pt idx="6">
                  <c:v>0.95833333333333337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0.125</c:v>
                </c:pt>
                <c:pt idx="12">
                  <c:v>1</c:v>
                </c:pt>
                <c:pt idx="13">
                  <c:v>0.8577616077616077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9-47AE-AF00-C7ECA10F48A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39-47AE-AF00-C7ECA10F48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'30'!$AE$6:$AE$20</c:f>
              <c:numCache>
                <c:formatCode>0%</c:formatCode>
                <c:ptCount val="15"/>
                <c:pt idx="0">
                  <c:v>0.44607299607299616</c:v>
                </c:pt>
                <c:pt idx="1">
                  <c:v>0.44607299607299616</c:v>
                </c:pt>
                <c:pt idx="2">
                  <c:v>0.44607299607299616</c:v>
                </c:pt>
                <c:pt idx="3">
                  <c:v>0.44607299607299616</c:v>
                </c:pt>
                <c:pt idx="4">
                  <c:v>0.44607299607299616</c:v>
                </c:pt>
                <c:pt idx="5">
                  <c:v>0.44607299607299616</c:v>
                </c:pt>
                <c:pt idx="6">
                  <c:v>0.44607299607299616</c:v>
                </c:pt>
                <c:pt idx="7">
                  <c:v>0.44607299607299616</c:v>
                </c:pt>
                <c:pt idx="8">
                  <c:v>0.44607299607299616</c:v>
                </c:pt>
                <c:pt idx="9">
                  <c:v>0.44607299607299616</c:v>
                </c:pt>
                <c:pt idx="10">
                  <c:v>0.44607299607299616</c:v>
                </c:pt>
                <c:pt idx="11">
                  <c:v>0.44607299607299616</c:v>
                </c:pt>
                <c:pt idx="12">
                  <c:v>0.44607299607299616</c:v>
                </c:pt>
                <c:pt idx="13">
                  <c:v>0.44607299607299616</c:v>
                </c:pt>
                <c:pt idx="14">
                  <c:v>0.44607299607299616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9-47AE-AF00-C7ECA10F4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'30'!$L$6:$L$20</c:f>
              <c:numCache>
                <c:formatCode>_(* #,##0_);_(* \(#,##0\);_(* "-"_);_(@_)</c:formatCode>
                <c:ptCount val="15"/>
                <c:pt idx="2">
                  <c:v>5313</c:v>
                </c:pt>
                <c:pt idx="3">
                  <c:v>4367</c:v>
                </c:pt>
                <c:pt idx="4">
                  <c:v>87374</c:v>
                </c:pt>
                <c:pt idx="6">
                  <c:v>4654</c:v>
                </c:pt>
                <c:pt idx="11">
                  <c:v>1374</c:v>
                </c:pt>
                <c:pt idx="12">
                  <c:v>5615</c:v>
                </c:pt>
                <c:pt idx="13">
                  <c:v>4951</c:v>
                </c:pt>
                <c:pt idx="14">
                  <c:v>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3-4E57-97BE-877F36BAA504}"/>
            </c:ext>
          </c:extLst>
        </c:ser>
        <c:ser>
          <c:idx val="1"/>
          <c:order val="1"/>
          <c:tx>
            <c:v>계획</c:v>
          </c:tx>
          <c:cat>
            <c:strRef>
              <c:f>'30'!$D$6:$D$20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'30'!$J$6:$J$20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5313</c:v>
                </c:pt>
                <c:pt idx="3">
                  <c:v>4367</c:v>
                </c:pt>
                <c:pt idx="4">
                  <c:v>87374</c:v>
                </c:pt>
                <c:pt idx="5">
                  <c:v>1200</c:v>
                </c:pt>
                <c:pt idx="6">
                  <c:v>4654</c:v>
                </c:pt>
                <c:pt idx="7">
                  <c:v>793</c:v>
                </c:pt>
                <c:pt idx="8">
                  <c:v>628</c:v>
                </c:pt>
                <c:pt idx="9">
                  <c:v>7008</c:v>
                </c:pt>
                <c:pt idx="10">
                  <c:v>4928</c:v>
                </c:pt>
                <c:pt idx="11">
                  <c:v>1374</c:v>
                </c:pt>
                <c:pt idx="12">
                  <c:v>5615</c:v>
                </c:pt>
                <c:pt idx="13">
                  <c:v>5291</c:v>
                </c:pt>
                <c:pt idx="14">
                  <c:v>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3-4E57-97BE-877F36BAA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96%</c:v>
                </c:pt>
                <c:pt idx="3">
                  <c:v>88%</c:v>
                </c:pt>
                <c:pt idx="4">
                  <c:v>92%</c:v>
                </c:pt>
                <c:pt idx="5">
                  <c:v>0%</c:v>
                </c:pt>
                <c:pt idx="6">
                  <c:v>96%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13%</c:v>
                </c:pt>
                <c:pt idx="12">
                  <c:v>100%</c:v>
                </c:pt>
                <c:pt idx="13">
                  <c:v>86%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'30'!$AD$6:$AD$20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0.95833333333333337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</c:v>
                </c:pt>
                <c:pt idx="6">
                  <c:v>0.95833333333333337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0.125</c:v>
                </c:pt>
                <c:pt idx="12">
                  <c:v>1</c:v>
                </c:pt>
                <c:pt idx="13">
                  <c:v>0.8577616077616077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1-45A3-AE79-C9F2D1833E3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91-45A3-AE79-C9F2D1833E3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'30'!$AE$6:$AE$20</c:f>
              <c:numCache>
                <c:formatCode>0%</c:formatCode>
                <c:ptCount val="15"/>
                <c:pt idx="0">
                  <c:v>0.44607299607299616</c:v>
                </c:pt>
                <c:pt idx="1">
                  <c:v>0.44607299607299616</c:v>
                </c:pt>
                <c:pt idx="2">
                  <c:v>0.44607299607299616</c:v>
                </c:pt>
                <c:pt idx="3">
                  <c:v>0.44607299607299616</c:v>
                </c:pt>
                <c:pt idx="4">
                  <c:v>0.44607299607299616</c:v>
                </c:pt>
                <c:pt idx="5">
                  <c:v>0.44607299607299616</c:v>
                </c:pt>
                <c:pt idx="6">
                  <c:v>0.44607299607299616</c:v>
                </c:pt>
                <c:pt idx="7">
                  <c:v>0.44607299607299616</c:v>
                </c:pt>
                <c:pt idx="8">
                  <c:v>0.44607299607299616</c:v>
                </c:pt>
                <c:pt idx="9">
                  <c:v>0.44607299607299616</c:v>
                </c:pt>
                <c:pt idx="10">
                  <c:v>0.44607299607299616</c:v>
                </c:pt>
                <c:pt idx="11">
                  <c:v>0.44607299607299616</c:v>
                </c:pt>
                <c:pt idx="12">
                  <c:v>0.44607299607299616</c:v>
                </c:pt>
                <c:pt idx="13">
                  <c:v>0.44607299607299616</c:v>
                </c:pt>
                <c:pt idx="14">
                  <c:v>0.44607299607299616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1-45A3-AE79-C9F2D1833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AEF-4440-BF2C-53F45E7DB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F-4440-BF2C-53F45E7D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EF-4440-BF2C-53F45E7DB3E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EF-4440-BF2C-53F45E7D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'31'!$L$6:$L$20</c:f>
              <c:numCache>
                <c:formatCode>_(* #,##0_);_(* \(#,##0\);_(* "-"_);_(@_)</c:formatCode>
                <c:ptCount val="15"/>
                <c:pt idx="2">
                  <c:v>4646</c:v>
                </c:pt>
                <c:pt idx="3">
                  <c:v>5989</c:v>
                </c:pt>
                <c:pt idx="4">
                  <c:v>70882</c:v>
                </c:pt>
                <c:pt idx="6">
                  <c:v>2343</c:v>
                </c:pt>
                <c:pt idx="8">
                  <c:v>2946</c:v>
                </c:pt>
                <c:pt idx="11">
                  <c:v>1321</c:v>
                </c:pt>
                <c:pt idx="12">
                  <c:v>5497</c:v>
                </c:pt>
                <c:pt idx="13">
                  <c:v>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E-4E67-8267-FD4AE7DE5BFF}"/>
            </c:ext>
          </c:extLst>
        </c:ser>
        <c:ser>
          <c:idx val="1"/>
          <c:order val="1"/>
          <c:tx>
            <c:v>계획</c:v>
          </c:tx>
          <c:cat>
            <c:strRef>
              <c:f>'31'!$D$6:$D$20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'31'!$J$6:$J$20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4646</c:v>
                </c:pt>
                <c:pt idx="3">
                  <c:v>5989</c:v>
                </c:pt>
                <c:pt idx="4">
                  <c:v>70882</c:v>
                </c:pt>
                <c:pt idx="5">
                  <c:v>1200</c:v>
                </c:pt>
                <c:pt idx="6">
                  <c:v>2343</c:v>
                </c:pt>
                <c:pt idx="7">
                  <c:v>793</c:v>
                </c:pt>
                <c:pt idx="8">
                  <c:v>2946</c:v>
                </c:pt>
                <c:pt idx="9">
                  <c:v>7008</c:v>
                </c:pt>
                <c:pt idx="10">
                  <c:v>4928</c:v>
                </c:pt>
                <c:pt idx="11">
                  <c:v>1321</c:v>
                </c:pt>
                <c:pt idx="12">
                  <c:v>5497</c:v>
                </c:pt>
                <c:pt idx="13">
                  <c:v>5173</c:v>
                </c:pt>
                <c:pt idx="14">
                  <c:v>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E-4E67-8267-FD4AE7DE5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75%</c:v>
                </c:pt>
                <c:pt idx="3">
                  <c:v>100%</c:v>
                </c:pt>
                <c:pt idx="4">
                  <c:v>88%</c:v>
                </c:pt>
                <c:pt idx="5">
                  <c:v>0%</c:v>
                </c:pt>
                <c:pt idx="6">
                  <c:v>46%</c:v>
                </c:pt>
                <c:pt idx="7">
                  <c:v>0%</c:v>
                </c:pt>
                <c:pt idx="8">
                  <c:v>58%</c:v>
                </c:pt>
                <c:pt idx="9">
                  <c:v>0%</c:v>
                </c:pt>
                <c:pt idx="10">
                  <c:v>0%</c:v>
                </c:pt>
                <c:pt idx="11">
                  <c:v>42%</c:v>
                </c:pt>
                <c:pt idx="12">
                  <c:v>100%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'31'!$AD$6:$AD$20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1</c:v>
                </c:pt>
                <c:pt idx="4">
                  <c:v>0.875</c:v>
                </c:pt>
                <c:pt idx="5">
                  <c:v>0</c:v>
                </c:pt>
                <c:pt idx="6">
                  <c:v>0.45833333333333331</c:v>
                </c:pt>
                <c:pt idx="7">
                  <c:v>0</c:v>
                </c:pt>
                <c:pt idx="8">
                  <c:v>0.58333333333333337</c:v>
                </c:pt>
                <c:pt idx="9">
                  <c:v>0</c:v>
                </c:pt>
                <c:pt idx="10">
                  <c:v>0</c:v>
                </c:pt>
                <c:pt idx="11">
                  <c:v>0.41666666666666669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4-436C-9638-79C84112837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E4-436C-9638-79C84112837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'31'!$AE$6:$AE$20</c:f>
              <c:numCache>
                <c:formatCode>0%</c:formatCode>
                <c:ptCount val="15"/>
                <c:pt idx="0">
                  <c:v>0.40555555555555561</c:v>
                </c:pt>
                <c:pt idx="1">
                  <c:v>0.40555555555555561</c:v>
                </c:pt>
                <c:pt idx="2">
                  <c:v>0.40555555555555561</c:v>
                </c:pt>
                <c:pt idx="3">
                  <c:v>0.40555555555555561</c:v>
                </c:pt>
                <c:pt idx="4">
                  <c:v>0.40555555555555561</c:v>
                </c:pt>
                <c:pt idx="5">
                  <c:v>0.40555555555555561</c:v>
                </c:pt>
                <c:pt idx="6">
                  <c:v>0.40555555555555561</c:v>
                </c:pt>
                <c:pt idx="7">
                  <c:v>0.40555555555555561</c:v>
                </c:pt>
                <c:pt idx="8">
                  <c:v>0.40555555555555561</c:v>
                </c:pt>
                <c:pt idx="9">
                  <c:v>0.40555555555555561</c:v>
                </c:pt>
                <c:pt idx="10">
                  <c:v>0.40555555555555561</c:v>
                </c:pt>
                <c:pt idx="11">
                  <c:v>0.40555555555555561</c:v>
                </c:pt>
                <c:pt idx="12">
                  <c:v>0.40555555555555561</c:v>
                </c:pt>
                <c:pt idx="13">
                  <c:v>0.40555555555555561</c:v>
                </c:pt>
                <c:pt idx="14">
                  <c:v>0.40555555555555561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4-436C-9638-79C84112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79%</c:v>
                </c:pt>
                <c:pt idx="3">
                  <c:v>50%</c:v>
                </c:pt>
                <c:pt idx="4">
                  <c:v>100%</c:v>
                </c:pt>
                <c:pt idx="5">
                  <c:v>100%</c:v>
                </c:pt>
                <c:pt idx="6">
                  <c:v>100%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92%</c:v>
                </c:pt>
                <c:pt idx="11">
                  <c:v>17%</c:v>
                </c:pt>
                <c:pt idx="12">
                  <c:v>100%</c:v>
                </c:pt>
                <c:pt idx="13">
                  <c:v>29%</c:v>
                </c:pt>
                <c:pt idx="14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LEAD GUIDE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88P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0.79166666666666663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0.91666666666666663</c:v>
                </c:pt>
                <c:pt idx="11">
                  <c:v>0.16666666666666666</c:v>
                </c:pt>
                <c:pt idx="12">
                  <c:v>1</c:v>
                </c:pt>
                <c:pt idx="13">
                  <c:v>0.29166666666666669</c:v>
                </c:pt>
                <c:pt idx="1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C-4206-A608-3D4DF327160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CC-4206-A608-3D4DF32716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LEAD GUIDE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88P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'02'!$AE$6:$AE$20</c:f>
              <c:numCache>
                <c:formatCode>0%</c:formatCode>
                <c:ptCount val="15"/>
                <c:pt idx="0">
                  <c:v>0.48333333333333334</c:v>
                </c:pt>
                <c:pt idx="1">
                  <c:v>0.48333333333333334</c:v>
                </c:pt>
                <c:pt idx="2">
                  <c:v>0.48333333333333334</c:v>
                </c:pt>
                <c:pt idx="3">
                  <c:v>0.48333333333333334</c:v>
                </c:pt>
                <c:pt idx="4">
                  <c:v>0.48333333333333334</c:v>
                </c:pt>
                <c:pt idx="5">
                  <c:v>0.48333333333333334</c:v>
                </c:pt>
                <c:pt idx="6">
                  <c:v>0.48333333333333334</c:v>
                </c:pt>
                <c:pt idx="7">
                  <c:v>0.48333333333333334</c:v>
                </c:pt>
                <c:pt idx="8">
                  <c:v>0.48333333333333334</c:v>
                </c:pt>
                <c:pt idx="9">
                  <c:v>0.48333333333333334</c:v>
                </c:pt>
                <c:pt idx="10">
                  <c:v>0.48333333333333334</c:v>
                </c:pt>
                <c:pt idx="11">
                  <c:v>0.48333333333333334</c:v>
                </c:pt>
                <c:pt idx="12">
                  <c:v>0.48333333333333334</c:v>
                </c:pt>
                <c:pt idx="13">
                  <c:v>0.48333333333333334</c:v>
                </c:pt>
                <c:pt idx="14">
                  <c:v>0.48333333333333334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C-4206-A608-3D4DF327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'31'!$L$6:$L$20</c:f>
              <c:numCache>
                <c:formatCode>_(* #,##0_);_(* \(#,##0\);_(* "-"_);_(@_)</c:formatCode>
                <c:ptCount val="15"/>
                <c:pt idx="2">
                  <c:v>4646</c:v>
                </c:pt>
                <c:pt idx="3">
                  <c:v>5989</c:v>
                </c:pt>
                <c:pt idx="4">
                  <c:v>70882</c:v>
                </c:pt>
                <c:pt idx="6">
                  <c:v>2343</c:v>
                </c:pt>
                <c:pt idx="8">
                  <c:v>2946</c:v>
                </c:pt>
                <c:pt idx="11">
                  <c:v>1321</c:v>
                </c:pt>
                <c:pt idx="12">
                  <c:v>5497</c:v>
                </c:pt>
                <c:pt idx="13">
                  <c:v>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C9B-B0F2-72F4BD9E7FE0}"/>
            </c:ext>
          </c:extLst>
        </c:ser>
        <c:ser>
          <c:idx val="1"/>
          <c:order val="1"/>
          <c:tx>
            <c:v>계획</c:v>
          </c:tx>
          <c:cat>
            <c:strRef>
              <c:f>'31'!$D$6:$D$20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'31'!$J$6:$J$20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4646</c:v>
                </c:pt>
                <c:pt idx="3">
                  <c:v>5989</c:v>
                </c:pt>
                <c:pt idx="4">
                  <c:v>70882</c:v>
                </c:pt>
                <c:pt idx="5">
                  <c:v>1200</c:v>
                </c:pt>
                <c:pt idx="6">
                  <c:v>2343</c:v>
                </c:pt>
                <c:pt idx="7">
                  <c:v>793</c:v>
                </c:pt>
                <c:pt idx="8">
                  <c:v>2946</c:v>
                </c:pt>
                <c:pt idx="9">
                  <c:v>7008</c:v>
                </c:pt>
                <c:pt idx="10">
                  <c:v>4928</c:v>
                </c:pt>
                <c:pt idx="11">
                  <c:v>1321</c:v>
                </c:pt>
                <c:pt idx="12">
                  <c:v>5497</c:v>
                </c:pt>
                <c:pt idx="13">
                  <c:v>5173</c:v>
                </c:pt>
                <c:pt idx="14">
                  <c:v>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C9B-B0F2-72F4BD9E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75%</c:v>
                </c:pt>
                <c:pt idx="3">
                  <c:v>100%</c:v>
                </c:pt>
                <c:pt idx="4">
                  <c:v>88%</c:v>
                </c:pt>
                <c:pt idx="5">
                  <c:v>0%</c:v>
                </c:pt>
                <c:pt idx="6">
                  <c:v>46%</c:v>
                </c:pt>
                <c:pt idx="7">
                  <c:v>0%</c:v>
                </c:pt>
                <c:pt idx="8">
                  <c:v>58%</c:v>
                </c:pt>
                <c:pt idx="9">
                  <c:v>0%</c:v>
                </c:pt>
                <c:pt idx="10">
                  <c:v>0%</c:v>
                </c:pt>
                <c:pt idx="11">
                  <c:v>42%</c:v>
                </c:pt>
                <c:pt idx="12">
                  <c:v>100%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'31'!$AD$6:$AD$20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1</c:v>
                </c:pt>
                <c:pt idx="4">
                  <c:v>0.875</c:v>
                </c:pt>
                <c:pt idx="5">
                  <c:v>0</c:v>
                </c:pt>
                <c:pt idx="6">
                  <c:v>0.45833333333333331</c:v>
                </c:pt>
                <c:pt idx="7">
                  <c:v>0</c:v>
                </c:pt>
                <c:pt idx="8">
                  <c:v>0.58333333333333337</c:v>
                </c:pt>
                <c:pt idx="9">
                  <c:v>0</c:v>
                </c:pt>
                <c:pt idx="10">
                  <c:v>0</c:v>
                </c:pt>
                <c:pt idx="11">
                  <c:v>0.41666666666666669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C-4856-9DC7-56DC6A0E371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1C-4856-9DC7-56DC6A0E37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'31'!$AE$6:$AE$20</c:f>
              <c:numCache>
                <c:formatCode>0%</c:formatCode>
                <c:ptCount val="15"/>
                <c:pt idx="0">
                  <c:v>0.40555555555555561</c:v>
                </c:pt>
                <c:pt idx="1">
                  <c:v>0.40555555555555561</c:v>
                </c:pt>
                <c:pt idx="2">
                  <c:v>0.40555555555555561</c:v>
                </c:pt>
                <c:pt idx="3">
                  <c:v>0.40555555555555561</c:v>
                </c:pt>
                <c:pt idx="4">
                  <c:v>0.40555555555555561</c:v>
                </c:pt>
                <c:pt idx="5">
                  <c:v>0.40555555555555561</c:v>
                </c:pt>
                <c:pt idx="6">
                  <c:v>0.40555555555555561</c:v>
                </c:pt>
                <c:pt idx="7">
                  <c:v>0.40555555555555561</c:v>
                </c:pt>
                <c:pt idx="8">
                  <c:v>0.40555555555555561</c:v>
                </c:pt>
                <c:pt idx="9">
                  <c:v>0.40555555555555561</c:v>
                </c:pt>
                <c:pt idx="10">
                  <c:v>0.40555555555555561</c:v>
                </c:pt>
                <c:pt idx="11">
                  <c:v>0.40555555555555561</c:v>
                </c:pt>
                <c:pt idx="12">
                  <c:v>0.40555555555555561</c:v>
                </c:pt>
                <c:pt idx="13">
                  <c:v>0.40555555555555561</c:v>
                </c:pt>
                <c:pt idx="14">
                  <c:v>0.40555555555555561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C-4856-9DC7-56DC6A0E3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07C-48DE-BFC3-E532684990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C-48DE-BFC3-E5326849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7C-48DE-BFC3-E532684990E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7C-48DE-BFC3-E5326849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EE6-46F3-BBC0-65DDE8021D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6-46F3-BBC0-65DDE80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E6-46F3-BBC0-65DDE8021D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6-46F3-BBC0-65DDE80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'03'!$L$6:$L$20</c:f>
              <c:numCache>
                <c:formatCode>_(* #,##0_);_(* \(#,##0\);_(* "-"_);_(@_)</c:formatCode>
                <c:ptCount val="15"/>
                <c:pt idx="2">
                  <c:v>4566</c:v>
                </c:pt>
                <c:pt idx="3">
                  <c:v>4172</c:v>
                </c:pt>
                <c:pt idx="4">
                  <c:v>15754</c:v>
                </c:pt>
                <c:pt idx="5">
                  <c:v>4386</c:v>
                </c:pt>
                <c:pt idx="6">
                  <c:v>4641</c:v>
                </c:pt>
                <c:pt idx="8">
                  <c:v>1620</c:v>
                </c:pt>
                <c:pt idx="10">
                  <c:v>4158</c:v>
                </c:pt>
                <c:pt idx="12">
                  <c:v>4431</c:v>
                </c:pt>
                <c:pt idx="14">
                  <c:v>33264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8-4F7F-8C91-840339E0AEF6}"/>
            </c:ext>
          </c:extLst>
        </c:ser>
        <c:ser>
          <c:idx val="1"/>
          <c:order val="1"/>
          <c:tx>
            <c:v>계획</c:v>
          </c:tx>
          <c:cat>
            <c:strRef>
              <c:f>'03'!$D$6:$D$20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'03'!$J$6:$J$20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4566</c:v>
                </c:pt>
                <c:pt idx="3">
                  <c:v>4172</c:v>
                </c:pt>
                <c:pt idx="4">
                  <c:v>15754</c:v>
                </c:pt>
                <c:pt idx="5">
                  <c:v>4386</c:v>
                </c:pt>
                <c:pt idx="6">
                  <c:v>4641</c:v>
                </c:pt>
                <c:pt idx="7">
                  <c:v>1513</c:v>
                </c:pt>
                <c:pt idx="8">
                  <c:v>1620</c:v>
                </c:pt>
                <c:pt idx="9">
                  <c:v>878</c:v>
                </c:pt>
                <c:pt idx="10">
                  <c:v>4158</c:v>
                </c:pt>
                <c:pt idx="11">
                  <c:v>342</c:v>
                </c:pt>
                <c:pt idx="12">
                  <c:v>4431</c:v>
                </c:pt>
                <c:pt idx="13">
                  <c:v>1200</c:v>
                </c:pt>
                <c:pt idx="14">
                  <c:v>33264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8-4F7F-8C91-840339E0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88%</c:v>
                </c:pt>
                <c:pt idx="4">
                  <c:v>100%</c:v>
                </c:pt>
                <c:pt idx="5">
                  <c:v>83%</c:v>
                </c:pt>
                <c:pt idx="6">
                  <c:v>100%</c:v>
                </c:pt>
                <c:pt idx="7">
                  <c:v>0%</c:v>
                </c:pt>
                <c:pt idx="8">
                  <c:v>50%</c:v>
                </c:pt>
                <c:pt idx="9">
                  <c:v>0%</c:v>
                </c:pt>
                <c:pt idx="10">
                  <c:v>83%</c:v>
                </c:pt>
                <c:pt idx="11">
                  <c:v>0%</c:v>
                </c:pt>
                <c:pt idx="12">
                  <c:v>100%</c:v>
                </c:pt>
                <c:pt idx="13">
                  <c:v>0%</c:v>
                </c:pt>
                <c:pt idx="14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0.875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0.83333333333333337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7-42AB-B3E3-B71BE75462E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37-42AB-B3E3-B71BE75462E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'03'!$AE$6:$AE$20</c:f>
              <c:numCache>
                <c:formatCode>0%</c:formatCode>
                <c:ptCount val="15"/>
                <c:pt idx="0">
                  <c:v>0.49166666666666664</c:v>
                </c:pt>
                <c:pt idx="1">
                  <c:v>0.49166666666666664</c:v>
                </c:pt>
                <c:pt idx="2">
                  <c:v>0.49166666666666664</c:v>
                </c:pt>
                <c:pt idx="3">
                  <c:v>0.49166666666666664</c:v>
                </c:pt>
                <c:pt idx="4">
                  <c:v>0.49166666666666664</c:v>
                </c:pt>
                <c:pt idx="5">
                  <c:v>0.49166666666666664</c:v>
                </c:pt>
                <c:pt idx="6">
                  <c:v>0.49166666666666664</c:v>
                </c:pt>
                <c:pt idx="7">
                  <c:v>0.49166666666666664</c:v>
                </c:pt>
                <c:pt idx="8">
                  <c:v>0.49166666666666664</c:v>
                </c:pt>
                <c:pt idx="9">
                  <c:v>0.49166666666666664</c:v>
                </c:pt>
                <c:pt idx="10">
                  <c:v>0.49166666666666664</c:v>
                </c:pt>
                <c:pt idx="11">
                  <c:v>0.49166666666666664</c:v>
                </c:pt>
                <c:pt idx="12">
                  <c:v>0.49166666666666664</c:v>
                </c:pt>
                <c:pt idx="13">
                  <c:v>0.49166666666666664</c:v>
                </c:pt>
                <c:pt idx="14">
                  <c:v>0.49166666666666664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7-42AB-B3E3-B71BE754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'03'!$L$6:$L$20</c:f>
              <c:numCache>
                <c:formatCode>_(* #,##0_);_(* \(#,##0\);_(* "-"_);_(@_)</c:formatCode>
                <c:ptCount val="15"/>
                <c:pt idx="2">
                  <c:v>4566</c:v>
                </c:pt>
                <c:pt idx="3">
                  <c:v>4172</c:v>
                </c:pt>
                <c:pt idx="4">
                  <c:v>15754</c:v>
                </c:pt>
                <c:pt idx="5">
                  <c:v>4386</c:v>
                </c:pt>
                <c:pt idx="6">
                  <c:v>4641</c:v>
                </c:pt>
                <c:pt idx="8">
                  <c:v>1620</c:v>
                </c:pt>
                <c:pt idx="10">
                  <c:v>4158</c:v>
                </c:pt>
                <c:pt idx="12">
                  <c:v>4431</c:v>
                </c:pt>
                <c:pt idx="14">
                  <c:v>33264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3-4937-9479-F2E77BD78674}"/>
            </c:ext>
          </c:extLst>
        </c:ser>
        <c:ser>
          <c:idx val="1"/>
          <c:order val="1"/>
          <c:tx>
            <c:v>계획</c:v>
          </c:tx>
          <c:cat>
            <c:strRef>
              <c:f>'03'!$D$6:$D$20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'03'!$J$6:$J$20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4566</c:v>
                </c:pt>
                <c:pt idx="3">
                  <c:v>4172</c:v>
                </c:pt>
                <c:pt idx="4">
                  <c:v>15754</c:v>
                </c:pt>
                <c:pt idx="5">
                  <c:v>4386</c:v>
                </c:pt>
                <c:pt idx="6">
                  <c:v>4641</c:v>
                </c:pt>
                <c:pt idx="7">
                  <c:v>1513</c:v>
                </c:pt>
                <c:pt idx="8">
                  <c:v>1620</c:v>
                </c:pt>
                <c:pt idx="9">
                  <c:v>878</c:v>
                </c:pt>
                <c:pt idx="10">
                  <c:v>4158</c:v>
                </c:pt>
                <c:pt idx="11">
                  <c:v>342</c:v>
                </c:pt>
                <c:pt idx="12">
                  <c:v>4431</c:v>
                </c:pt>
                <c:pt idx="13">
                  <c:v>1200</c:v>
                </c:pt>
                <c:pt idx="14">
                  <c:v>33264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3-4937-9479-F2E77BD7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88%</c:v>
                </c:pt>
                <c:pt idx="4">
                  <c:v>100%</c:v>
                </c:pt>
                <c:pt idx="5">
                  <c:v>83%</c:v>
                </c:pt>
                <c:pt idx="6">
                  <c:v>100%</c:v>
                </c:pt>
                <c:pt idx="7">
                  <c:v>0%</c:v>
                </c:pt>
                <c:pt idx="8">
                  <c:v>50%</c:v>
                </c:pt>
                <c:pt idx="9">
                  <c:v>0%</c:v>
                </c:pt>
                <c:pt idx="10">
                  <c:v>83%</c:v>
                </c:pt>
                <c:pt idx="11">
                  <c:v>0%</c:v>
                </c:pt>
                <c:pt idx="12">
                  <c:v>100%</c:v>
                </c:pt>
                <c:pt idx="13">
                  <c:v>0%</c:v>
                </c:pt>
                <c:pt idx="14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0.875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0.83333333333333337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0-4995-91A3-39466678BF5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00-4995-91A3-39466678BF5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'03'!$AE$6:$AE$20</c:f>
              <c:numCache>
                <c:formatCode>0%</c:formatCode>
                <c:ptCount val="15"/>
                <c:pt idx="0">
                  <c:v>0.49166666666666664</c:v>
                </c:pt>
                <c:pt idx="1">
                  <c:v>0.49166666666666664</c:v>
                </c:pt>
                <c:pt idx="2">
                  <c:v>0.49166666666666664</c:v>
                </c:pt>
                <c:pt idx="3">
                  <c:v>0.49166666666666664</c:v>
                </c:pt>
                <c:pt idx="4">
                  <c:v>0.49166666666666664</c:v>
                </c:pt>
                <c:pt idx="5">
                  <c:v>0.49166666666666664</c:v>
                </c:pt>
                <c:pt idx="6">
                  <c:v>0.49166666666666664</c:v>
                </c:pt>
                <c:pt idx="7">
                  <c:v>0.49166666666666664</c:v>
                </c:pt>
                <c:pt idx="8">
                  <c:v>0.49166666666666664</c:v>
                </c:pt>
                <c:pt idx="9">
                  <c:v>0.49166666666666664</c:v>
                </c:pt>
                <c:pt idx="10">
                  <c:v>0.49166666666666664</c:v>
                </c:pt>
                <c:pt idx="11">
                  <c:v>0.49166666666666664</c:v>
                </c:pt>
                <c:pt idx="12">
                  <c:v>0.49166666666666664</c:v>
                </c:pt>
                <c:pt idx="13">
                  <c:v>0.49166666666666664</c:v>
                </c:pt>
                <c:pt idx="14">
                  <c:v>0.49166666666666664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0-4995-91A3-39466678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96D-4AED-859E-FBB4AC1CF8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D-4AED-859E-FBB4AC1C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6D-4AED-859E-FBB4AC1CF8E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D-4AED-859E-FBB4AC1C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TOP/BOTTOM</c:v>
                </c:pt>
                <c:pt idx="8">
                  <c:v>F/R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HOLDER/STOPPER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2">
                  <c:v>4051</c:v>
                </c:pt>
                <c:pt idx="3">
                  <c:v>5099</c:v>
                </c:pt>
                <c:pt idx="4">
                  <c:v>14620</c:v>
                </c:pt>
                <c:pt idx="6">
                  <c:v>4418</c:v>
                </c:pt>
                <c:pt idx="7">
                  <c:v>2151</c:v>
                </c:pt>
                <c:pt idx="10">
                  <c:v>2876</c:v>
                </c:pt>
                <c:pt idx="11">
                  <c:v>1197</c:v>
                </c:pt>
                <c:pt idx="13">
                  <c:v>4560</c:v>
                </c:pt>
                <c:pt idx="14">
                  <c:v>35472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2-4041-B192-366FF60BC21C}"/>
            </c:ext>
          </c:extLst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TOP/BOTTOM</c:v>
                </c:pt>
                <c:pt idx="8">
                  <c:v>F/R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HOLDER/STOPPER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4051</c:v>
                </c:pt>
                <c:pt idx="3">
                  <c:v>5099</c:v>
                </c:pt>
                <c:pt idx="4">
                  <c:v>14620</c:v>
                </c:pt>
                <c:pt idx="5">
                  <c:v>4386</c:v>
                </c:pt>
                <c:pt idx="6">
                  <c:v>4418</c:v>
                </c:pt>
                <c:pt idx="7">
                  <c:v>2151</c:v>
                </c:pt>
                <c:pt idx="8">
                  <c:v>1620</c:v>
                </c:pt>
                <c:pt idx="9">
                  <c:v>878</c:v>
                </c:pt>
                <c:pt idx="10">
                  <c:v>2876</c:v>
                </c:pt>
                <c:pt idx="11">
                  <c:v>1197</c:v>
                </c:pt>
                <c:pt idx="12">
                  <c:v>4431</c:v>
                </c:pt>
                <c:pt idx="13">
                  <c:v>4560</c:v>
                </c:pt>
                <c:pt idx="14">
                  <c:v>35472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2-4041-B192-366FF60BC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100%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79%</c:v>
                </c:pt>
                <c:pt idx="8">
                  <c:v>0%</c:v>
                </c:pt>
                <c:pt idx="9">
                  <c:v>0%</c:v>
                </c:pt>
                <c:pt idx="10">
                  <c:v>58%</c:v>
                </c:pt>
                <c:pt idx="11">
                  <c:v>29%</c:v>
                </c:pt>
                <c:pt idx="12">
                  <c:v>0%</c:v>
                </c:pt>
                <c:pt idx="13">
                  <c:v>100%</c:v>
                </c:pt>
                <c:pt idx="14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TOP/BOTTOM</c:v>
                </c:pt>
                <c:pt idx="8">
                  <c:v>F/R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HOLDER/STOPPER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0.79166666666666663</c:v>
                </c:pt>
                <c:pt idx="8">
                  <c:v>0</c:v>
                </c:pt>
                <c:pt idx="9">
                  <c:v>0</c:v>
                </c:pt>
                <c:pt idx="10">
                  <c:v>0.58333333333333337</c:v>
                </c:pt>
                <c:pt idx="11">
                  <c:v>0.29166666666666669</c:v>
                </c:pt>
                <c:pt idx="12">
                  <c:v>0</c:v>
                </c:pt>
                <c:pt idx="13">
                  <c:v>1</c:v>
                </c:pt>
                <c:pt idx="14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0C6-B978-FB20D1C2F72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5C-40C6-B978-FB20D1C2F7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TOP/BOTTOM</c:v>
                </c:pt>
                <c:pt idx="8">
                  <c:v>F/R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HOLDER/STOPPER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0.46666666666666667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0.46666666666666667</c:v>
                </c:pt>
                <c:pt idx="4">
                  <c:v>0.46666666666666667</c:v>
                </c:pt>
                <c:pt idx="5">
                  <c:v>0.46666666666666667</c:v>
                </c:pt>
                <c:pt idx="6">
                  <c:v>0.46666666666666667</c:v>
                </c:pt>
                <c:pt idx="7">
                  <c:v>0.46666666666666667</c:v>
                </c:pt>
                <c:pt idx="8">
                  <c:v>0.46666666666666667</c:v>
                </c:pt>
                <c:pt idx="9">
                  <c:v>0.46666666666666667</c:v>
                </c:pt>
                <c:pt idx="10">
                  <c:v>0.46666666666666667</c:v>
                </c:pt>
                <c:pt idx="11">
                  <c:v>0.46666666666666667</c:v>
                </c:pt>
                <c:pt idx="12">
                  <c:v>0.46666666666666667</c:v>
                </c:pt>
                <c:pt idx="13">
                  <c:v>0.46666666666666667</c:v>
                </c:pt>
                <c:pt idx="14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0C6-B978-FB20D1C2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08</a:t>
            </a:r>
            <a:r>
              <a:rPr lang="ko-KR" altLang="en-US"/>
              <a:t>월 호기별 가동율</a:t>
            </a:r>
          </a:p>
        </c:rich>
      </c:tx>
      <c:layout>
        <c:manualLayout>
          <c:xMode val="edge"/>
          <c:yMode val="edge"/>
          <c:x val="0.35088156426374495"/>
          <c:y val="3.902439024390243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총괄!$A$3:$A$17</c:f>
              <c:strCache>
                <c:ptCount val="15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</c:strCache>
            </c:strRef>
          </c:cat>
          <c:val>
            <c:numRef>
              <c:f>총괄!$AG$3:$AG$17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0.39111082793271684</c:v>
                </c:pt>
                <c:pt idx="3">
                  <c:v>0.48790322580645162</c:v>
                </c:pt>
                <c:pt idx="4">
                  <c:v>0.25134408602150538</c:v>
                </c:pt>
                <c:pt idx="5">
                  <c:v>0.24596774193548387</c:v>
                </c:pt>
                <c:pt idx="6">
                  <c:v>0.57392473118279563</c:v>
                </c:pt>
                <c:pt idx="7">
                  <c:v>0.24462365591397853</c:v>
                </c:pt>
                <c:pt idx="8">
                  <c:v>7.2580645161290328E-2</c:v>
                </c:pt>
                <c:pt idx="9">
                  <c:v>0.10349462365591397</c:v>
                </c:pt>
                <c:pt idx="10">
                  <c:v>0.23252688172043012</c:v>
                </c:pt>
                <c:pt idx="11">
                  <c:v>0.27284946236559132</c:v>
                </c:pt>
                <c:pt idx="12">
                  <c:v>0.4865591397849463</c:v>
                </c:pt>
                <c:pt idx="13">
                  <c:v>0.5249815572396217</c:v>
                </c:pt>
                <c:pt idx="14">
                  <c:v>0.53897849462365599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D-4D4E-BB8E-38D09047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31008"/>
        <c:axId val="350704128"/>
      </c:barChart>
      <c:catAx>
        <c:axId val="1995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4128"/>
        <c:crosses val="autoZero"/>
        <c:auto val="1"/>
        <c:lblAlgn val="ctr"/>
        <c:lblOffset val="100"/>
        <c:noMultiLvlLbl val="0"/>
      </c:catAx>
      <c:valAx>
        <c:axId val="350704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53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TOP/BOTTOM</c:v>
                </c:pt>
                <c:pt idx="8">
                  <c:v>F/R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HOLDER/STOPPER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2">
                  <c:v>4051</c:v>
                </c:pt>
                <c:pt idx="3">
                  <c:v>5099</c:v>
                </c:pt>
                <c:pt idx="4">
                  <c:v>14620</c:v>
                </c:pt>
                <c:pt idx="6">
                  <c:v>4418</c:v>
                </c:pt>
                <c:pt idx="7">
                  <c:v>2151</c:v>
                </c:pt>
                <c:pt idx="10">
                  <c:v>2876</c:v>
                </c:pt>
                <c:pt idx="11">
                  <c:v>1197</c:v>
                </c:pt>
                <c:pt idx="13">
                  <c:v>4560</c:v>
                </c:pt>
                <c:pt idx="14">
                  <c:v>35472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2-43A0-9A2E-E2B1B3509951}"/>
            </c:ext>
          </c:extLst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TOP/BOTTOM</c:v>
                </c:pt>
                <c:pt idx="8">
                  <c:v>F/R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HOLDER/STOPPER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4051</c:v>
                </c:pt>
                <c:pt idx="3">
                  <c:v>5099</c:v>
                </c:pt>
                <c:pt idx="4">
                  <c:v>14620</c:v>
                </c:pt>
                <c:pt idx="5">
                  <c:v>4386</c:v>
                </c:pt>
                <c:pt idx="6">
                  <c:v>4418</c:v>
                </c:pt>
                <c:pt idx="7">
                  <c:v>2151</c:v>
                </c:pt>
                <c:pt idx="8">
                  <c:v>1620</c:v>
                </c:pt>
                <c:pt idx="9">
                  <c:v>878</c:v>
                </c:pt>
                <c:pt idx="10">
                  <c:v>2876</c:v>
                </c:pt>
                <c:pt idx="11">
                  <c:v>1197</c:v>
                </c:pt>
                <c:pt idx="12">
                  <c:v>4431</c:v>
                </c:pt>
                <c:pt idx="13">
                  <c:v>4560</c:v>
                </c:pt>
                <c:pt idx="14">
                  <c:v>35472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2-43A0-9A2E-E2B1B350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100%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79%</c:v>
                </c:pt>
                <c:pt idx="8">
                  <c:v>0%</c:v>
                </c:pt>
                <c:pt idx="9">
                  <c:v>0%</c:v>
                </c:pt>
                <c:pt idx="10">
                  <c:v>58%</c:v>
                </c:pt>
                <c:pt idx="11">
                  <c:v>29%</c:v>
                </c:pt>
                <c:pt idx="12">
                  <c:v>0%</c:v>
                </c:pt>
                <c:pt idx="13">
                  <c:v>100%</c:v>
                </c:pt>
                <c:pt idx="14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TOP/BOTTOM</c:v>
                </c:pt>
                <c:pt idx="8">
                  <c:v>F/R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HOLDER/STOPPER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0.79166666666666663</c:v>
                </c:pt>
                <c:pt idx="8">
                  <c:v>0</c:v>
                </c:pt>
                <c:pt idx="9">
                  <c:v>0</c:v>
                </c:pt>
                <c:pt idx="10">
                  <c:v>0.58333333333333337</c:v>
                </c:pt>
                <c:pt idx="11">
                  <c:v>0.29166666666666669</c:v>
                </c:pt>
                <c:pt idx="12">
                  <c:v>0</c:v>
                </c:pt>
                <c:pt idx="13">
                  <c:v>1</c:v>
                </c:pt>
                <c:pt idx="14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1-40EA-9581-F3EDE1F5305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31-40EA-9581-F3EDE1F530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TOP/BOTTOM</c:v>
                </c:pt>
                <c:pt idx="8">
                  <c:v>F/R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HOLDER/STOPPER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0.46666666666666667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0.46666666666666667</c:v>
                </c:pt>
                <c:pt idx="4">
                  <c:v>0.46666666666666667</c:v>
                </c:pt>
                <c:pt idx="5">
                  <c:v>0.46666666666666667</c:v>
                </c:pt>
                <c:pt idx="6">
                  <c:v>0.46666666666666667</c:v>
                </c:pt>
                <c:pt idx="7">
                  <c:v>0.46666666666666667</c:v>
                </c:pt>
                <c:pt idx="8">
                  <c:v>0.46666666666666667</c:v>
                </c:pt>
                <c:pt idx="9">
                  <c:v>0.46666666666666667</c:v>
                </c:pt>
                <c:pt idx="10">
                  <c:v>0.46666666666666667</c:v>
                </c:pt>
                <c:pt idx="11">
                  <c:v>0.46666666666666667</c:v>
                </c:pt>
                <c:pt idx="12">
                  <c:v>0.46666666666666667</c:v>
                </c:pt>
                <c:pt idx="13">
                  <c:v>0.46666666666666667</c:v>
                </c:pt>
                <c:pt idx="14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1-40EA-9581-F3EDE1F5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A90-49B5-90A7-B4CB349832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0-49B5-90A7-B4CB34983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90-49B5-90A7-B4CB349832C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0-49B5-90A7-B4CB34983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TOP/BOTTOM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IC GUIDE</c:v>
                </c:pt>
                <c:pt idx="13">
                  <c:v>BASE</c:v>
                </c:pt>
                <c:pt idx="14">
                  <c:v>HOLDER/STOPPER</c:v>
                </c:pt>
              </c:strCache>
            </c:strRef>
          </c:cat>
          <c:val>
            <c:numRef>
              <c:f>'06'!$L$6:$L$21</c:f>
              <c:numCache>
                <c:formatCode>_(* #,##0_);_(* \(#,##0\);_(* "-"_);_(@_)</c:formatCode>
                <c:ptCount val="16"/>
                <c:pt idx="2">
                  <c:v>4702</c:v>
                </c:pt>
                <c:pt idx="3">
                  <c:v>5119</c:v>
                </c:pt>
                <c:pt idx="6">
                  <c:v>3314</c:v>
                </c:pt>
                <c:pt idx="7">
                  <c:v>2149</c:v>
                </c:pt>
                <c:pt idx="10">
                  <c:v>5027</c:v>
                </c:pt>
                <c:pt idx="11">
                  <c:v>533</c:v>
                </c:pt>
                <c:pt idx="12">
                  <c:v>269</c:v>
                </c:pt>
                <c:pt idx="13">
                  <c:v>3066</c:v>
                </c:pt>
                <c:pt idx="14">
                  <c:v>5151</c:v>
                </c:pt>
                <c:pt idx="15">
                  <c:v>82348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5-4C7E-A1DC-31CEBF616005}"/>
            </c:ext>
          </c:extLst>
        </c:ser>
        <c:ser>
          <c:idx val="1"/>
          <c:order val="1"/>
          <c:tx>
            <c:v>계획</c:v>
          </c:tx>
          <c:cat>
            <c:strRef>
              <c:f>'06'!$D$6:$D$21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TOP/BOTTOM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IC GUIDE</c:v>
                </c:pt>
                <c:pt idx="13">
                  <c:v>BASE</c:v>
                </c:pt>
                <c:pt idx="14">
                  <c:v>HOLDER/STOPPER</c:v>
                </c:pt>
              </c:strCache>
            </c:strRef>
          </c:cat>
          <c:val>
            <c:numRef>
              <c:f>'06'!$J$6:$J$21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4702</c:v>
                </c:pt>
                <c:pt idx="3">
                  <c:v>5119</c:v>
                </c:pt>
                <c:pt idx="4">
                  <c:v>14620</c:v>
                </c:pt>
                <c:pt idx="5">
                  <c:v>4386</c:v>
                </c:pt>
                <c:pt idx="6">
                  <c:v>3314</c:v>
                </c:pt>
                <c:pt idx="7">
                  <c:v>2149</c:v>
                </c:pt>
                <c:pt idx="8">
                  <c:v>1620</c:v>
                </c:pt>
                <c:pt idx="9">
                  <c:v>878</c:v>
                </c:pt>
                <c:pt idx="10">
                  <c:v>5027</c:v>
                </c:pt>
                <c:pt idx="11">
                  <c:v>533</c:v>
                </c:pt>
                <c:pt idx="12">
                  <c:v>269</c:v>
                </c:pt>
                <c:pt idx="13">
                  <c:v>3066</c:v>
                </c:pt>
                <c:pt idx="14">
                  <c:v>5151</c:v>
                </c:pt>
                <c:pt idx="15">
                  <c:v>82348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5-4C7E-A1DC-31CEBF616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100%</c:v>
                </c:pt>
                <c:pt idx="4">
                  <c:v>0%</c:v>
                </c:pt>
                <c:pt idx="5">
                  <c:v>0%</c:v>
                </c:pt>
                <c:pt idx="6">
                  <c:v>79%</c:v>
                </c:pt>
                <c:pt idx="7">
                  <c:v>58%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17%</c:v>
                </c:pt>
                <c:pt idx="12">
                  <c:v>13%</c:v>
                </c:pt>
                <c:pt idx="13">
                  <c:v>79%</c:v>
                </c:pt>
                <c:pt idx="14">
                  <c:v>100%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TOP/BOTTOM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IC GUIDE</c:v>
                </c:pt>
                <c:pt idx="13">
                  <c:v>BASE</c:v>
                </c:pt>
                <c:pt idx="14">
                  <c:v>HOLDER/STOPPER</c:v>
                </c:pt>
              </c:strCache>
            </c:strRef>
          </c:cat>
          <c:val>
            <c:numRef>
              <c:f>'06'!$AD$6:$AD$21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0.79166666666666663</c:v>
                </c:pt>
                <c:pt idx="7">
                  <c:v>0.58333333333333337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0.79166666666666663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A-4D67-AEFB-883BC21C784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EA-4D67-AEFB-883BC21C78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TOP/BOTTOM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IC GUIDE</c:v>
                </c:pt>
                <c:pt idx="13">
                  <c:v>BASE</c:v>
                </c:pt>
                <c:pt idx="14">
                  <c:v>HOLDER/STOPPER</c:v>
                </c:pt>
              </c:strCache>
            </c:strRef>
          </c:cat>
          <c:val>
            <c:numRef>
              <c:f>'06'!$AE$6:$AE$21</c:f>
              <c:numCache>
                <c:formatCode>0%</c:formatCode>
                <c:ptCount val="16"/>
                <c:pt idx="0">
                  <c:v>0.49166666666666664</c:v>
                </c:pt>
                <c:pt idx="1">
                  <c:v>0.49166666666666664</c:v>
                </c:pt>
                <c:pt idx="2">
                  <c:v>0.49166666666666664</c:v>
                </c:pt>
                <c:pt idx="3">
                  <c:v>0.49166666666666664</c:v>
                </c:pt>
                <c:pt idx="4">
                  <c:v>0.49166666666666664</c:v>
                </c:pt>
                <c:pt idx="5">
                  <c:v>0.49166666666666664</c:v>
                </c:pt>
                <c:pt idx="6">
                  <c:v>0.49166666666666664</c:v>
                </c:pt>
                <c:pt idx="7">
                  <c:v>0.49166666666666664</c:v>
                </c:pt>
                <c:pt idx="8">
                  <c:v>0.49166666666666664</c:v>
                </c:pt>
                <c:pt idx="9">
                  <c:v>0.49166666666666664</c:v>
                </c:pt>
                <c:pt idx="10">
                  <c:v>0.49166666666666664</c:v>
                </c:pt>
                <c:pt idx="11">
                  <c:v>0.49166666666666664</c:v>
                </c:pt>
                <c:pt idx="12">
                  <c:v>0.49166666666666664</c:v>
                </c:pt>
                <c:pt idx="13">
                  <c:v>0.49166666666666664</c:v>
                </c:pt>
                <c:pt idx="14">
                  <c:v>0.49166666666666664</c:v>
                </c:pt>
                <c:pt idx="15">
                  <c:v>0.49166666666666664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A-4D67-AEFB-883BC21C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TOP/BOTTOM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IC GUIDE</c:v>
                </c:pt>
                <c:pt idx="13">
                  <c:v>BASE</c:v>
                </c:pt>
                <c:pt idx="14">
                  <c:v>HOLDER/STOPPER</c:v>
                </c:pt>
              </c:strCache>
            </c:strRef>
          </c:cat>
          <c:val>
            <c:numRef>
              <c:f>'06'!$L$6:$L$21</c:f>
              <c:numCache>
                <c:formatCode>_(* #,##0_);_(* \(#,##0\);_(* "-"_);_(@_)</c:formatCode>
                <c:ptCount val="16"/>
                <c:pt idx="2">
                  <c:v>4702</c:v>
                </c:pt>
                <c:pt idx="3">
                  <c:v>5119</c:v>
                </c:pt>
                <c:pt idx="6">
                  <c:v>3314</c:v>
                </c:pt>
                <c:pt idx="7">
                  <c:v>2149</c:v>
                </c:pt>
                <c:pt idx="10">
                  <c:v>5027</c:v>
                </c:pt>
                <c:pt idx="11">
                  <c:v>533</c:v>
                </c:pt>
                <c:pt idx="12">
                  <c:v>269</c:v>
                </c:pt>
                <c:pt idx="13">
                  <c:v>3066</c:v>
                </c:pt>
                <c:pt idx="14">
                  <c:v>5151</c:v>
                </c:pt>
                <c:pt idx="15">
                  <c:v>82348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B-4F66-B417-9590DC281086}"/>
            </c:ext>
          </c:extLst>
        </c:ser>
        <c:ser>
          <c:idx val="1"/>
          <c:order val="1"/>
          <c:tx>
            <c:v>계획</c:v>
          </c:tx>
          <c:cat>
            <c:strRef>
              <c:f>'06'!$D$6:$D$21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TOP/BOTTOM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IC GUIDE</c:v>
                </c:pt>
                <c:pt idx="13">
                  <c:v>BASE</c:v>
                </c:pt>
                <c:pt idx="14">
                  <c:v>HOLDER/STOPPER</c:v>
                </c:pt>
              </c:strCache>
            </c:strRef>
          </c:cat>
          <c:val>
            <c:numRef>
              <c:f>'06'!$J$6:$J$21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4702</c:v>
                </c:pt>
                <c:pt idx="3">
                  <c:v>5119</c:v>
                </c:pt>
                <c:pt idx="4">
                  <c:v>14620</c:v>
                </c:pt>
                <c:pt idx="5">
                  <c:v>4386</c:v>
                </c:pt>
                <c:pt idx="6">
                  <c:v>3314</c:v>
                </c:pt>
                <c:pt idx="7">
                  <c:v>2149</c:v>
                </c:pt>
                <c:pt idx="8">
                  <c:v>1620</c:v>
                </c:pt>
                <c:pt idx="9">
                  <c:v>878</c:v>
                </c:pt>
                <c:pt idx="10">
                  <c:v>5027</c:v>
                </c:pt>
                <c:pt idx="11">
                  <c:v>533</c:v>
                </c:pt>
                <c:pt idx="12">
                  <c:v>269</c:v>
                </c:pt>
                <c:pt idx="13">
                  <c:v>3066</c:v>
                </c:pt>
                <c:pt idx="14">
                  <c:v>5151</c:v>
                </c:pt>
                <c:pt idx="15">
                  <c:v>82348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B-4F66-B417-9590DC28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100%</c:v>
                </c:pt>
                <c:pt idx="4">
                  <c:v>0%</c:v>
                </c:pt>
                <c:pt idx="5">
                  <c:v>0%</c:v>
                </c:pt>
                <c:pt idx="6">
                  <c:v>79%</c:v>
                </c:pt>
                <c:pt idx="7">
                  <c:v>58%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17%</c:v>
                </c:pt>
                <c:pt idx="12">
                  <c:v>13%</c:v>
                </c:pt>
                <c:pt idx="13">
                  <c:v>79%</c:v>
                </c:pt>
                <c:pt idx="14">
                  <c:v>100%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TOP/BOTTOM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IC GUIDE</c:v>
                </c:pt>
                <c:pt idx="13">
                  <c:v>BASE</c:v>
                </c:pt>
                <c:pt idx="14">
                  <c:v>HOLDER/STOPPER</c:v>
                </c:pt>
              </c:strCache>
            </c:strRef>
          </c:cat>
          <c:val>
            <c:numRef>
              <c:f>'06'!$AD$6:$AD$21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0.79166666666666663</c:v>
                </c:pt>
                <c:pt idx="7">
                  <c:v>0.58333333333333337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0.79166666666666663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4-4CD4-A948-82F35970B2A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44-4CD4-A948-82F35970B2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TOP/BOTTOM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IC GUIDE</c:v>
                </c:pt>
                <c:pt idx="13">
                  <c:v>BASE</c:v>
                </c:pt>
                <c:pt idx="14">
                  <c:v>HOLDER/STOPPER</c:v>
                </c:pt>
              </c:strCache>
            </c:strRef>
          </c:cat>
          <c:val>
            <c:numRef>
              <c:f>'06'!$AE$6:$AE$21</c:f>
              <c:numCache>
                <c:formatCode>0%</c:formatCode>
                <c:ptCount val="16"/>
                <c:pt idx="0">
                  <c:v>0.49166666666666664</c:v>
                </c:pt>
                <c:pt idx="1">
                  <c:v>0.49166666666666664</c:v>
                </c:pt>
                <c:pt idx="2">
                  <c:v>0.49166666666666664</c:v>
                </c:pt>
                <c:pt idx="3">
                  <c:v>0.49166666666666664</c:v>
                </c:pt>
                <c:pt idx="4">
                  <c:v>0.49166666666666664</c:v>
                </c:pt>
                <c:pt idx="5">
                  <c:v>0.49166666666666664</c:v>
                </c:pt>
                <c:pt idx="6">
                  <c:v>0.49166666666666664</c:v>
                </c:pt>
                <c:pt idx="7">
                  <c:v>0.49166666666666664</c:v>
                </c:pt>
                <c:pt idx="8">
                  <c:v>0.49166666666666664</c:v>
                </c:pt>
                <c:pt idx="9">
                  <c:v>0.49166666666666664</c:v>
                </c:pt>
                <c:pt idx="10">
                  <c:v>0.49166666666666664</c:v>
                </c:pt>
                <c:pt idx="11">
                  <c:v>0.49166666666666664</c:v>
                </c:pt>
                <c:pt idx="12">
                  <c:v>0.49166666666666664</c:v>
                </c:pt>
                <c:pt idx="13">
                  <c:v>0.49166666666666664</c:v>
                </c:pt>
                <c:pt idx="14">
                  <c:v>0.49166666666666664</c:v>
                </c:pt>
                <c:pt idx="15">
                  <c:v>0.49166666666666664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4-4CD4-A948-82F35970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9E0-4222-9FEF-2724CE0473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0-4222-9FEF-2724CE04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E0-4222-9FEF-2724CE04735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E0-4222-9FEF-2724CE04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PUSHER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3">
                  <c:v>BASE</c:v>
                </c:pt>
                <c:pt idx="14">
                  <c:v>HOLDER/STOPPER</c:v>
                </c:pt>
              </c:strCache>
            </c:strRef>
          </c:cat>
          <c:val>
            <c:numRef>
              <c:f>'07'!$L$6:$L$21</c:f>
              <c:numCache>
                <c:formatCode>_(* #,##0_);_(* \(#,##0\);_(* "-"_);_(@_)</c:formatCode>
                <c:ptCount val="16"/>
                <c:pt idx="2">
                  <c:v>4613</c:v>
                </c:pt>
                <c:pt idx="3">
                  <c:v>6078</c:v>
                </c:pt>
                <c:pt idx="5">
                  <c:v>2380</c:v>
                </c:pt>
                <c:pt idx="6">
                  <c:v>3683</c:v>
                </c:pt>
                <c:pt idx="7">
                  <c:v>2176</c:v>
                </c:pt>
                <c:pt idx="9">
                  <c:v>814</c:v>
                </c:pt>
                <c:pt idx="10">
                  <c:v>5503</c:v>
                </c:pt>
                <c:pt idx="11">
                  <c:v>272</c:v>
                </c:pt>
                <c:pt idx="12">
                  <c:v>3356</c:v>
                </c:pt>
                <c:pt idx="13">
                  <c:v>4843</c:v>
                </c:pt>
                <c:pt idx="14">
                  <c:v>4959</c:v>
                </c:pt>
                <c:pt idx="15">
                  <c:v>45468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2-4853-9BC8-2965DA593664}"/>
            </c:ext>
          </c:extLst>
        </c:ser>
        <c:ser>
          <c:idx val="1"/>
          <c:order val="1"/>
          <c:tx>
            <c:v>계획</c:v>
          </c:tx>
          <c:cat>
            <c:strRef>
              <c:f>'07'!$D$6:$D$21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PUSHER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3">
                  <c:v>BASE</c:v>
                </c:pt>
                <c:pt idx="14">
                  <c:v>HOLDER/STOPPER</c:v>
                </c:pt>
              </c:strCache>
            </c:strRef>
          </c:cat>
          <c:val>
            <c:numRef>
              <c:f>'07'!$J$6:$J$21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4613</c:v>
                </c:pt>
                <c:pt idx="3">
                  <c:v>6078</c:v>
                </c:pt>
                <c:pt idx="4">
                  <c:v>14620</c:v>
                </c:pt>
                <c:pt idx="5">
                  <c:v>2380</c:v>
                </c:pt>
                <c:pt idx="6">
                  <c:v>3683</c:v>
                </c:pt>
                <c:pt idx="7">
                  <c:v>2176</c:v>
                </c:pt>
                <c:pt idx="8">
                  <c:v>1620</c:v>
                </c:pt>
                <c:pt idx="9">
                  <c:v>814</c:v>
                </c:pt>
                <c:pt idx="10">
                  <c:v>5503</c:v>
                </c:pt>
                <c:pt idx="11">
                  <c:v>272</c:v>
                </c:pt>
                <c:pt idx="12">
                  <c:v>3356</c:v>
                </c:pt>
                <c:pt idx="13">
                  <c:v>4843</c:v>
                </c:pt>
                <c:pt idx="14">
                  <c:v>4959</c:v>
                </c:pt>
                <c:pt idx="15">
                  <c:v>45468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4853-9BC8-2965DA593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100%</c:v>
                </c:pt>
                <c:pt idx="4">
                  <c:v>0%</c:v>
                </c:pt>
                <c:pt idx="5">
                  <c:v>54%</c:v>
                </c:pt>
                <c:pt idx="6">
                  <c:v>83%</c:v>
                </c:pt>
                <c:pt idx="7">
                  <c:v>58%</c:v>
                </c:pt>
                <c:pt idx="8">
                  <c:v>0%</c:v>
                </c:pt>
                <c:pt idx="9">
                  <c:v>17%</c:v>
                </c:pt>
                <c:pt idx="10">
                  <c:v>100%</c:v>
                </c:pt>
                <c:pt idx="11">
                  <c:v>17%</c:v>
                </c:pt>
                <c:pt idx="12">
                  <c:v>75%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PUSHER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3">
                  <c:v>BASE</c:v>
                </c:pt>
                <c:pt idx="14">
                  <c:v>HOLDER/STOPPER</c:v>
                </c:pt>
              </c:strCache>
            </c:strRef>
          </c:cat>
          <c:val>
            <c:numRef>
              <c:f>'07'!$AD$6:$AD$21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1</c:v>
                </c:pt>
                <c:pt idx="4">
                  <c:v>0</c:v>
                </c:pt>
                <c:pt idx="5">
                  <c:v>0.54166666666666663</c:v>
                </c:pt>
                <c:pt idx="6">
                  <c:v>0.83333333333333337</c:v>
                </c:pt>
                <c:pt idx="7">
                  <c:v>0.58333333333333337</c:v>
                </c:pt>
                <c:pt idx="8">
                  <c:v>0</c:v>
                </c:pt>
                <c:pt idx="9">
                  <c:v>0.16666666666666666</c:v>
                </c:pt>
                <c:pt idx="10">
                  <c:v>1</c:v>
                </c:pt>
                <c:pt idx="11">
                  <c:v>0.16666666666666666</c:v>
                </c:pt>
                <c:pt idx="12">
                  <c:v>0.75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D-4B22-8CEF-37009A201A8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8D-4B22-8CEF-37009A201A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PUSHER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3">
                  <c:v>BASE</c:v>
                </c:pt>
                <c:pt idx="14">
                  <c:v>HOLDER/STOPPER</c:v>
                </c:pt>
              </c:strCache>
            </c:strRef>
          </c:cat>
          <c:val>
            <c:numRef>
              <c:f>'07'!$AE$6:$AE$21</c:f>
              <c:numCache>
                <c:formatCode>0%</c:formatCode>
                <c:ptCount val="16"/>
                <c:pt idx="0">
                  <c:v>0.59722222222222221</c:v>
                </c:pt>
                <c:pt idx="1">
                  <c:v>0.59722222222222221</c:v>
                </c:pt>
                <c:pt idx="2">
                  <c:v>0.59722222222222221</c:v>
                </c:pt>
                <c:pt idx="3">
                  <c:v>0.59722222222222221</c:v>
                </c:pt>
                <c:pt idx="4">
                  <c:v>0.59722222222222221</c:v>
                </c:pt>
                <c:pt idx="5">
                  <c:v>0.59722222222222221</c:v>
                </c:pt>
                <c:pt idx="6">
                  <c:v>0.59722222222222221</c:v>
                </c:pt>
                <c:pt idx="7">
                  <c:v>0.59722222222222221</c:v>
                </c:pt>
                <c:pt idx="8">
                  <c:v>0.59722222222222221</c:v>
                </c:pt>
                <c:pt idx="9">
                  <c:v>0.59722222222222221</c:v>
                </c:pt>
                <c:pt idx="10">
                  <c:v>0.59722222222222221</c:v>
                </c:pt>
                <c:pt idx="11">
                  <c:v>0.59722222222222221</c:v>
                </c:pt>
                <c:pt idx="12">
                  <c:v>0.59722222222222221</c:v>
                </c:pt>
                <c:pt idx="13">
                  <c:v>0.59722222222222221</c:v>
                </c:pt>
                <c:pt idx="14">
                  <c:v>0.59722222222222221</c:v>
                </c:pt>
                <c:pt idx="15">
                  <c:v>0.59722222222222221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D-4B22-8CEF-37009A201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LEAD GUIDE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88P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  <c:pt idx="2">
                  <c:v>5830</c:v>
                </c:pt>
                <c:pt idx="3">
                  <c:v>3735</c:v>
                </c:pt>
                <c:pt idx="4">
                  <c:v>10992</c:v>
                </c:pt>
                <c:pt idx="5">
                  <c:v>2055</c:v>
                </c:pt>
                <c:pt idx="6">
                  <c:v>3692</c:v>
                </c:pt>
                <c:pt idx="10">
                  <c:v>3917</c:v>
                </c:pt>
                <c:pt idx="11">
                  <c:v>1450</c:v>
                </c:pt>
                <c:pt idx="12">
                  <c:v>2756</c:v>
                </c:pt>
                <c:pt idx="13">
                  <c:v>5191</c:v>
                </c:pt>
                <c:pt idx="14">
                  <c:v>19752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7-4E18-BAB6-994BD2DDF424}"/>
            </c:ext>
          </c:extLst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LEAD GUIDE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88P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5830</c:v>
                </c:pt>
                <c:pt idx="3">
                  <c:v>3735</c:v>
                </c:pt>
                <c:pt idx="4">
                  <c:v>10992</c:v>
                </c:pt>
                <c:pt idx="5">
                  <c:v>2055</c:v>
                </c:pt>
                <c:pt idx="6">
                  <c:v>3692</c:v>
                </c:pt>
                <c:pt idx="7">
                  <c:v>1513</c:v>
                </c:pt>
                <c:pt idx="8">
                  <c:v>131</c:v>
                </c:pt>
                <c:pt idx="9">
                  <c:v>878</c:v>
                </c:pt>
                <c:pt idx="10">
                  <c:v>3917</c:v>
                </c:pt>
                <c:pt idx="11">
                  <c:v>1450</c:v>
                </c:pt>
                <c:pt idx="12">
                  <c:v>2756</c:v>
                </c:pt>
                <c:pt idx="13">
                  <c:v>5191</c:v>
                </c:pt>
                <c:pt idx="14">
                  <c:v>19752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7-4E18-BAB6-994BD2DDF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PUSHER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3">
                  <c:v>BASE</c:v>
                </c:pt>
                <c:pt idx="14">
                  <c:v>HOLDER/STOPPER</c:v>
                </c:pt>
              </c:strCache>
            </c:strRef>
          </c:cat>
          <c:val>
            <c:numRef>
              <c:f>'07'!$L$6:$L$21</c:f>
              <c:numCache>
                <c:formatCode>_(* #,##0_);_(* \(#,##0\);_(* "-"_);_(@_)</c:formatCode>
                <c:ptCount val="16"/>
                <c:pt idx="2">
                  <c:v>4613</c:v>
                </c:pt>
                <c:pt idx="3">
                  <c:v>6078</c:v>
                </c:pt>
                <c:pt idx="5">
                  <c:v>2380</c:v>
                </c:pt>
                <c:pt idx="6">
                  <c:v>3683</c:v>
                </c:pt>
                <c:pt idx="7">
                  <c:v>2176</c:v>
                </c:pt>
                <c:pt idx="9">
                  <c:v>814</c:v>
                </c:pt>
                <c:pt idx="10">
                  <c:v>5503</c:v>
                </c:pt>
                <c:pt idx="11">
                  <c:v>272</c:v>
                </c:pt>
                <c:pt idx="12">
                  <c:v>3356</c:v>
                </c:pt>
                <c:pt idx="13">
                  <c:v>4843</c:v>
                </c:pt>
                <c:pt idx="14">
                  <c:v>4959</c:v>
                </c:pt>
                <c:pt idx="15">
                  <c:v>45468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1-468D-B970-B8C4E93FCCC0}"/>
            </c:ext>
          </c:extLst>
        </c:ser>
        <c:ser>
          <c:idx val="1"/>
          <c:order val="1"/>
          <c:tx>
            <c:v>계획</c:v>
          </c:tx>
          <c:cat>
            <c:strRef>
              <c:f>'07'!$D$6:$D$21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PUSHER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3">
                  <c:v>BASE</c:v>
                </c:pt>
                <c:pt idx="14">
                  <c:v>HOLDER/STOPPER</c:v>
                </c:pt>
              </c:strCache>
            </c:strRef>
          </c:cat>
          <c:val>
            <c:numRef>
              <c:f>'07'!$J$6:$J$21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4613</c:v>
                </c:pt>
                <c:pt idx="3">
                  <c:v>6078</c:v>
                </c:pt>
                <c:pt idx="4">
                  <c:v>14620</c:v>
                </c:pt>
                <c:pt idx="5">
                  <c:v>2380</c:v>
                </c:pt>
                <c:pt idx="6">
                  <c:v>3683</c:v>
                </c:pt>
                <c:pt idx="7">
                  <c:v>2176</c:v>
                </c:pt>
                <c:pt idx="8">
                  <c:v>1620</c:v>
                </c:pt>
                <c:pt idx="9">
                  <c:v>814</c:v>
                </c:pt>
                <c:pt idx="10">
                  <c:v>5503</c:v>
                </c:pt>
                <c:pt idx="11">
                  <c:v>272</c:v>
                </c:pt>
                <c:pt idx="12">
                  <c:v>3356</c:v>
                </c:pt>
                <c:pt idx="13">
                  <c:v>4843</c:v>
                </c:pt>
                <c:pt idx="14">
                  <c:v>4959</c:v>
                </c:pt>
                <c:pt idx="15">
                  <c:v>45468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1-468D-B970-B8C4E93F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100%</c:v>
                </c:pt>
                <c:pt idx="4">
                  <c:v>0%</c:v>
                </c:pt>
                <c:pt idx="5">
                  <c:v>54%</c:v>
                </c:pt>
                <c:pt idx="6">
                  <c:v>83%</c:v>
                </c:pt>
                <c:pt idx="7">
                  <c:v>58%</c:v>
                </c:pt>
                <c:pt idx="8">
                  <c:v>0%</c:v>
                </c:pt>
                <c:pt idx="9">
                  <c:v>17%</c:v>
                </c:pt>
                <c:pt idx="10">
                  <c:v>100%</c:v>
                </c:pt>
                <c:pt idx="11">
                  <c:v>17%</c:v>
                </c:pt>
                <c:pt idx="12">
                  <c:v>75%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PUSHER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3">
                  <c:v>BASE</c:v>
                </c:pt>
                <c:pt idx="14">
                  <c:v>HOLDER/STOPPER</c:v>
                </c:pt>
              </c:strCache>
            </c:strRef>
          </c:cat>
          <c:val>
            <c:numRef>
              <c:f>'07'!$AD$6:$AD$21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1</c:v>
                </c:pt>
                <c:pt idx="4">
                  <c:v>0</c:v>
                </c:pt>
                <c:pt idx="5">
                  <c:v>0.54166666666666663</c:v>
                </c:pt>
                <c:pt idx="6">
                  <c:v>0.83333333333333337</c:v>
                </c:pt>
                <c:pt idx="7">
                  <c:v>0.58333333333333337</c:v>
                </c:pt>
                <c:pt idx="8">
                  <c:v>0</c:v>
                </c:pt>
                <c:pt idx="9">
                  <c:v>0.16666666666666666</c:v>
                </c:pt>
                <c:pt idx="10">
                  <c:v>1</c:v>
                </c:pt>
                <c:pt idx="11">
                  <c:v>0.16666666666666666</c:v>
                </c:pt>
                <c:pt idx="12">
                  <c:v>0.75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7-4A86-BDB6-C07A62DE286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67-4A86-BDB6-C07A62DE28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PUSHER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3">
                  <c:v>BASE</c:v>
                </c:pt>
                <c:pt idx="14">
                  <c:v>HOLDER/STOPPER</c:v>
                </c:pt>
              </c:strCache>
            </c:strRef>
          </c:cat>
          <c:val>
            <c:numRef>
              <c:f>'07'!$AE$6:$AE$21</c:f>
              <c:numCache>
                <c:formatCode>0%</c:formatCode>
                <c:ptCount val="16"/>
                <c:pt idx="0">
                  <c:v>0.59722222222222221</c:v>
                </c:pt>
                <c:pt idx="1">
                  <c:v>0.59722222222222221</c:v>
                </c:pt>
                <c:pt idx="2">
                  <c:v>0.59722222222222221</c:v>
                </c:pt>
                <c:pt idx="3">
                  <c:v>0.59722222222222221</c:v>
                </c:pt>
                <c:pt idx="4">
                  <c:v>0.59722222222222221</c:v>
                </c:pt>
                <c:pt idx="5">
                  <c:v>0.59722222222222221</c:v>
                </c:pt>
                <c:pt idx="6">
                  <c:v>0.59722222222222221</c:v>
                </c:pt>
                <c:pt idx="7">
                  <c:v>0.59722222222222221</c:v>
                </c:pt>
                <c:pt idx="8">
                  <c:v>0.59722222222222221</c:v>
                </c:pt>
                <c:pt idx="9">
                  <c:v>0.59722222222222221</c:v>
                </c:pt>
                <c:pt idx="10">
                  <c:v>0.59722222222222221</c:v>
                </c:pt>
                <c:pt idx="11">
                  <c:v>0.59722222222222221</c:v>
                </c:pt>
                <c:pt idx="12">
                  <c:v>0.59722222222222221</c:v>
                </c:pt>
                <c:pt idx="13">
                  <c:v>0.59722222222222221</c:v>
                </c:pt>
                <c:pt idx="14">
                  <c:v>0.59722222222222221</c:v>
                </c:pt>
                <c:pt idx="15">
                  <c:v>0.59722222222222221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7-4A86-BDB6-C07A62DE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591-4E77-A879-EF18740D17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1-4E77-A879-EF18740D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91-4E77-A879-EF18740D17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1-4E77-A879-EF18740D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BOTTOM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'08'!$L$6:$L$20</c:f>
              <c:numCache>
                <c:formatCode>_(* #,##0_);_(* \(#,##0\);_(* "-"_);_(@_)</c:formatCode>
                <c:ptCount val="15"/>
                <c:pt idx="2">
                  <c:v>1236</c:v>
                </c:pt>
                <c:pt idx="3">
                  <c:v>5653</c:v>
                </c:pt>
                <c:pt idx="5">
                  <c:v>5658</c:v>
                </c:pt>
                <c:pt idx="6">
                  <c:v>4731</c:v>
                </c:pt>
                <c:pt idx="7">
                  <c:v>2154</c:v>
                </c:pt>
                <c:pt idx="10">
                  <c:v>5566</c:v>
                </c:pt>
                <c:pt idx="12">
                  <c:v>4971</c:v>
                </c:pt>
                <c:pt idx="13">
                  <c:v>3113</c:v>
                </c:pt>
                <c:pt idx="14">
                  <c:v>79672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2-44B4-B2CF-B64280ECEC75}"/>
            </c:ext>
          </c:extLst>
        </c:ser>
        <c:ser>
          <c:idx val="1"/>
          <c:order val="1"/>
          <c:tx>
            <c:v>계획</c:v>
          </c:tx>
          <c:cat>
            <c:strRef>
              <c:f>'08'!$D$6:$D$20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BOTTOM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1236</c:v>
                </c:pt>
                <c:pt idx="3">
                  <c:v>5653</c:v>
                </c:pt>
                <c:pt idx="4">
                  <c:v>14620</c:v>
                </c:pt>
                <c:pt idx="5">
                  <c:v>5658</c:v>
                </c:pt>
                <c:pt idx="6">
                  <c:v>4731</c:v>
                </c:pt>
                <c:pt idx="7">
                  <c:v>2154</c:v>
                </c:pt>
                <c:pt idx="8">
                  <c:v>1620</c:v>
                </c:pt>
                <c:pt idx="9">
                  <c:v>814</c:v>
                </c:pt>
                <c:pt idx="10">
                  <c:v>5566</c:v>
                </c:pt>
                <c:pt idx="11">
                  <c:v>272</c:v>
                </c:pt>
                <c:pt idx="12">
                  <c:v>4971</c:v>
                </c:pt>
                <c:pt idx="13">
                  <c:v>3113</c:v>
                </c:pt>
                <c:pt idx="14">
                  <c:v>79672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2-44B4-B2CF-B64280EC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25%</c:v>
                </c:pt>
                <c:pt idx="3">
                  <c:v>100%</c:v>
                </c:pt>
                <c:pt idx="4">
                  <c:v>0%</c:v>
                </c:pt>
                <c:pt idx="5">
                  <c:v>100%</c:v>
                </c:pt>
                <c:pt idx="6">
                  <c:v>100%</c:v>
                </c:pt>
                <c:pt idx="7">
                  <c:v>42%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100%</c:v>
                </c:pt>
                <c:pt idx="13">
                  <c:v>79%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BOTTOM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0.79166666666666663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2-46CC-9895-BC1D5118716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42-46CC-9895-BC1D5118716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BOTTOM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'08'!$AE$6:$AE$20</c:f>
              <c:numCache>
                <c:formatCode>0%</c:formatCode>
                <c:ptCount val="15"/>
                <c:pt idx="0">
                  <c:v>0.49722222222222218</c:v>
                </c:pt>
                <c:pt idx="1">
                  <c:v>0.49722222222222218</c:v>
                </c:pt>
                <c:pt idx="2">
                  <c:v>0.49722222222222218</c:v>
                </c:pt>
                <c:pt idx="3">
                  <c:v>0.49722222222222218</c:v>
                </c:pt>
                <c:pt idx="4">
                  <c:v>0.49722222222222218</c:v>
                </c:pt>
                <c:pt idx="5">
                  <c:v>0.49722222222222218</c:v>
                </c:pt>
                <c:pt idx="6">
                  <c:v>0.49722222222222218</c:v>
                </c:pt>
                <c:pt idx="7">
                  <c:v>0.49722222222222218</c:v>
                </c:pt>
                <c:pt idx="8">
                  <c:v>0.49722222222222218</c:v>
                </c:pt>
                <c:pt idx="9">
                  <c:v>0.49722222222222218</c:v>
                </c:pt>
                <c:pt idx="10">
                  <c:v>0.49722222222222218</c:v>
                </c:pt>
                <c:pt idx="11">
                  <c:v>0.49722222222222218</c:v>
                </c:pt>
                <c:pt idx="12">
                  <c:v>0.49722222222222218</c:v>
                </c:pt>
                <c:pt idx="13">
                  <c:v>0.49722222222222218</c:v>
                </c:pt>
                <c:pt idx="14">
                  <c:v>0.49722222222222218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2-46CC-9895-BC1D51187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BOTTOM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'08'!$L$6:$L$20</c:f>
              <c:numCache>
                <c:formatCode>_(* #,##0_);_(* \(#,##0\);_(* "-"_);_(@_)</c:formatCode>
                <c:ptCount val="15"/>
                <c:pt idx="2">
                  <c:v>1236</c:v>
                </c:pt>
                <c:pt idx="3">
                  <c:v>5653</c:v>
                </c:pt>
                <c:pt idx="5">
                  <c:v>5658</c:v>
                </c:pt>
                <c:pt idx="6">
                  <c:v>4731</c:v>
                </c:pt>
                <c:pt idx="7">
                  <c:v>2154</c:v>
                </c:pt>
                <c:pt idx="10">
                  <c:v>5566</c:v>
                </c:pt>
                <c:pt idx="12">
                  <c:v>4971</c:v>
                </c:pt>
                <c:pt idx="13">
                  <c:v>3113</c:v>
                </c:pt>
                <c:pt idx="14">
                  <c:v>79672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E-4014-88F6-B404428218A7}"/>
            </c:ext>
          </c:extLst>
        </c:ser>
        <c:ser>
          <c:idx val="1"/>
          <c:order val="1"/>
          <c:tx>
            <c:v>계획</c:v>
          </c:tx>
          <c:cat>
            <c:strRef>
              <c:f>'08'!$D$6:$D$20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BOTTOM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1236</c:v>
                </c:pt>
                <c:pt idx="3">
                  <c:v>5653</c:v>
                </c:pt>
                <c:pt idx="4">
                  <c:v>14620</c:v>
                </c:pt>
                <c:pt idx="5">
                  <c:v>5658</c:v>
                </c:pt>
                <c:pt idx="6">
                  <c:v>4731</c:v>
                </c:pt>
                <c:pt idx="7">
                  <c:v>2154</c:v>
                </c:pt>
                <c:pt idx="8">
                  <c:v>1620</c:v>
                </c:pt>
                <c:pt idx="9">
                  <c:v>814</c:v>
                </c:pt>
                <c:pt idx="10">
                  <c:v>5566</c:v>
                </c:pt>
                <c:pt idx="11">
                  <c:v>272</c:v>
                </c:pt>
                <c:pt idx="12">
                  <c:v>4971</c:v>
                </c:pt>
                <c:pt idx="13">
                  <c:v>3113</c:v>
                </c:pt>
                <c:pt idx="14">
                  <c:v>79672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E-4014-88F6-B40442821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25%</c:v>
                </c:pt>
                <c:pt idx="3">
                  <c:v>100%</c:v>
                </c:pt>
                <c:pt idx="4">
                  <c:v>0%</c:v>
                </c:pt>
                <c:pt idx="5">
                  <c:v>100%</c:v>
                </c:pt>
                <c:pt idx="6">
                  <c:v>100%</c:v>
                </c:pt>
                <c:pt idx="7">
                  <c:v>42%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100%</c:v>
                </c:pt>
                <c:pt idx="13">
                  <c:v>79%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BOTTOM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0.79166666666666663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9-482C-B101-D7DC0B2DBC5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E9-482C-B101-D7DC0B2DBC5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BOTTOM</c:v>
                </c:pt>
                <c:pt idx="8">
                  <c:v>F/R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'08'!$AE$6:$AE$20</c:f>
              <c:numCache>
                <c:formatCode>0%</c:formatCode>
                <c:ptCount val="15"/>
                <c:pt idx="0">
                  <c:v>0.49722222222222218</c:v>
                </c:pt>
                <c:pt idx="1">
                  <c:v>0.49722222222222218</c:v>
                </c:pt>
                <c:pt idx="2">
                  <c:v>0.49722222222222218</c:v>
                </c:pt>
                <c:pt idx="3">
                  <c:v>0.49722222222222218</c:v>
                </c:pt>
                <c:pt idx="4">
                  <c:v>0.49722222222222218</c:v>
                </c:pt>
                <c:pt idx="5">
                  <c:v>0.49722222222222218</c:v>
                </c:pt>
                <c:pt idx="6">
                  <c:v>0.49722222222222218</c:v>
                </c:pt>
                <c:pt idx="7">
                  <c:v>0.49722222222222218</c:v>
                </c:pt>
                <c:pt idx="8">
                  <c:v>0.49722222222222218</c:v>
                </c:pt>
                <c:pt idx="9">
                  <c:v>0.49722222222222218</c:v>
                </c:pt>
                <c:pt idx="10">
                  <c:v>0.49722222222222218</c:v>
                </c:pt>
                <c:pt idx="11">
                  <c:v>0.49722222222222218</c:v>
                </c:pt>
                <c:pt idx="12">
                  <c:v>0.49722222222222218</c:v>
                </c:pt>
                <c:pt idx="13">
                  <c:v>0.49722222222222218</c:v>
                </c:pt>
                <c:pt idx="14">
                  <c:v>0.49722222222222218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9-482C-B101-D7DC0B2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B79-40C3-8424-6D43C6DB4F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9-40C3-8424-6D43C6DB4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79-40C3-8424-6D43C6DB4F4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9-40C3-8424-6D43C6DB4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STOPPER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BOTTOM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BOTTOM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'09'!$L$6:$L$20</c:f>
              <c:numCache>
                <c:formatCode>_(* #,##0_);_(* \(#,##0\);_(* "-"_);_(@_)</c:formatCode>
                <c:ptCount val="15"/>
                <c:pt idx="3">
                  <c:v>4525</c:v>
                </c:pt>
                <c:pt idx="5">
                  <c:v>5453</c:v>
                </c:pt>
                <c:pt idx="6">
                  <c:v>4731</c:v>
                </c:pt>
                <c:pt idx="10">
                  <c:v>4928</c:v>
                </c:pt>
                <c:pt idx="11">
                  <c:v>1160</c:v>
                </c:pt>
                <c:pt idx="12">
                  <c:v>3133</c:v>
                </c:pt>
                <c:pt idx="13">
                  <c:v>5646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D00-B998-26E47DF62F02}"/>
            </c:ext>
          </c:extLst>
        </c:ser>
        <c:ser>
          <c:idx val="1"/>
          <c:order val="1"/>
          <c:tx>
            <c:v>계획</c:v>
          </c:tx>
          <c:cat>
            <c:strRef>
              <c:f>'09'!$D$6:$D$20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STOPPER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BOTTOM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BOTTOM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'09'!$J$6:$J$20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1236</c:v>
                </c:pt>
                <c:pt idx="3">
                  <c:v>4525</c:v>
                </c:pt>
                <c:pt idx="4">
                  <c:v>14620</c:v>
                </c:pt>
                <c:pt idx="5">
                  <c:v>5453</c:v>
                </c:pt>
                <c:pt idx="6">
                  <c:v>4731</c:v>
                </c:pt>
                <c:pt idx="7">
                  <c:v>2154</c:v>
                </c:pt>
                <c:pt idx="8">
                  <c:v>1620</c:v>
                </c:pt>
                <c:pt idx="9">
                  <c:v>814</c:v>
                </c:pt>
                <c:pt idx="10">
                  <c:v>4928</c:v>
                </c:pt>
                <c:pt idx="11">
                  <c:v>1160</c:v>
                </c:pt>
                <c:pt idx="12">
                  <c:v>3133</c:v>
                </c:pt>
                <c:pt idx="13">
                  <c:v>5646</c:v>
                </c:pt>
                <c:pt idx="14">
                  <c:v>79672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D00-B998-26E47DF6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88%</c:v>
                </c:pt>
                <c:pt idx="4">
                  <c:v>0%</c:v>
                </c:pt>
                <c:pt idx="5">
                  <c:v>100%</c:v>
                </c:pt>
                <c:pt idx="6">
                  <c:v>92%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25%</c:v>
                </c:pt>
                <c:pt idx="12">
                  <c:v>75%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STOPPER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BOTTOM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BOTTOM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0.875</c:v>
                </c:pt>
                <c:pt idx="4">
                  <c:v>0</c:v>
                </c:pt>
                <c:pt idx="5">
                  <c:v>1</c:v>
                </c:pt>
                <c:pt idx="6">
                  <c:v>0.91666666666666663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0.25</c:v>
                </c:pt>
                <c:pt idx="12">
                  <c:v>0.75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2-4312-ACDE-B2B24B0D860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D2-4312-ACDE-B2B24B0D86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STOPPER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BOTTOM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BOTTOM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'09'!$AE$6:$AE$20</c:f>
              <c:numCache>
                <c:formatCode>0%</c:formatCode>
                <c:ptCount val="15"/>
                <c:pt idx="0">
                  <c:v>0.38611111111111107</c:v>
                </c:pt>
                <c:pt idx="1">
                  <c:v>0.38611111111111107</c:v>
                </c:pt>
                <c:pt idx="2">
                  <c:v>0.38611111111111107</c:v>
                </c:pt>
                <c:pt idx="3">
                  <c:v>0.38611111111111107</c:v>
                </c:pt>
                <c:pt idx="4">
                  <c:v>0.38611111111111107</c:v>
                </c:pt>
                <c:pt idx="5">
                  <c:v>0.38611111111111107</c:v>
                </c:pt>
                <c:pt idx="6">
                  <c:v>0.38611111111111107</c:v>
                </c:pt>
                <c:pt idx="7">
                  <c:v>0.38611111111111107</c:v>
                </c:pt>
                <c:pt idx="8">
                  <c:v>0.38611111111111107</c:v>
                </c:pt>
                <c:pt idx="9">
                  <c:v>0.38611111111111107</c:v>
                </c:pt>
                <c:pt idx="10">
                  <c:v>0.38611111111111107</c:v>
                </c:pt>
                <c:pt idx="11">
                  <c:v>0.38611111111111107</c:v>
                </c:pt>
                <c:pt idx="12">
                  <c:v>0.38611111111111107</c:v>
                </c:pt>
                <c:pt idx="13">
                  <c:v>0.38611111111111107</c:v>
                </c:pt>
                <c:pt idx="14">
                  <c:v>0.38611111111111107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2-4312-ACDE-B2B24B0D8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83%</c:v>
                </c:pt>
                <c:pt idx="4">
                  <c:v>88%</c:v>
                </c:pt>
                <c:pt idx="5">
                  <c:v>54%</c:v>
                </c:pt>
                <c:pt idx="6">
                  <c:v>83%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88%</c:v>
                </c:pt>
                <c:pt idx="11">
                  <c:v>42%</c:v>
                </c:pt>
                <c:pt idx="12">
                  <c:v>75%</c:v>
                </c:pt>
                <c:pt idx="13">
                  <c:v>50%</c:v>
                </c:pt>
                <c:pt idx="14">
                  <c:v>33%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LEAD GUIDE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88P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0.54166666666666663</c:v>
                </c:pt>
                <c:pt idx="6">
                  <c:v>0.83333333333333337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0.875</c:v>
                </c:pt>
                <c:pt idx="11">
                  <c:v>0.41666666666666669</c:v>
                </c:pt>
                <c:pt idx="12">
                  <c:v>0.75</c:v>
                </c:pt>
                <c:pt idx="13">
                  <c:v>0.5</c:v>
                </c:pt>
                <c:pt idx="1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D-43E1-874D-4F2109935FB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8D-43E1-874D-4F2109935F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LEAD GUIDE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88P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0.46388888888888885</c:v>
                </c:pt>
                <c:pt idx="1">
                  <c:v>0.46388888888888885</c:v>
                </c:pt>
                <c:pt idx="2">
                  <c:v>0.46388888888888885</c:v>
                </c:pt>
                <c:pt idx="3">
                  <c:v>0.46388888888888885</c:v>
                </c:pt>
                <c:pt idx="4">
                  <c:v>0.46388888888888885</c:v>
                </c:pt>
                <c:pt idx="5">
                  <c:v>0.46388888888888885</c:v>
                </c:pt>
                <c:pt idx="6">
                  <c:v>0.46388888888888885</c:v>
                </c:pt>
                <c:pt idx="7">
                  <c:v>0.46388888888888885</c:v>
                </c:pt>
                <c:pt idx="8">
                  <c:v>0.46388888888888885</c:v>
                </c:pt>
                <c:pt idx="9">
                  <c:v>0.46388888888888885</c:v>
                </c:pt>
                <c:pt idx="10">
                  <c:v>0.46388888888888885</c:v>
                </c:pt>
                <c:pt idx="11">
                  <c:v>0.46388888888888885</c:v>
                </c:pt>
                <c:pt idx="12">
                  <c:v>0.46388888888888885</c:v>
                </c:pt>
                <c:pt idx="13">
                  <c:v>0.33333333333333331</c:v>
                </c:pt>
                <c:pt idx="14">
                  <c:v>0.46388888888888885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D-43E1-874D-4F2109935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STOPPER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BOTTOM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BOTTOM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'09'!$L$6:$L$20</c:f>
              <c:numCache>
                <c:formatCode>_(* #,##0_);_(* \(#,##0\);_(* "-"_);_(@_)</c:formatCode>
                <c:ptCount val="15"/>
                <c:pt idx="3">
                  <c:v>4525</c:v>
                </c:pt>
                <c:pt idx="5">
                  <c:v>5453</c:v>
                </c:pt>
                <c:pt idx="6">
                  <c:v>4731</c:v>
                </c:pt>
                <c:pt idx="10">
                  <c:v>4928</c:v>
                </c:pt>
                <c:pt idx="11">
                  <c:v>1160</c:v>
                </c:pt>
                <c:pt idx="12">
                  <c:v>3133</c:v>
                </c:pt>
                <c:pt idx="13">
                  <c:v>5646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2-41D1-A8F4-995B53EFA637}"/>
            </c:ext>
          </c:extLst>
        </c:ser>
        <c:ser>
          <c:idx val="1"/>
          <c:order val="1"/>
          <c:tx>
            <c:v>계획</c:v>
          </c:tx>
          <c:cat>
            <c:strRef>
              <c:f>'09'!$D$6:$D$20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STOPPER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BOTTOM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BOTTOM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'09'!$J$6:$J$20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1236</c:v>
                </c:pt>
                <c:pt idx="3">
                  <c:v>4525</c:v>
                </c:pt>
                <c:pt idx="4">
                  <c:v>14620</c:v>
                </c:pt>
                <c:pt idx="5">
                  <c:v>5453</c:v>
                </c:pt>
                <c:pt idx="6">
                  <c:v>4731</c:v>
                </c:pt>
                <c:pt idx="7">
                  <c:v>2154</c:v>
                </c:pt>
                <c:pt idx="8">
                  <c:v>1620</c:v>
                </c:pt>
                <c:pt idx="9">
                  <c:v>814</c:v>
                </c:pt>
                <c:pt idx="10">
                  <c:v>4928</c:v>
                </c:pt>
                <c:pt idx="11">
                  <c:v>1160</c:v>
                </c:pt>
                <c:pt idx="12">
                  <c:v>3133</c:v>
                </c:pt>
                <c:pt idx="13">
                  <c:v>5646</c:v>
                </c:pt>
                <c:pt idx="14">
                  <c:v>79672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2-41D1-A8F4-995B53EF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88%</c:v>
                </c:pt>
                <c:pt idx="4">
                  <c:v>0%</c:v>
                </c:pt>
                <c:pt idx="5">
                  <c:v>100%</c:v>
                </c:pt>
                <c:pt idx="6">
                  <c:v>92%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25%</c:v>
                </c:pt>
                <c:pt idx="12">
                  <c:v>75%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STOPPER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BOTTOM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BOTTOM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0.875</c:v>
                </c:pt>
                <c:pt idx="4">
                  <c:v>0</c:v>
                </c:pt>
                <c:pt idx="5">
                  <c:v>1</c:v>
                </c:pt>
                <c:pt idx="6">
                  <c:v>0.91666666666666663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0.25</c:v>
                </c:pt>
                <c:pt idx="12">
                  <c:v>0.75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9-4187-A648-6B1920ED31F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99-4187-A648-6B1920ED31F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STOPPER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BOTTOM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BOTTOM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'09'!$AE$6:$AE$20</c:f>
              <c:numCache>
                <c:formatCode>0%</c:formatCode>
                <c:ptCount val="15"/>
                <c:pt idx="0">
                  <c:v>0.38611111111111107</c:v>
                </c:pt>
                <c:pt idx="1">
                  <c:v>0.38611111111111107</c:v>
                </c:pt>
                <c:pt idx="2">
                  <c:v>0.38611111111111107</c:v>
                </c:pt>
                <c:pt idx="3">
                  <c:v>0.38611111111111107</c:v>
                </c:pt>
                <c:pt idx="4">
                  <c:v>0.38611111111111107</c:v>
                </c:pt>
                <c:pt idx="5">
                  <c:v>0.38611111111111107</c:v>
                </c:pt>
                <c:pt idx="6">
                  <c:v>0.38611111111111107</c:v>
                </c:pt>
                <c:pt idx="7">
                  <c:v>0.38611111111111107</c:v>
                </c:pt>
                <c:pt idx="8">
                  <c:v>0.38611111111111107</c:v>
                </c:pt>
                <c:pt idx="9">
                  <c:v>0.38611111111111107</c:v>
                </c:pt>
                <c:pt idx="10">
                  <c:v>0.38611111111111107</c:v>
                </c:pt>
                <c:pt idx="11">
                  <c:v>0.38611111111111107</c:v>
                </c:pt>
                <c:pt idx="12">
                  <c:v>0.38611111111111107</c:v>
                </c:pt>
                <c:pt idx="13">
                  <c:v>0.38611111111111107</c:v>
                </c:pt>
                <c:pt idx="14">
                  <c:v>0.38611111111111107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9-4187-A648-6B1920ED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DA1-4B62-AB12-FEF01FDDAB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1-4B62-AB12-FEF01FDDA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A1-4B62-AB12-FEF01FDDAB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1-4B62-AB12-FEF01FDDA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'12'!$D$6:$D$22</c:f>
              <c:strCache>
                <c:ptCount val="16"/>
                <c:pt idx="1">
                  <c:v>88P</c:v>
                </c:pt>
                <c:pt idx="2">
                  <c:v>STOPPER</c:v>
                </c:pt>
                <c:pt idx="3">
                  <c:v>STOPPER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SLIDER</c:v>
                </c:pt>
                <c:pt idx="12">
                  <c:v>BODY</c:v>
                </c:pt>
                <c:pt idx="13">
                  <c:v>BODY</c:v>
                </c:pt>
                <c:pt idx="14">
                  <c:v>COVER</c:v>
                </c:pt>
                <c:pt idx="15">
                  <c:v>BASE</c:v>
                </c:pt>
              </c:strCache>
            </c:strRef>
          </c:cat>
          <c:val>
            <c:numRef>
              <c:f>'12'!$L$6:$L$22</c:f>
              <c:numCache>
                <c:formatCode>_(* #,##0_);_(* \(#,##0\);_(* "-"_);_(@_)</c:formatCode>
                <c:ptCount val="17"/>
                <c:pt idx="3">
                  <c:v>4599</c:v>
                </c:pt>
                <c:pt idx="6">
                  <c:v>4551</c:v>
                </c:pt>
                <c:pt idx="7">
                  <c:v>4828</c:v>
                </c:pt>
                <c:pt idx="9">
                  <c:v>4862</c:v>
                </c:pt>
                <c:pt idx="11">
                  <c:v>7044</c:v>
                </c:pt>
                <c:pt idx="12">
                  <c:v>602</c:v>
                </c:pt>
                <c:pt idx="13">
                  <c:v>470</c:v>
                </c:pt>
                <c:pt idx="14">
                  <c:v>410</c:v>
                </c:pt>
                <c:pt idx="15">
                  <c:v>4579</c:v>
                </c:pt>
                <c:pt idx="16">
                  <c:v>29373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8-4CB0-9A0C-388E64338E6E}"/>
            </c:ext>
          </c:extLst>
        </c:ser>
        <c:ser>
          <c:idx val="1"/>
          <c:order val="1"/>
          <c:tx>
            <c:v>계획</c:v>
          </c:tx>
          <c:cat>
            <c:strRef>
              <c:f>'12'!$D$6:$D$22</c:f>
              <c:strCache>
                <c:ptCount val="16"/>
                <c:pt idx="1">
                  <c:v>88P</c:v>
                </c:pt>
                <c:pt idx="2">
                  <c:v>STOPPER</c:v>
                </c:pt>
                <c:pt idx="3">
                  <c:v>STOPPER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SLIDER</c:v>
                </c:pt>
                <c:pt idx="12">
                  <c:v>BODY</c:v>
                </c:pt>
                <c:pt idx="13">
                  <c:v>BODY</c:v>
                </c:pt>
                <c:pt idx="14">
                  <c:v>COVER</c:v>
                </c:pt>
                <c:pt idx="15">
                  <c:v>BASE</c:v>
                </c:pt>
              </c:strCache>
            </c:strRef>
          </c:cat>
          <c:val>
            <c:numRef>
              <c:f>'12'!$J$6:$J$22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2061</c:v>
                </c:pt>
                <c:pt idx="2">
                  <c:v>1236</c:v>
                </c:pt>
                <c:pt idx="3">
                  <c:v>4599</c:v>
                </c:pt>
                <c:pt idx="4">
                  <c:v>14620</c:v>
                </c:pt>
                <c:pt idx="5">
                  <c:v>5453</c:v>
                </c:pt>
                <c:pt idx="6">
                  <c:v>4551</c:v>
                </c:pt>
                <c:pt idx="7">
                  <c:v>4828</c:v>
                </c:pt>
                <c:pt idx="8">
                  <c:v>1620</c:v>
                </c:pt>
                <c:pt idx="9">
                  <c:v>4862</c:v>
                </c:pt>
                <c:pt idx="10">
                  <c:v>4928</c:v>
                </c:pt>
                <c:pt idx="11">
                  <c:v>7044</c:v>
                </c:pt>
                <c:pt idx="12">
                  <c:v>602</c:v>
                </c:pt>
                <c:pt idx="13">
                  <c:v>470</c:v>
                </c:pt>
                <c:pt idx="14">
                  <c:v>410</c:v>
                </c:pt>
                <c:pt idx="15">
                  <c:v>4579</c:v>
                </c:pt>
                <c:pt idx="16">
                  <c:v>29373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8-4CB0-9A0C-388E6433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0%</c:v>
                </c:pt>
                <c:pt idx="5">
                  <c:v>0%</c:v>
                </c:pt>
                <c:pt idx="6">
                  <c:v>100%</c:v>
                </c:pt>
                <c:pt idx="7">
                  <c:v>58%</c:v>
                </c:pt>
                <c:pt idx="8">
                  <c:v>0%</c:v>
                </c:pt>
                <c:pt idx="9">
                  <c:v>63%</c:v>
                </c:pt>
                <c:pt idx="10">
                  <c:v>0%</c:v>
                </c:pt>
                <c:pt idx="11">
                  <c:v>88%</c:v>
                </c:pt>
                <c:pt idx="12">
                  <c:v>17%</c:v>
                </c:pt>
                <c:pt idx="13">
                  <c:v>17%</c:v>
                </c:pt>
                <c:pt idx="14">
                  <c:v>13%</c:v>
                </c:pt>
                <c:pt idx="15">
                  <c:v>100%</c:v>
                </c:pt>
                <c:pt idx="16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'12'!$D$6:$D$22</c:f>
              <c:strCache>
                <c:ptCount val="16"/>
                <c:pt idx="1">
                  <c:v>88P</c:v>
                </c:pt>
                <c:pt idx="2">
                  <c:v>STOPPER</c:v>
                </c:pt>
                <c:pt idx="3">
                  <c:v>STOPPER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SLIDER</c:v>
                </c:pt>
                <c:pt idx="12">
                  <c:v>BODY</c:v>
                </c:pt>
                <c:pt idx="13">
                  <c:v>BODY</c:v>
                </c:pt>
                <c:pt idx="14">
                  <c:v>COVER</c:v>
                </c:pt>
                <c:pt idx="15">
                  <c:v>BASE</c:v>
                </c:pt>
              </c:strCache>
            </c:strRef>
          </c:cat>
          <c:val>
            <c:numRef>
              <c:f>'12'!$AD$6:$AD$22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0.58333333333333337</c:v>
                </c:pt>
                <c:pt idx="8">
                  <c:v>0</c:v>
                </c:pt>
                <c:pt idx="9">
                  <c:v>0.625</c:v>
                </c:pt>
                <c:pt idx="10">
                  <c:v>0</c:v>
                </c:pt>
                <c:pt idx="11">
                  <c:v>0.875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0.125</c:v>
                </c:pt>
                <c:pt idx="15">
                  <c:v>1</c:v>
                </c:pt>
                <c:pt idx="16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5-4A90-9972-EBA3699AEC4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45-4A90-9972-EBA3699AEC4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'12'!$D$6:$D$22</c:f>
              <c:strCache>
                <c:ptCount val="16"/>
                <c:pt idx="1">
                  <c:v>88P</c:v>
                </c:pt>
                <c:pt idx="2">
                  <c:v>STOPPER</c:v>
                </c:pt>
                <c:pt idx="3">
                  <c:v>STOPPER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SLIDER</c:v>
                </c:pt>
                <c:pt idx="12">
                  <c:v>BODY</c:v>
                </c:pt>
                <c:pt idx="13">
                  <c:v>BODY</c:v>
                </c:pt>
                <c:pt idx="14">
                  <c:v>COVER</c:v>
                </c:pt>
                <c:pt idx="15">
                  <c:v>BASE</c:v>
                </c:pt>
              </c:strCache>
            </c:strRef>
          </c:cat>
          <c:val>
            <c:numRef>
              <c:f>'12'!$AE$6:$AE$22</c:f>
              <c:numCache>
                <c:formatCode>0%</c:formatCode>
                <c:ptCount val="17"/>
                <c:pt idx="0">
                  <c:v>0.40555555555555567</c:v>
                </c:pt>
                <c:pt idx="1">
                  <c:v>0.40555555555555567</c:v>
                </c:pt>
                <c:pt idx="2">
                  <c:v>0.40555555555555567</c:v>
                </c:pt>
                <c:pt idx="3">
                  <c:v>0.40555555555555567</c:v>
                </c:pt>
                <c:pt idx="4">
                  <c:v>0.40555555555555567</c:v>
                </c:pt>
                <c:pt idx="5">
                  <c:v>0.40555555555555567</c:v>
                </c:pt>
                <c:pt idx="6">
                  <c:v>0.40555555555555567</c:v>
                </c:pt>
                <c:pt idx="7">
                  <c:v>0.40555555555555567</c:v>
                </c:pt>
                <c:pt idx="8">
                  <c:v>0.40555555555555567</c:v>
                </c:pt>
                <c:pt idx="9">
                  <c:v>0.40555555555555567</c:v>
                </c:pt>
                <c:pt idx="10">
                  <c:v>0.40555555555555567</c:v>
                </c:pt>
                <c:pt idx="11">
                  <c:v>0.40555555555555567</c:v>
                </c:pt>
                <c:pt idx="12">
                  <c:v>0.40555555555555567</c:v>
                </c:pt>
                <c:pt idx="13">
                  <c:v>0.40555555555555567</c:v>
                </c:pt>
                <c:pt idx="14">
                  <c:v>0.40555555555555567</c:v>
                </c:pt>
                <c:pt idx="15">
                  <c:v>0.40555555555555567</c:v>
                </c:pt>
                <c:pt idx="16">
                  <c:v>0.40555555555555567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5-4A90-9972-EBA3699AE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'12'!$D$6:$D$22</c:f>
              <c:strCache>
                <c:ptCount val="16"/>
                <c:pt idx="1">
                  <c:v>88P</c:v>
                </c:pt>
                <c:pt idx="2">
                  <c:v>STOPPER</c:v>
                </c:pt>
                <c:pt idx="3">
                  <c:v>STOPPER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SLIDER</c:v>
                </c:pt>
                <c:pt idx="12">
                  <c:v>BODY</c:v>
                </c:pt>
                <c:pt idx="13">
                  <c:v>BODY</c:v>
                </c:pt>
                <c:pt idx="14">
                  <c:v>COVER</c:v>
                </c:pt>
                <c:pt idx="15">
                  <c:v>BASE</c:v>
                </c:pt>
              </c:strCache>
            </c:strRef>
          </c:cat>
          <c:val>
            <c:numRef>
              <c:f>'12'!$L$6:$L$22</c:f>
              <c:numCache>
                <c:formatCode>_(* #,##0_);_(* \(#,##0\);_(* "-"_);_(@_)</c:formatCode>
                <c:ptCount val="17"/>
                <c:pt idx="3">
                  <c:v>4599</c:v>
                </c:pt>
                <c:pt idx="6">
                  <c:v>4551</c:v>
                </c:pt>
                <c:pt idx="7">
                  <c:v>4828</c:v>
                </c:pt>
                <c:pt idx="9">
                  <c:v>4862</c:v>
                </c:pt>
                <c:pt idx="11">
                  <c:v>7044</c:v>
                </c:pt>
                <c:pt idx="12">
                  <c:v>602</c:v>
                </c:pt>
                <c:pt idx="13">
                  <c:v>470</c:v>
                </c:pt>
                <c:pt idx="14">
                  <c:v>410</c:v>
                </c:pt>
                <c:pt idx="15">
                  <c:v>4579</c:v>
                </c:pt>
                <c:pt idx="16">
                  <c:v>29373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4-483B-A4CB-10767647B438}"/>
            </c:ext>
          </c:extLst>
        </c:ser>
        <c:ser>
          <c:idx val="1"/>
          <c:order val="1"/>
          <c:tx>
            <c:v>계획</c:v>
          </c:tx>
          <c:cat>
            <c:strRef>
              <c:f>'12'!$D$6:$D$22</c:f>
              <c:strCache>
                <c:ptCount val="16"/>
                <c:pt idx="1">
                  <c:v>88P</c:v>
                </c:pt>
                <c:pt idx="2">
                  <c:v>STOPPER</c:v>
                </c:pt>
                <c:pt idx="3">
                  <c:v>STOPPER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SLIDER</c:v>
                </c:pt>
                <c:pt idx="12">
                  <c:v>BODY</c:v>
                </c:pt>
                <c:pt idx="13">
                  <c:v>BODY</c:v>
                </c:pt>
                <c:pt idx="14">
                  <c:v>COVER</c:v>
                </c:pt>
                <c:pt idx="15">
                  <c:v>BASE</c:v>
                </c:pt>
              </c:strCache>
            </c:strRef>
          </c:cat>
          <c:val>
            <c:numRef>
              <c:f>'12'!$J$6:$J$22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2061</c:v>
                </c:pt>
                <c:pt idx="2">
                  <c:v>1236</c:v>
                </c:pt>
                <c:pt idx="3">
                  <c:v>4599</c:v>
                </c:pt>
                <c:pt idx="4">
                  <c:v>14620</c:v>
                </c:pt>
                <c:pt idx="5">
                  <c:v>5453</c:v>
                </c:pt>
                <c:pt idx="6">
                  <c:v>4551</c:v>
                </c:pt>
                <c:pt idx="7">
                  <c:v>4828</c:v>
                </c:pt>
                <c:pt idx="8">
                  <c:v>1620</c:v>
                </c:pt>
                <c:pt idx="9">
                  <c:v>4862</c:v>
                </c:pt>
                <c:pt idx="10">
                  <c:v>4928</c:v>
                </c:pt>
                <c:pt idx="11">
                  <c:v>7044</c:v>
                </c:pt>
                <c:pt idx="12">
                  <c:v>602</c:v>
                </c:pt>
                <c:pt idx="13">
                  <c:v>470</c:v>
                </c:pt>
                <c:pt idx="14">
                  <c:v>410</c:v>
                </c:pt>
                <c:pt idx="15">
                  <c:v>4579</c:v>
                </c:pt>
                <c:pt idx="16">
                  <c:v>29373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4-483B-A4CB-10767647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0%</c:v>
                </c:pt>
                <c:pt idx="5">
                  <c:v>0%</c:v>
                </c:pt>
                <c:pt idx="6">
                  <c:v>100%</c:v>
                </c:pt>
                <c:pt idx="7">
                  <c:v>58%</c:v>
                </c:pt>
                <c:pt idx="8">
                  <c:v>0%</c:v>
                </c:pt>
                <c:pt idx="9">
                  <c:v>63%</c:v>
                </c:pt>
                <c:pt idx="10">
                  <c:v>0%</c:v>
                </c:pt>
                <c:pt idx="11">
                  <c:v>88%</c:v>
                </c:pt>
                <c:pt idx="12">
                  <c:v>17%</c:v>
                </c:pt>
                <c:pt idx="13">
                  <c:v>17%</c:v>
                </c:pt>
                <c:pt idx="14">
                  <c:v>13%</c:v>
                </c:pt>
                <c:pt idx="15">
                  <c:v>100%</c:v>
                </c:pt>
                <c:pt idx="16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'12'!$D$6:$D$22</c:f>
              <c:strCache>
                <c:ptCount val="16"/>
                <c:pt idx="1">
                  <c:v>88P</c:v>
                </c:pt>
                <c:pt idx="2">
                  <c:v>STOPPER</c:v>
                </c:pt>
                <c:pt idx="3">
                  <c:v>STOPPER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SLIDER</c:v>
                </c:pt>
                <c:pt idx="12">
                  <c:v>BODY</c:v>
                </c:pt>
                <c:pt idx="13">
                  <c:v>BODY</c:v>
                </c:pt>
                <c:pt idx="14">
                  <c:v>COVER</c:v>
                </c:pt>
                <c:pt idx="15">
                  <c:v>BASE</c:v>
                </c:pt>
              </c:strCache>
            </c:strRef>
          </c:cat>
          <c:val>
            <c:numRef>
              <c:f>'12'!$AD$6:$AD$22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0.58333333333333337</c:v>
                </c:pt>
                <c:pt idx="8">
                  <c:v>0</c:v>
                </c:pt>
                <c:pt idx="9">
                  <c:v>0.625</c:v>
                </c:pt>
                <c:pt idx="10">
                  <c:v>0</c:v>
                </c:pt>
                <c:pt idx="11">
                  <c:v>0.875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0.125</c:v>
                </c:pt>
                <c:pt idx="15">
                  <c:v>1</c:v>
                </c:pt>
                <c:pt idx="16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5-4E11-8FB0-A461EBA91D3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E5-4E11-8FB0-A461EBA91D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'12'!$D$6:$D$22</c:f>
              <c:strCache>
                <c:ptCount val="16"/>
                <c:pt idx="1">
                  <c:v>88P</c:v>
                </c:pt>
                <c:pt idx="2">
                  <c:v>STOPPER</c:v>
                </c:pt>
                <c:pt idx="3">
                  <c:v>STOPPER</c:v>
                </c:pt>
                <c:pt idx="4">
                  <c:v>SEPARATOR</c:v>
                </c:pt>
                <c:pt idx="5">
                  <c:v>4LEAD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SLIDER</c:v>
                </c:pt>
                <c:pt idx="12">
                  <c:v>BODY</c:v>
                </c:pt>
                <c:pt idx="13">
                  <c:v>BODY</c:v>
                </c:pt>
                <c:pt idx="14">
                  <c:v>COVER</c:v>
                </c:pt>
                <c:pt idx="15">
                  <c:v>BASE</c:v>
                </c:pt>
              </c:strCache>
            </c:strRef>
          </c:cat>
          <c:val>
            <c:numRef>
              <c:f>'12'!$AE$6:$AE$22</c:f>
              <c:numCache>
                <c:formatCode>0%</c:formatCode>
                <c:ptCount val="17"/>
                <c:pt idx="0">
                  <c:v>0.40555555555555567</c:v>
                </c:pt>
                <c:pt idx="1">
                  <c:v>0.40555555555555567</c:v>
                </c:pt>
                <c:pt idx="2">
                  <c:v>0.40555555555555567</c:v>
                </c:pt>
                <c:pt idx="3">
                  <c:v>0.40555555555555567</c:v>
                </c:pt>
                <c:pt idx="4">
                  <c:v>0.40555555555555567</c:v>
                </c:pt>
                <c:pt idx="5">
                  <c:v>0.40555555555555567</c:v>
                </c:pt>
                <c:pt idx="6">
                  <c:v>0.40555555555555567</c:v>
                </c:pt>
                <c:pt idx="7">
                  <c:v>0.40555555555555567</c:v>
                </c:pt>
                <c:pt idx="8">
                  <c:v>0.40555555555555567</c:v>
                </c:pt>
                <c:pt idx="9">
                  <c:v>0.40555555555555567</c:v>
                </c:pt>
                <c:pt idx="10">
                  <c:v>0.40555555555555567</c:v>
                </c:pt>
                <c:pt idx="11">
                  <c:v>0.40555555555555567</c:v>
                </c:pt>
                <c:pt idx="12">
                  <c:v>0.40555555555555567</c:v>
                </c:pt>
                <c:pt idx="13">
                  <c:v>0.40555555555555567</c:v>
                </c:pt>
                <c:pt idx="14">
                  <c:v>0.40555555555555567</c:v>
                </c:pt>
                <c:pt idx="15">
                  <c:v>0.40555555555555567</c:v>
                </c:pt>
                <c:pt idx="16">
                  <c:v>0.40555555555555567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5-4E11-8FB0-A461EBA9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4A4-4671-A115-CCC775D6E0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4-4671-A115-CCC775D6E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A4-4671-A115-CCC775D6E01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A4-4671-A115-CCC775D6E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SP-1/2</c:v>
                </c:pt>
                <c:pt idx="4">
                  <c:v>HOUSING</c:v>
                </c:pt>
                <c:pt idx="5">
                  <c:v>SEPARATOR</c:v>
                </c:pt>
                <c:pt idx="6">
                  <c:v>4LEAD</c:v>
                </c:pt>
                <c:pt idx="7">
                  <c:v>BASE</c:v>
                </c:pt>
                <c:pt idx="8">
                  <c:v>BASE</c:v>
                </c:pt>
                <c:pt idx="9">
                  <c:v>F/R</c:v>
                </c:pt>
                <c:pt idx="10">
                  <c:v>COVER</c:v>
                </c:pt>
                <c:pt idx="11">
                  <c:v>COVER</c:v>
                </c:pt>
                <c:pt idx="12">
                  <c:v>SLIDER</c:v>
                </c:pt>
                <c:pt idx="13">
                  <c:v>COVER</c:v>
                </c:pt>
                <c:pt idx="14">
                  <c:v>BASE</c:v>
                </c:pt>
              </c:strCache>
            </c:strRef>
          </c:cat>
          <c:val>
            <c:numRef>
              <c:f>'13'!$L$6:$L$21</c:f>
              <c:numCache>
                <c:formatCode>_(* #,##0_);_(* \(#,##0\);_(* "-"_);_(@_)</c:formatCode>
                <c:ptCount val="16"/>
                <c:pt idx="3">
                  <c:v>600</c:v>
                </c:pt>
                <c:pt idx="4">
                  <c:v>3300</c:v>
                </c:pt>
                <c:pt idx="7">
                  <c:v>4831</c:v>
                </c:pt>
                <c:pt idx="10">
                  <c:v>7088</c:v>
                </c:pt>
                <c:pt idx="12">
                  <c:v>4090</c:v>
                </c:pt>
                <c:pt idx="13">
                  <c:v>1035</c:v>
                </c:pt>
                <c:pt idx="15">
                  <c:v>68919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0-4CCB-A4C0-AC5315B521AD}"/>
            </c:ext>
          </c:extLst>
        </c:ser>
        <c:ser>
          <c:idx val="1"/>
          <c:order val="1"/>
          <c:tx>
            <c:v>계획</c:v>
          </c:tx>
          <c:cat>
            <c:strRef>
              <c:f>'13'!$D$6:$D$21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SP-1/2</c:v>
                </c:pt>
                <c:pt idx="4">
                  <c:v>HOUSING</c:v>
                </c:pt>
                <c:pt idx="5">
                  <c:v>SEPARATOR</c:v>
                </c:pt>
                <c:pt idx="6">
                  <c:v>4LEAD</c:v>
                </c:pt>
                <c:pt idx="7">
                  <c:v>BASE</c:v>
                </c:pt>
                <c:pt idx="8">
                  <c:v>BASE</c:v>
                </c:pt>
                <c:pt idx="9">
                  <c:v>F/R</c:v>
                </c:pt>
                <c:pt idx="10">
                  <c:v>COVER</c:v>
                </c:pt>
                <c:pt idx="11">
                  <c:v>COVER</c:v>
                </c:pt>
                <c:pt idx="12">
                  <c:v>SLIDER</c:v>
                </c:pt>
                <c:pt idx="13">
                  <c:v>COVER</c:v>
                </c:pt>
                <c:pt idx="14">
                  <c:v>BASE</c:v>
                </c:pt>
              </c:strCache>
            </c:strRef>
          </c:cat>
          <c:val>
            <c:numRef>
              <c:f>'13'!$J$6:$J$21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1236</c:v>
                </c:pt>
                <c:pt idx="3">
                  <c:v>600</c:v>
                </c:pt>
                <c:pt idx="4">
                  <c:v>3300</c:v>
                </c:pt>
                <c:pt idx="5">
                  <c:v>14620</c:v>
                </c:pt>
                <c:pt idx="6">
                  <c:v>5453</c:v>
                </c:pt>
                <c:pt idx="7">
                  <c:v>4831</c:v>
                </c:pt>
                <c:pt idx="8">
                  <c:v>4828</c:v>
                </c:pt>
                <c:pt idx="9">
                  <c:v>1620</c:v>
                </c:pt>
                <c:pt idx="10">
                  <c:v>7088</c:v>
                </c:pt>
                <c:pt idx="11">
                  <c:v>4928</c:v>
                </c:pt>
                <c:pt idx="12">
                  <c:v>4090</c:v>
                </c:pt>
                <c:pt idx="13">
                  <c:v>1035</c:v>
                </c:pt>
                <c:pt idx="14">
                  <c:v>4579</c:v>
                </c:pt>
                <c:pt idx="15">
                  <c:v>68919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0-4CCB-A4C0-AC5315B5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17%</c:v>
                </c:pt>
                <c:pt idx="4">
                  <c:v>67%</c:v>
                </c:pt>
                <c:pt idx="5">
                  <c:v>0%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83%</c:v>
                </c:pt>
                <c:pt idx="11">
                  <c:v>0%</c:v>
                </c:pt>
                <c:pt idx="12">
                  <c:v>46%</c:v>
                </c:pt>
                <c:pt idx="13">
                  <c:v>42%</c:v>
                </c:pt>
                <c:pt idx="14">
                  <c:v>0%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SP-1/2</c:v>
                </c:pt>
                <c:pt idx="4">
                  <c:v>HOUSING</c:v>
                </c:pt>
                <c:pt idx="5">
                  <c:v>SEPARATOR</c:v>
                </c:pt>
                <c:pt idx="6">
                  <c:v>4LEAD</c:v>
                </c:pt>
                <c:pt idx="7">
                  <c:v>BASE</c:v>
                </c:pt>
                <c:pt idx="8">
                  <c:v>BASE</c:v>
                </c:pt>
                <c:pt idx="9">
                  <c:v>F/R</c:v>
                </c:pt>
                <c:pt idx="10">
                  <c:v>COVER</c:v>
                </c:pt>
                <c:pt idx="11">
                  <c:v>COVER</c:v>
                </c:pt>
                <c:pt idx="12">
                  <c:v>SLIDER</c:v>
                </c:pt>
                <c:pt idx="13">
                  <c:v>COVER</c:v>
                </c:pt>
                <c:pt idx="14">
                  <c:v>BASE</c:v>
                </c:pt>
              </c:strCache>
            </c:strRef>
          </c:cat>
          <c:val>
            <c:numRef>
              <c:f>'13'!$AD$6:$AD$21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0.66666666666666663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0.83333333333333337</c:v>
                </c:pt>
                <c:pt idx="11">
                  <c:v>0</c:v>
                </c:pt>
                <c:pt idx="12">
                  <c:v>0.45833333333333331</c:v>
                </c:pt>
                <c:pt idx="13">
                  <c:v>0.41666666666666669</c:v>
                </c:pt>
                <c:pt idx="14">
                  <c:v>0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8-4195-BC95-69732BA2016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78-4195-BC95-69732BA201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SP-1/2</c:v>
                </c:pt>
                <c:pt idx="4">
                  <c:v>HOUSING</c:v>
                </c:pt>
                <c:pt idx="5">
                  <c:v>SEPARATOR</c:v>
                </c:pt>
                <c:pt idx="6">
                  <c:v>4LEAD</c:v>
                </c:pt>
                <c:pt idx="7">
                  <c:v>BASE</c:v>
                </c:pt>
                <c:pt idx="8">
                  <c:v>BASE</c:v>
                </c:pt>
                <c:pt idx="9">
                  <c:v>F/R</c:v>
                </c:pt>
                <c:pt idx="10">
                  <c:v>COVER</c:v>
                </c:pt>
                <c:pt idx="11">
                  <c:v>COVER</c:v>
                </c:pt>
                <c:pt idx="12">
                  <c:v>SLIDER</c:v>
                </c:pt>
                <c:pt idx="13">
                  <c:v>COVER</c:v>
                </c:pt>
                <c:pt idx="14">
                  <c:v>BASE</c:v>
                </c:pt>
              </c:strCache>
            </c:strRef>
          </c:cat>
          <c:val>
            <c:numRef>
              <c:f>'13'!$AE$6:$AE$21</c:f>
              <c:numCache>
                <c:formatCode>0%</c:formatCode>
                <c:ptCount val="16"/>
                <c:pt idx="0">
                  <c:v>0.2722222222222222</c:v>
                </c:pt>
                <c:pt idx="1">
                  <c:v>0.2722222222222222</c:v>
                </c:pt>
                <c:pt idx="2">
                  <c:v>0.2722222222222222</c:v>
                </c:pt>
                <c:pt idx="3">
                  <c:v>0.2722222222222222</c:v>
                </c:pt>
                <c:pt idx="4">
                  <c:v>0.2722222222222222</c:v>
                </c:pt>
                <c:pt idx="5">
                  <c:v>0.2722222222222222</c:v>
                </c:pt>
                <c:pt idx="6">
                  <c:v>0.2722222222222222</c:v>
                </c:pt>
                <c:pt idx="7">
                  <c:v>0.2722222222222222</c:v>
                </c:pt>
                <c:pt idx="8">
                  <c:v>0.2722222222222222</c:v>
                </c:pt>
                <c:pt idx="9">
                  <c:v>0.2722222222222222</c:v>
                </c:pt>
                <c:pt idx="10">
                  <c:v>0.2722222222222222</c:v>
                </c:pt>
                <c:pt idx="11">
                  <c:v>0.2722222222222222</c:v>
                </c:pt>
                <c:pt idx="12">
                  <c:v>0.2722222222222222</c:v>
                </c:pt>
                <c:pt idx="13">
                  <c:v>0.2722222222222222</c:v>
                </c:pt>
                <c:pt idx="14">
                  <c:v>0.2722222222222222</c:v>
                </c:pt>
                <c:pt idx="15">
                  <c:v>0.2722222222222222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8-4195-BC95-69732BA2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LEAD GUIDE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88P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  <c:pt idx="2">
                  <c:v>5830</c:v>
                </c:pt>
                <c:pt idx="3">
                  <c:v>3735</c:v>
                </c:pt>
                <c:pt idx="4">
                  <c:v>10992</c:v>
                </c:pt>
                <c:pt idx="5">
                  <c:v>2055</c:v>
                </c:pt>
                <c:pt idx="6">
                  <c:v>3692</c:v>
                </c:pt>
                <c:pt idx="10">
                  <c:v>3917</c:v>
                </c:pt>
                <c:pt idx="11">
                  <c:v>1450</c:v>
                </c:pt>
                <c:pt idx="12">
                  <c:v>2756</c:v>
                </c:pt>
                <c:pt idx="13">
                  <c:v>5191</c:v>
                </c:pt>
                <c:pt idx="14">
                  <c:v>19752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5-4D86-B223-394596CD7FFE}"/>
            </c:ext>
          </c:extLst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LEAD GUIDE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88P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5830</c:v>
                </c:pt>
                <c:pt idx="3">
                  <c:v>3735</c:v>
                </c:pt>
                <c:pt idx="4">
                  <c:v>10992</c:v>
                </c:pt>
                <c:pt idx="5">
                  <c:v>2055</c:v>
                </c:pt>
                <c:pt idx="6">
                  <c:v>3692</c:v>
                </c:pt>
                <c:pt idx="7">
                  <c:v>1513</c:v>
                </c:pt>
                <c:pt idx="8">
                  <c:v>131</c:v>
                </c:pt>
                <c:pt idx="9">
                  <c:v>878</c:v>
                </c:pt>
                <c:pt idx="10">
                  <c:v>3917</c:v>
                </c:pt>
                <c:pt idx="11">
                  <c:v>1450</c:v>
                </c:pt>
                <c:pt idx="12">
                  <c:v>2756</c:v>
                </c:pt>
                <c:pt idx="13">
                  <c:v>5191</c:v>
                </c:pt>
                <c:pt idx="14">
                  <c:v>19752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5-4D86-B223-394596CD7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SP-1/2</c:v>
                </c:pt>
                <c:pt idx="4">
                  <c:v>HOUSING</c:v>
                </c:pt>
                <c:pt idx="5">
                  <c:v>SEPARATOR</c:v>
                </c:pt>
                <c:pt idx="6">
                  <c:v>4LEAD</c:v>
                </c:pt>
                <c:pt idx="7">
                  <c:v>BASE</c:v>
                </c:pt>
                <c:pt idx="8">
                  <c:v>BASE</c:v>
                </c:pt>
                <c:pt idx="9">
                  <c:v>F/R</c:v>
                </c:pt>
                <c:pt idx="10">
                  <c:v>COVER</c:v>
                </c:pt>
                <c:pt idx="11">
                  <c:v>COVER</c:v>
                </c:pt>
                <c:pt idx="12">
                  <c:v>SLIDER</c:v>
                </c:pt>
                <c:pt idx="13">
                  <c:v>COVER</c:v>
                </c:pt>
                <c:pt idx="14">
                  <c:v>BASE</c:v>
                </c:pt>
              </c:strCache>
            </c:strRef>
          </c:cat>
          <c:val>
            <c:numRef>
              <c:f>'13'!$L$6:$L$21</c:f>
              <c:numCache>
                <c:formatCode>_(* #,##0_);_(* \(#,##0\);_(* "-"_);_(@_)</c:formatCode>
                <c:ptCount val="16"/>
                <c:pt idx="3">
                  <c:v>600</c:v>
                </c:pt>
                <c:pt idx="4">
                  <c:v>3300</c:v>
                </c:pt>
                <c:pt idx="7">
                  <c:v>4831</c:v>
                </c:pt>
                <c:pt idx="10">
                  <c:v>7088</c:v>
                </c:pt>
                <c:pt idx="12">
                  <c:v>4090</c:v>
                </c:pt>
                <c:pt idx="13">
                  <c:v>1035</c:v>
                </c:pt>
                <c:pt idx="15">
                  <c:v>68919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1-4D11-A481-91D5F902EBF5}"/>
            </c:ext>
          </c:extLst>
        </c:ser>
        <c:ser>
          <c:idx val="1"/>
          <c:order val="1"/>
          <c:tx>
            <c:v>계획</c:v>
          </c:tx>
          <c:cat>
            <c:strRef>
              <c:f>'13'!$D$6:$D$21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SP-1/2</c:v>
                </c:pt>
                <c:pt idx="4">
                  <c:v>HOUSING</c:v>
                </c:pt>
                <c:pt idx="5">
                  <c:v>SEPARATOR</c:v>
                </c:pt>
                <c:pt idx="6">
                  <c:v>4LEAD</c:v>
                </c:pt>
                <c:pt idx="7">
                  <c:v>BASE</c:v>
                </c:pt>
                <c:pt idx="8">
                  <c:v>BASE</c:v>
                </c:pt>
                <c:pt idx="9">
                  <c:v>F/R</c:v>
                </c:pt>
                <c:pt idx="10">
                  <c:v>COVER</c:v>
                </c:pt>
                <c:pt idx="11">
                  <c:v>COVER</c:v>
                </c:pt>
                <c:pt idx="12">
                  <c:v>SLIDER</c:v>
                </c:pt>
                <c:pt idx="13">
                  <c:v>COVER</c:v>
                </c:pt>
                <c:pt idx="14">
                  <c:v>BASE</c:v>
                </c:pt>
              </c:strCache>
            </c:strRef>
          </c:cat>
          <c:val>
            <c:numRef>
              <c:f>'13'!$J$6:$J$21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1236</c:v>
                </c:pt>
                <c:pt idx="3">
                  <c:v>600</c:v>
                </c:pt>
                <c:pt idx="4">
                  <c:v>3300</c:v>
                </c:pt>
                <c:pt idx="5">
                  <c:v>14620</c:v>
                </c:pt>
                <c:pt idx="6">
                  <c:v>5453</c:v>
                </c:pt>
                <c:pt idx="7">
                  <c:v>4831</c:v>
                </c:pt>
                <c:pt idx="8">
                  <c:v>4828</c:v>
                </c:pt>
                <c:pt idx="9">
                  <c:v>1620</c:v>
                </c:pt>
                <c:pt idx="10">
                  <c:v>7088</c:v>
                </c:pt>
                <c:pt idx="11">
                  <c:v>4928</c:v>
                </c:pt>
                <c:pt idx="12">
                  <c:v>4090</c:v>
                </c:pt>
                <c:pt idx="13">
                  <c:v>1035</c:v>
                </c:pt>
                <c:pt idx="14">
                  <c:v>4579</c:v>
                </c:pt>
                <c:pt idx="15">
                  <c:v>68919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1-4D11-A481-91D5F902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17%</c:v>
                </c:pt>
                <c:pt idx="4">
                  <c:v>67%</c:v>
                </c:pt>
                <c:pt idx="5">
                  <c:v>0%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83%</c:v>
                </c:pt>
                <c:pt idx="11">
                  <c:v>0%</c:v>
                </c:pt>
                <c:pt idx="12">
                  <c:v>46%</c:v>
                </c:pt>
                <c:pt idx="13">
                  <c:v>42%</c:v>
                </c:pt>
                <c:pt idx="14">
                  <c:v>0%</c:v>
                </c:pt>
                <c:pt idx="15">
                  <c:v>54%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SP-1/2</c:v>
                </c:pt>
                <c:pt idx="4">
                  <c:v>HOUSING</c:v>
                </c:pt>
                <c:pt idx="5">
                  <c:v>SEPARATOR</c:v>
                </c:pt>
                <c:pt idx="6">
                  <c:v>4LEAD</c:v>
                </c:pt>
                <c:pt idx="7">
                  <c:v>BASE</c:v>
                </c:pt>
                <c:pt idx="8">
                  <c:v>BASE</c:v>
                </c:pt>
                <c:pt idx="9">
                  <c:v>F/R</c:v>
                </c:pt>
                <c:pt idx="10">
                  <c:v>COVER</c:v>
                </c:pt>
                <c:pt idx="11">
                  <c:v>COVER</c:v>
                </c:pt>
                <c:pt idx="12">
                  <c:v>SLIDER</c:v>
                </c:pt>
                <c:pt idx="13">
                  <c:v>COVER</c:v>
                </c:pt>
                <c:pt idx="14">
                  <c:v>BASE</c:v>
                </c:pt>
              </c:strCache>
            </c:strRef>
          </c:cat>
          <c:val>
            <c:numRef>
              <c:f>'13'!$AD$6:$AD$21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0.66666666666666663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0.83333333333333337</c:v>
                </c:pt>
                <c:pt idx="11">
                  <c:v>0</c:v>
                </c:pt>
                <c:pt idx="12">
                  <c:v>0.45833333333333331</c:v>
                </c:pt>
                <c:pt idx="13">
                  <c:v>0.41666666666666669</c:v>
                </c:pt>
                <c:pt idx="14">
                  <c:v>0</c:v>
                </c:pt>
                <c:pt idx="15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3-48CE-B979-28EC1C57E53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53-48CE-B979-28EC1C57E5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SP-1/2</c:v>
                </c:pt>
                <c:pt idx="4">
                  <c:v>HOUSING</c:v>
                </c:pt>
                <c:pt idx="5">
                  <c:v>SEPARATOR</c:v>
                </c:pt>
                <c:pt idx="6">
                  <c:v>4LEAD</c:v>
                </c:pt>
                <c:pt idx="7">
                  <c:v>BASE</c:v>
                </c:pt>
                <c:pt idx="8">
                  <c:v>BASE</c:v>
                </c:pt>
                <c:pt idx="9">
                  <c:v>F/R</c:v>
                </c:pt>
                <c:pt idx="10">
                  <c:v>COVER</c:v>
                </c:pt>
                <c:pt idx="11">
                  <c:v>COVER</c:v>
                </c:pt>
                <c:pt idx="12">
                  <c:v>SLIDER</c:v>
                </c:pt>
                <c:pt idx="13">
                  <c:v>COVER</c:v>
                </c:pt>
                <c:pt idx="14">
                  <c:v>BASE</c:v>
                </c:pt>
              </c:strCache>
            </c:strRef>
          </c:cat>
          <c:val>
            <c:numRef>
              <c:f>'13'!$AE$6:$AE$21</c:f>
              <c:numCache>
                <c:formatCode>0%</c:formatCode>
                <c:ptCount val="16"/>
                <c:pt idx="0">
                  <c:v>0.2722222222222222</c:v>
                </c:pt>
                <c:pt idx="1">
                  <c:v>0.2722222222222222</c:v>
                </c:pt>
                <c:pt idx="2">
                  <c:v>0.2722222222222222</c:v>
                </c:pt>
                <c:pt idx="3">
                  <c:v>0.2722222222222222</c:v>
                </c:pt>
                <c:pt idx="4">
                  <c:v>0.2722222222222222</c:v>
                </c:pt>
                <c:pt idx="5">
                  <c:v>0.2722222222222222</c:v>
                </c:pt>
                <c:pt idx="6">
                  <c:v>0.2722222222222222</c:v>
                </c:pt>
                <c:pt idx="7">
                  <c:v>0.2722222222222222</c:v>
                </c:pt>
                <c:pt idx="8">
                  <c:v>0.2722222222222222</c:v>
                </c:pt>
                <c:pt idx="9">
                  <c:v>0.2722222222222222</c:v>
                </c:pt>
                <c:pt idx="10">
                  <c:v>0.2722222222222222</c:v>
                </c:pt>
                <c:pt idx="11">
                  <c:v>0.2722222222222222</c:v>
                </c:pt>
                <c:pt idx="12">
                  <c:v>0.2722222222222222</c:v>
                </c:pt>
                <c:pt idx="13">
                  <c:v>0.2722222222222222</c:v>
                </c:pt>
                <c:pt idx="14">
                  <c:v>0.2722222222222222</c:v>
                </c:pt>
                <c:pt idx="15">
                  <c:v>0.2722222222222222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3-48CE-B979-28EC1C57E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20A-43C8-8D33-1078527E96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A-43C8-8D33-1078527E9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0A-43C8-8D33-1078527E968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A-43C8-8D33-1078527E9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'14'!$D$6:$D$21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BLOCK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SLIDER</c:v>
                </c:pt>
                <c:pt idx="13">
                  <c:v>ACTUATOR</c:v>
                </c:pt>
              </c:strCache>
            </c:strRef>
          </c:cat>
          <c:val>
            <c:numRef>
              <c:f>'14'!$L$6:$L$21</c:f>
              <c:numCache>
                <c:formatCode>_(* #,##0_);_(* \(#,##0\);_(* "-"_);_(@_)</c:formatCode>
                <c:ptCount val="16"/>
                <c:pt idx="3">
                  <c:v>601</c:v>
                </c:pt>
                <c:pt idx="4">
                  <c:v>4623</c:v>
                </c:pt>
                <c:pt idx="5">
                  <c:v>300</c:v>
                </c:pt>
                <c:pt idx="6">
                  <c:v>484</c:v>
                </c:pt>
                <c:pt idx="7">
                  <c:v>185</c:v>
                </c:pt>
                <c:pt idx="11">
                  <c:v>300</c:v>
                </c:pt>
                <c:pt idx="12">
                  <c:v>1304</c:v>
                </c:pt>
                <c:pt idx="13">
                  <c:v>300</c:v>
                </c:pt>
                <c:pt idx="14">
                  <c:v>23628</c:v>
                </c:pt>
                <c:pt idx="15">
                  <c:v>60884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0-4B91-990F-F75509EDA560}"/>
            </c:ext>
          </c:extLst>
        </c:ser>
        <c:ser>
          <c:idx val="1"/>
          <c:order val="1"/>
          <c:tx>
            <c:v>계획</c:v>
          </c:tx>
          <c:cat>
            <c:strRef>
              <c:f>'14'!$D$6:$D$21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BLOCK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SLIDER</c:v>
                </c:pt>
                <c:pt idx="13">
                  <c:v>ACTUATOR</c:v>
                </c:pt>
              </c:strCache>
            </c:strRef>
          </c:cat>
          <c:val>
            <c:numRef>
              <c:f>'14'!$J$6:$J$21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1236</c:v>
                </c:pt>
                <c:pt idx="3">
                  <c:v>601</c:v>
                </c:pt>
                <c:pt idx="4">
                  <c:v>4623</c:v>
                </c:pt>
                <c:pt idx="5">
                  <c:v>300</c:v>
                </c:pt>
                <c:pt idx="6">
                  <c:v>484</c:v>
                </c:pt>
                <c:pt idx="7">
                  <c:v>185</c:v>
                </c:pt>
                <c:pt idx="8">
                  <c:v>1620</c:v>
                </c:pt>
                <c:pt idx="9">
                  <c:v>7088</c:v>
                </c:pt>
                <c:pt idx="10">
                  <c:v>4928</c:v>
                </c:pt>
                <c:pt idx="11">
                  <c:v>300</c:v>
                </c:pt>
                <c:pt idx="12">
                  <c:v>1304</c:v>
                </c:pt>
                <c:pt idx="13">
                  <c:v>300</c:v>
                </c:pt>
                <c:pt idx="14">
                  <c:v>23628</c:v>
                </c:pt>
                <c:pt idx="15">
                  <c:v>60884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0-4B91-990F-F75509EDA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17%</c:v>
                </c:pt>
                <c:pt idx="4">
                  <c:v>33%</c:v>
                </c:pt>
                <c:pt idx="5">
                  <c:v>17%</c:v>
                </c:pt>
                <c:pt idx="6">
                  <c:v>13%</c:v>
                </c:pt>
                <c:pt idx="7">
                  <c:v>21%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17%</c:v>
                </c:pt>
                <c:pt idx="12">
                  <c:v>29%</c:v>
                </c:pt>
                <c:pt idx="13">
                  <c:v>17%</c:v>
                </c:pt>
                <c:pt idx="14">
                  <c:v>21%</c:v>
                </c:pt>
                <c:pt idx="15">
                  <c:v>67%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'14'!$D$6:$D$21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BLOCK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SLIDER</c:v>
                </c:pt>
                <c:pt idx="13">
                  <c:v>ACTUATOR</c:v>
                </c:pt>
              </c:strCache>
            </c:strRef>
          </c:cat>
          <c:val>
            <c:numRef>
              <c:f>'14'!$AD$6:$AD$21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0.16666666666666666</c:v>
                </c:pt>
                <c:pt idx="6">
                  <c:v>0.125</c:v>
                </c:pt>
                <c:pt idx="7">
                  <c:v>0.20833333333333334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  <c:pt idx="12">
                  <c:v>0.29166666666666669</c:v>
                </c:pt>
                <c:pt idx="13">
                  <c:v>0.16666666666666666</c:v>
                </c:pt>
                <c:pt idx="14">
                  <c:v>0.20833333333333334</c:v>
                </c:pt>
                <c:pt idx="1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5-45C9-B8EA-D1288DF5511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35-45C9-B8EA-D1288DF551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'14'!$D$6:$D$21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BLOCK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SLIDER</c:v>
                </c:pt>
                <c:pt idx="13">
                  <c:v>ACTUATOR</c:v>
                </c:pt>
              </c:strCache>
            </c:strRef>
          </c:cat>
          <c:val>
            <c:numRef>
              <c:f>'14'!$AE$6:$AE$21</c:f>
              <c:numCache>
                <c:formatCode>0%</c:formatCode>
                <c:ptCount val="1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5-45C9-B8EA-D1288DF5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'14'!$D$6:$D$21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BLOCK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SLIDER</c:v>
                </c:pt>
                <c:pt idx="13">
                  <c:v>ACTUATOR</c:v>
                </c:pt>
              </c:strCache>
            </c:strRef>
          </c:cat>
          <c:val>
            <c:numRef>
              <c:f>'14'!$L$6:$L$21</c:f>
              <c:numCache>
                <c:formatCode>_(* #,##0_);_(* \(#,##0\);_(* "-"_);_(@_)</c:formatCode>
                <c:ptCount val="16"/>
                <c:pt idx="3">
                  <c:v>601</c:v>
                </c:pt>
                <c:pt idx="4">
                  <c:v>4623</c:v>
                </c:pt>
                <c:pt idx="5">
                  <c:v>300</c:v>
                </c:pt>
                <c:pt idx="6">
                  <c:v>484</c:v>
                </c:pt>
                <c:pt idx="7">
                  <c:v>185</c:v>
                </c:pt>
                <c:pt idx="11">
                  <c:v>300</c:v>
                </c:pt>
                <c:pt idx="12">
                  <c:v>1304</c:v>
                </c:pt>
                <c:pt idx="13">
                  <c:v>300</c:v>
                </c:pt>
                <c:pt idx="14">
                  <c:v>23628</c:v>
                </c:pt>
                <c:pt idx="15">
                  <c:v>60884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1-42F4-B448-585EF52547A0}"/>
            </c:ext>
          </c:extLst>
        </c:ser>
        <c:ser>
          <c:idx val="1"/>
          <c:order val="1"/>
          <c:tx>
            <c:v>계획</c:v>
          </c:tx>
          <c:cat>
            <c:strRef>
              <c:f>'14'!$D$6:$D$21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BLOCK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SLIDER</c:v>
                </c:pt>
                <c:pt idx="13">
                  <c:v>ACTUATOR</c:v>
                </c:pt>
              </c:strCache>
            </c:strRef>
          </c:cat>
          <c:val>
            <c:numRef>
              <c:f>'14'!$J$6:$J$21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1236</c:v>
                </c:pt>
                <c:pt idx="3">
                  <c:v>601</c:v>
                </c:pt>
                <c:pt idx="4">
                  <c:v>4623</c:v>
                </c:pt>
                <c:pt idx="5">
                  <c:v>300</c:v>
                </c:pt>
                <c:pt idx="6">
                  <c:v>484</c:v>
                </c:pt>
                <c:pt idx="7">
                  <c:v>185</c:v>
                </c:pt>
                <c:pt idx="8">
                  <c:v>1620</c:v>
                </c:pt>
                <c:pt idx="9">
                  <c:v>7088</c:v>
                </c:pt>
                <c:pt idx="10">
                  <c:v>4928</c:v>
                </c:pt>
                <c:pt idx="11">
                  <c:v>300</c:v>
                </c:pt>
                <c:pt idx="12">
                  <c:v>1304</c:v>
                </c:pt>
                <c:pt idx="13">
                  <c:v>300</c:v>
                </c:pt>
                <c:pt idx="14">
                  <c:v>23628</c:v>
                </c:pt>
                <c:pt idx="15">
                  <c:v>60884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1-42F4-B448-585EF5254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17%</c:v>
                </c:pt>
                <c:pt idx="4">
                  <c:v>33%</c:v>
                </c:pt>
                <c:pt idx="5">
                  <c:v>17%</c:v>
                </c:pt>
                <c:pt idx="6">
                  <c:v>13%</c:v>
                </c:pt>
                <c:pt idx="7">
                  <c:v>21%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17%</c:v>
                </c:pt>
                <c:pt idx="12">
                  <c:v>29%</c:v>
                </c:pt>
                <c:pt idx="13">
                  <c:v>17%</c:v>
                </c:pt>
                <c:pt idx="14">
                  <c:v>21%</c:v>
                </c:pt>
                <c:pt idx="15">
                  <c:v>67%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'14'!$D$6:$D$21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BLOCK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SLIDER</c:v>
                </c:pt>
                <c:pt idx="13">
                  <c:v>ACTUATOR</c:v>
                </c:pt>
              </c:strCache>
            </c:strRef>
          </c:cat>
          <c:val>
            <c:numRef>
              <c:f>'14'!$AD$6:$AD$21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0.16666666666666666</c:v>
                </c:pt>
                <c:pt idx="6">
                  <c:v>0.125</c:v>
                </c:pt>
                <c:pt idx="7">
                  <c:v>0.20833333333333334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  <c:pt idx="12">
                  <c:v>0.29166666666666669</c:v>
                </c:pt>
                <c:pt idx="13">
                  <c:v>0.16666666666666666</c:v>
                </c:pt>
                <c:pt idx="14">
                  <c:v>0.20833333333333334</c:v>
                </c:pt>
                <c:pt idx="1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7-4F8B-B042-155E0171194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F7-4F8B-B042-155E017119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'14'!$D$6:$D$21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BLOCK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SLIDER</c:v>
                </c:pt>
                <c:pt idx="13">
                  <c:v>ACTUATOR</c:v>
                </c:pt>
              </c:strCache>
            </c:strRef>
          </c:cat>
          <c:val>
            <c:numRef>
              <c:f>'14'!$AE$6:$AE$21</c:f>
              <c:numCache>
                <c:formatCode>0%</c:formatCode>
                <c:ptCount val="1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7-4F8B-B042-155E01711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DEE-4391-A687-B18A0C007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E-4391-A687-B18A0C00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EE-4391-A687-B18A0C007D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E-4391-A687-B18A0C00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BODY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LATCH PLATE</c:v>
                </c:pt>
                <c:pt idx="8">
                  <c:v>BASE</c:v>
                </c:pt>
                <c:pt idx="9">
                  <c:v>F/R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COVER</c:v>
                </c:pt>
                <c:pt idx="14">
                  <c:v>BODY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3">
                  <c:v>5164</c:v>
                </c:pt>
                <c:pt idx="4">
                  <c:v>10011</c:v>
                </c:pt>
                <c:pt idx="6">
                  <c:v>4407</c:v>
                </c:pt>
                <c:pt idx="7">
                  <c:v>406</c:v>
                </c:pt>
                <c:pt idx="8">
                  <c:v>2833</c:v>
                </c:pt>
                <c:pt idx="13">
                  <c:v>2136</c:v>
                </c:pt>
                <c:pt idx="14">
                  <c:v>2510</c:v>
                </c:pt>
                <c:pt idx="15">
                  <c:v>62706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0-4D33-8D1A-77BAC4AE57C3}"/>
            </c:ext>
          </c:extLst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BODY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LATCH PLATE</c:v>
                </c:pt>
                <c:pt idx="8">
                  <c:v>BASE</c:v>
                </c:pt>
                <c:pt idx="9">
                  <c:v>F/R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COVER</c:v>
                </c:pt>
                <c:pt idx="14">
                  <c:v>BODY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1236</c:v>
                </c:pt>
                <c:pt idx="3">
                  <c:v>5164</c:v>
                </c:pt>
                <c:pt idx="4">
                  <c:v>10011</c:v>
                </c:pt>
                <c:pt idx="5">
                  <c:v>300</c:v>
                </c:pt>
                <c:pt idx="6">
                  <c:v>4407</c:v>
                </c:pt>
                <c:pt idx="7">
                  <c:v>406</c:v>
                </c:pt>
                <c:pt idx="8">
                  <c:v>2833</c:v>
                </c:pt>
                <c:pt idx="9">
                  <c:v>1620</c:v>
                </c:pt>
                <c:pt idx="10">
                  <c:v>7088</c:v>
                </c:pt>
                <c:pt idx="11">
                  <c:v>4928</c:v>
                </c:pt>
                <c:pt idx="12">
                  <c:v>300</c:v>
                </c:pt>
                <c:pt idx="13">
                  <c:v>2136</c:v>
                </c:pt>
                <c:pt idx="14">
                  <c:v>2510</c:v>
                </c:pt>
                <c:pt idx="15">
                  <c:v>62706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0-4D33-8D1A-77BAC4AE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58%</c:v>
                </c:pt>
                <c:pt idx="5">
                  <c:v>0%</c:v>
                </c:pt>
                <c:pt idx="6">
                  <c:v>100%</c:v>
                </c:pt>
                <c:pt idx="7">
                  <c:v>17%</c:v>
                </c:pt>
                <c:pt idx="8">
                  <c:v>54%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42%</c:v>
                </c:pt>
                <c:pt idx="14">
                  <c:v>50%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BODY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LATCH PLATE</c:v>
                </c:pt>
                <c:pt idx="8">
                  <c:v>BASE</c:v>
                </c:pt>
                <c:pt idx="9">
                  <c:v>F/R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COVER</c:v>
                </c:pt>
                <c:pt idx="14">
                  <c:v>BODY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0.58333333333333337</c:v>
                </c:pt>
                <c:pt idx="5">
                  <c:v>0</c:v>
                </c:pt>
                <c:pt idx="6">
                  <c:v>1</c:v>
                </c:pt>
                <c:pt idx="7">
                  <c:v>0.16666666666666666</c:v>
                </c:pt>
                <c:pt idx="8">
                  <c:v>0.54166666666666663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0.41666666666666669</c:v>
                </c:pt>
                <c:pt idx="14">
                  <c:v>0.5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0-4F23-AE10-8D9809F7FAA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60-4F23-AE10-8D9809F7FAA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BODY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LATCH PLATE</c:v>
                </c:pt>
                <c:pt idx="8">
                  <c:v>BASE</c:v>
                </c:pt>
                <c:pt idx="9">
                  <c:v>F/R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COVER</c:v>
                </c:pt>
                <c:pt idx="14">
                  <c:v>BODY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0.34722222222222221</c:v>
                </c:pt>
                <c:pt idx="1">
                  <c:v>0.34722222222222221</c:v>
                </c:pt>
                <c:pt idx="2">
                  <c:v>0.34722222222222221</c:v>
                </c:pt>
                <c:pt idx="3">
                  <c:v>0.34722222222222221</c:v>
                </c:pt>
                <c:pt idx="4">
                  <c:v>0.34722222222222221</c:v>
                </c:pt>
                <c:pt idx="5">
                  <c:v>0.34722222222222221</c:v>
                </c:pt>
                <c:pt idx="6">
                  <c:v>0.34722222222222221</c:v>
                </c:pt>
                <c:pt idx="7">
                  <c:v>0.34722222222222221</c:v>
                </c:pt>
                <c:pt idx="8">
                  <c:v>0.34722222222222221</c:v>
                </c:pt>
                <c:pt idx="9">
                  <c:v>0.34722222222222221</c:v>
                </c:pt>
                <c:pt idx="10">
                  <c:v>0.34722222222222221</c:v>
                </c:pt>
                <c:pt idx="11">
                  <c:v>0.34722222222222221</c:v>
                </c:pt>
                <c:pt idx="12">
                  <c:v>0.34722222222222221</c:v>
                </c:pt>
                <c:pt idx="13">
                  <c:v>0.34722222222222221</c:v>
                </c:pt>
                <c:pt idx="14">
                  <c:v>0.34722222222222221</c:v>
                </c:pt>
                <c:pt idx="15">
                  <c:v>0.34722222222222221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0-4F23-AE10-8D9809F7F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83%</c:v>
                </c:pt>
                <c:pt idx="4">
                  <c:v>88%</c:v>
                </c:pt>
                <c:pt idx="5">
                  <c:v>54%</c:v>
                </c:pt>
                <c:pt idx="6">
                  <c:v>83%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88%</c:v>
                </c:pt>
                <c:pt idx="11">
                  <c:v>42%</c:v>
                </c:pt>
                <c:pt idx="12">
                  <c:v>75%</c:v>
                </c:pt>
                <c:pt idx="13">
                  <c:v>50%</c:v>
                </c:pt>
                <c:pt idx="14">
                  <c:v>33%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LEAD GUIDE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88P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0.54166666666666663</c:v>
                </c:pt>
                <c:pt idx="6">
                  <c:v>0.83333333333333337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0.875</c:v>
                </c:pt>
                <c:pt idx="11">
                  <c:v>0.41666666666666669</c:v>
                </c:pt>
                <c:pt idx="12">
                  <c:v>0.75</c:v>
                </c:pt>
                <c:pt idx="13">
                  <c:v>0.5</c:v>
                </c:pt>
                <c:pt idx="1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5-4D59-B277-0C5DF867EDC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25-4D59-B277-0C5DF867EDC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LEAD GUIDE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88P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0.46388888888888885</c:v>
                </c:pt>
                <c:pt idx="1">
                  <c:v>0.46388888888888885</c:v>
                </c:pt>
                <c:pt idx="2">
                  <c:v>0.46388888888888885</c:v>
                </c:pt>
                <c:pt idx="3">
                  <c:v>0.46388888888888885</c:v>
                </c:pt>
                <c:pt idx="4">
                  <c:v>0.46388888888888885</c:v>
                </c:pt>
                <c:pt idx="5">
                  <c:v>0.46388888888888885</c:v>
                </c:pt>
                <c:pt idx="6">
                  <c:v>0.46388888888888885</c:v>
                </c:pt>
                <c:pt idx="7">
                  <c:v>0.46388888888888885</c:v>
                </c:pt>
                <c:pt idx="8">
                  <c:v>0.46388888888888885</c:v>
                </c:pt>
                <c:pt idx="9">
                  <c:v>0.46388888888888885</c:v>
                </c:pt>
                <c:pt idx="10">
                  <c:v>0.46388888888888885</c:v>
                </c:pt>
                <c:pt idx="11">
                  <c:v>0.46388888888888885</c:v>
                </c:pt>
                <c:pt idx="12">
                  <c:v>0.46388888888888885</c:v>
                </c:pt>
                <c:pt idx="13">
                  <c:v>0.33333333333333331</c:v>
                </c:pt>
                <c:pt idx="14">
                  <c:v>0.46388888888888885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5-4D59-B277-0C5DF867E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BODY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LATCH PLATE</c:v>
                </c:pt>
                <c:pt idx="8">
                  <c:v>BASE</c:v>
                </c:pt>
                <c:pt idx="9">
                  <c:v>F/R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COVER</c:v>
                </c:pt>
                <c:pt idx="14">
                  <c:v>BODY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3">
                  <c:v>5164</c:v>
                </c:pt>
                <c:pt idx="4">
                  <c:v>10011</c:v>
                </c:pt>
                <c:pt idx="6">
                  <c:v>4407</c:v>
                </c:pt>
                <c:pt idx="7">
                  <c:v>406</c:v>
                </c:pt>
                <c:pt idx="8">
                  <c:v>2833</c:v>
                </c:pt>
                <c:pt idx="13">
                  <c:v>2136</c:v>
                </c:pt>
                <c:pt idx="14">
                  <c:v>2510</c:v>
                </c:pt>
                <c:pt idx="15">
                  <c:v>62706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845-BEF4-87E24C11246F}"/>
            </c:ext>
          </c:extLst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BODY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LATCH PLATE</c:v>
                </c:pt>
                <c:pt idx="8">
                  <c:v>BASE</c:v>
                </c:pt>
                <c:pt idx="9">
                  <c:v>F/R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COVER</c:v>
                </c:pt>
                <c:pt idx="14">
                  <c:v>BODY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1236</c:v>
                </c:pt>
                <c:pt idx="3">
                  <c:v>5164</c:v>
                </c:pt>
                <c:pt idx="4">
                  <c:v>10011</c:v>
                </c:pt>
                <c:pt idx="5">
                  <c:v>300</c:v>
                </c:pt>
                <c:pt idx="6">
                  <c:v>4407</c:v>
                </c:pt>
                <c:pt idx="7">
                  <c:v>406</c:v>
                </c:pt>
                <c:pt idx="8">
                  <c:v>2833</c:v>
                </c:pt>
                <c:pt idx="9">
                  <c:v>1620</c:v>
                </c:pt>
                <c:pt idx="10">
                  <c:v>7088</c:v>
                </c:pt>
                <c:pt idx="11">
                  <c:v>4928</c:v>
                </c:pt>
                <c:pt idx="12">
                  <c:v>300</c:v>
                </c:pt>
                <c:pt idx="13">
                  <c:v>2136</c:v>
                </c:pt>
                <c:pt idx="14">
                  <c:v>2510</c:v>
                </c:pt>
                <c:pt idx="15">
                  <c:v>62706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845-BEF4-87E24C112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58%</c:v>
                </c:pt>
                <c:pt idx="5">
                  <c:v>0%</c:v>
                </c:pt>
                <c:pt idx="6">
                  <c:v>100%</c:v>
                </c:pt>
                <c:pt idx="7">
                  <c:v>17%</c:v>
                </c:pt>
                <c:pt idx="8">
                  <c:v>54%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42%</c:v>
                </c:pt>
                <c:pt idx="14">
                  <c:v>50%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BODY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LATCH PLATE</c:v>
                </c:pt>
                <c:pt idx="8">
                  <c:v>BASE</c:v>
                </c:pt>
                <c:pt idx="9">
                  <c:v>F/R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COVER</c:v>
                </c:pt>
                <c:pt idx="14">
                  <c:v>BODY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0.58333333333333337</c:v>
                </c:pt>
                <c:pt idx="5">
                  <c:v>0</c:v>
                </c:pt>
                <c:pt idx="6">
                  <c:v>1</c:v>
                </c:pt>
                <c:pt idx="7">
                  <c:v>0.16666666666666666</c:v>
                </c:pt>
                <c:pt idx="8">
                  <c:v>0.54166666666666663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0.41666666666666669</c:v>
                </c:pt>
                <c:pt idx="14">
                  <c:v>0.5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C-4DE3-86B2-F8EDD86DC63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CC-4DE3-86B2-F8EDD86DC6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BODY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LATCH PLATE</c:v>
                </c:pt>
                <c:pt idx="8">
                  <c:v>BASE</c:v>
                </c:pt>
                <c:pt idx="9">
                  <c:v>F/R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COVER</c:v>
                </c:pt>
                <c:pt idx="14">
                  <c:v>BODY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0.34722222222222221</c:v>
                </c:pt>
                <c:pt idx="1">
                  <c:v>0.34722222222222221</c:v>
                </c:pt>
                <c:pt idx="2">
                  <c:v>0.34722222222222221</c:v>
                </c:pt>
                <c:pt idx="3">
                  <c:v>0.34722222222222221</c:v>
                </c:pt>
                <c:pt idx="4">
                  <c:v>0.34722222222222221</c:v>
                </c:pt>
                <c:pt idx="5">
                  <c:v>0.34722222222222221</c:v>
                </c:pt>
                <c:pt idx="6">
                  <c:v>0.34722222222222221</c:v>
                </c:pt>
                <c:pt idx="7">
                  <c:v>0.34722222222222221</c:v>
                </c:pt>
                <c:pt idx="8">
                  <c:v>0.34722222222222221</c:v>
                </c:pt>
                <c:pt idx="9">
                  <c:v>0.34722222222222221</c:v>
                </c:pt>
                <c:pt idx="10">
                  <c:v>0.34722222222222221</c:v>
                </c:pt>
                <c:pt idx="11">
                  <c:v>0.34722222222222221</c:v>
                </c:pt>
                <c:pt idx="12">
                  <c:v>0.34722222222222221</c:v>
                </c:pt>
                <c:pt idx="13">
                  <c:v>0.34722222222222221</c:v>
                </c:pt>
                <c:pt idx="14">
                  <c:v>0.34722222222222221</c:v>
                </c:pt>
                <c:pt idx="15">
                  <c:v>0.34722222222222221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C-4DE3-86B2-F8EDD86DC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752-4E2A-9B47-3D52A2BE16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2-4E2A-9B47-3D52A2BE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52-4E2A-9B47-3D52A2BE164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2-4E2A-9B47-3D52A2BE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BODY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COVER</c:v>
                </c:pt>
                <c:pt idx="13">
                  <c:v>BODY</c:v>
                </c:pt>
              </c:strCache>
            </c:strRef>
          </c:cat>
          <c:val>
            <c:numRef>
              <c:f>'20'!$L$6:$L$20</c:f>
              <c:numCache>
                <c:formatCode>_(* #,##0_);_(* \(#,##0\);_(* "-"_);_(@_)</c:formatCode>
                <c:ptCount val="15"/>
                <c:pt idx="6">
                  <c:v>2455</c:v>
                </c:pt>
                <c:pt idx="7">
                  <c:v>6352</c:v>
                </c:pt>
                <c:pt idx="12">
                  <c:v>1090</c:v>
                </c:pt>
                <c:pt idx="13">
                  <c:v>3301</c:v>
                </c:pt>
                <c:pt idx="14">
                  <c:v>67941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6-40BC-A367-45B293EA42A7}"/>
            </c:ext>
          </c:extLst>
        </c:ser>
        <c:ser>
          <c:idx val="1"/>
          <c:order val="1"/>
          <c:tx>
            <c:v>계획</c:v>
          </c:tx>
          <c:cat>
            <c:strRef>
              <c:f>'20'!$D$6:$D$20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BODY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COVER</c:v>
                </c:pt>
                <c:pt idx="13">
                  <c:v>BODY</c:v>
                </c:pt>
              </c:strCache>
            </c:strRef>
          </c:cat>
          <c:val>
            <c:numRef>
              <c:f>'20'!$J$6:$J$20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1236</c:v>
                </c:pt>
                <c:pt idx="3">
                  <c:v>5164</c:v>
                </c:pt>
                <c:pt idx="4">
                  <c:v>10011</c:v>
                </c:pt>
                <c:pt idx="5">
                  <c:v>300</c:v>
                </c:pt>
                <c:pt idx="6">
                  <c:v>2455</c:v>
                </c:pt>
                <c:pt idx="7">
                  <c:v>6352</c:v>
                </c:pt>
                <c:pt idx="8">
                  <c:v>1620</c:v>
                </c:pt>
                <c:pt idx="9">
                  <c:v>7088</c:v>
                </c:pt>
                <c:pt idx="10">
                  <c:v>4928</c:v>
                </c:pt>
                <c:pt idx="11">
                  <c:v>300</c:v>
                </c:pt>
                <c:pt idx="12">
                  <c:v>1090</c:v>
                </c:pt>
                <c:pt idx="13">
                  <c:v>3301</c:v>
                </c:pt>
                <c:pt idx="14">
                  <c:v>67941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6-40BC-A367-45B293EA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58%</c:v>
                </c:pt>
                <c:pt idx="7">
                  <c:v>75%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33%</c:v>
                </c:pt>
                <c:pt idx="13">
                  <c:v>83%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BODY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COVER</c:v>
                </c:pt>
                <c:pt idx="13">
                  <c:v>BODY</c:v>
                </c:pt>
              </c:strCache>
            </c:strRef>
          </c:cat>
          <c:val>
            <c:numRef>
              <c:f>'20'!$AD$6:$AD$20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0.58333333333333337</c:v>
                </c:pt>
                <c:pt idx="7">
                  <c:v>0.75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0.33333333333333331</c:v>
                </c:pt>
                <c:pt idx="13">
                  <c:v>0.83333333333333337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E-45A1-AF00-765BFCADAE2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4E-45A1-AF00-765BFCADAE2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BODY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COVER</c:v>
                </c:pt>
                <c:pt idx="13">
                  <c:v>BODY</c:v>
                </c:pt>
              </c:strCache>
            </c:strRef>
          </c:cat>
          <c:val>
            <c:numRef>
              <c:f>'20'!$AE$6:$AE$20</c:f>
              <c:numCache>
                <c:formatCode>0%</c:formatCode>
                <c:ptCount val="15"/>
                <c:pt idx="0">
                  <c:v>0.23333333333333334</c:v>
                </c:pt>
                <c:pt idx="1">
                  <c:v>0.23333333333333334</c:v>
                </c:pt>
                <c:pt idx="2">
                  <c:v>0.23333333333333334</c:v>
                </c:pt>
                <c:pt idx="3">
                  <c:v>0.23333333333333334</c:v>
                </c:pt>
                <c:pt idx="4">
                  <c:v>0.23333333333333334</c:v>
                </c:pt>
                <c:pt idx="5">
                  <c:v>0.23333333333333334</c:v>
                </c:pt>
                <c:pt idx="6">
                  <c:v>0.23333333333333334</c:v>
                </c:pt>
                <c:pt idx="7">
                  <c:v>0.23333333333333334</c:v>
                </c:pt>
                <c:pt idx="8">
                  <c:v>0.23333333333333334</c:v>
                </c:pt>
                <c:pt idx="9">
                  <c:v>0.23333333333333334</c:v>
                </c:pt>
                <c:pt idx="10">
                  <c:v>0.23333333333333334</c:v>
                </c:pt>
                <c:pt idx="11">
                  <c:v>0.23333333333333334</c:v>
                </c:pt>
                <c:pt idx="12">
                  <c:v>0.23333333333333334</c:v>
                </c:pt>
                <c:pt idx="13">
                  <c:v>0.23333333333333334</c:v>
                </c:pt>
                <c:pt idx="14">
                  <c:v>0.23333333333333334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E-45A1-AF00-765BFCADA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BODY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COVER</c:v>
                </c:pt>
                <c:pt idx="13">
                  <c:v>BODY</c:v>
                </c:pt>
              </c:strCache>
            </c:strRef>
          </c:cat>
          <c:val>
            <c:numRef>
              <c:f>'20'!$L$6:$L$20</c:f>
              <c:numCache>
                <c:formatCode>_(* #,##0_);_(* \(#,##0\);_(* "-"_);_(@_)</c:formatCode>
                <c:ptCount val="15"/>
                <c:pt idx="6">
                  <c:v>2455</c:v>
                </c:pt>
                <c:pt idx="7">
                  <c:v>6352</c:v>
                </c:pt>
                <c:pt idx="12">
                  <c:v>1090</c:v>
                </c:pt>
                <c:pt idx="13">
                  <c:v>3301</c:v>
                </c:pt>
                <c:pt idx="14">
                  <c:v>67941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F-4185-8950-F169584FFB30}"/>
            </c:ext>
          </c:extLst>
        </c:ser>
        <c:ser>
          <c:idx val="1"/>
          <c:order val="1"/>
          <c:tx>
            <c:v>계획</c:v>
          </c:tx>
          <c:cat>
            <c:strRef>
              <c:f>'20'!$D$6:$D$20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BODY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COVER</c:v>
                </c:pt>
                <c:pt idx="13">
                  <c:v>BODY</c:v>
                </c:pt>
              </c:strCache>
            </c:strRef>
          </c:cat>
          <c:val>
            <c:numRef>
              <c:f>'20'!$J$6:$J$20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1236</c:v>
                </c:pt>
                <c:pt idx="3">
                  <c:v>5164</c:v>
                </c:pt>
                <c:pt idx="4">
                  <c:v>10011</c:v>
                </c:pt>
                <c:pt idx="5">
                  <c:v>300</c:v>
                </c:pt>
                <c:pt idx="6">
                  <c:v>2455</c:v>
                </c:pt>
                <c:pt idx="7">
                  <c:v>6352</c:v>
                </c:pt>
                <c:pt idx="8">
                  <c:v>1620</c:v>
                </c:pt>
                <c:pt idx="9">
                  <c:v>7088</c:v>
                </c:pt>
                <c:pt idx="10">
                  <c:v>4928</c:v>
                </c:pt>
                <c:pt idx="11">
                  <c:v>300</c:v>
                </c:pt>
                <c:pt idx="12">
                  <c:v>1090</c:v>
                </c:pt>
                <c:pt idx="13">
                  <c:v>3301</c:v>
                </c:pt>
                <c:pt idx="14">
                  <c:v>67941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F-4185-8950-F169584F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58%</c:v>
                </c:pt>
                <c:pt idx="7">
                  <c:v>75%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33%</c:v>
                </c:pt>
                <c:pt idx="13">
                  <c:v>83%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BODY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COVER</c:v>
                </c:pt>
                <c:pt idx="13">
                  <c:v>BODY</c:v>
                </c:pt>
              </c:strCache>
            </c:strRef>
          </c:cat>
          <c:val>
            <c:numRef>
              <c:f>'20'!$AD$6:$AD$20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0.58333333333333337</c:v>
                </c:pt>
                <c:pt idx="7">
                  <c:v>0.75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0.33333333333333331</c:v>
                </c:pt>
                <c:pt idx="13">
                  <c:v>0.83333333333333337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561-AF65-5BF7F53B71E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51-4561-AF65-5BF7F53B71E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BODY</c:v>
                </c:pt>
                <c:pt idx="4">
                  <c:v>22P</c:v>
                </c:pt>
                <c:pt idx="5">
                  <c:v>BASE</c:v>
                </c:pt>
                <c:pt idx="6">
                  <c:v>BASE</c:v>
                </c:pt>
                <c:pt idx="7">
                  <c:v>BASE</c:v>
                </c:pt>
                <c:pt idx="8">
                  <c:v>F/R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COVER</c:v>
                </c:pt>
                <c:pt idx="13">
                  <c:v>BODY</c:v>
                </c:pt>
              </c:strCache>
            </c:strRef>
          </c:cat>
          <c:val>
            <c:numRef>
              <c:f>'20'!$AE$6:$AE$20</c:f>
              <c:numCache>
                <c:formatCode>0%</c:formatCode>
                <c:ptCount val="15"/>
                <c:pt idx="0">
                  <c:v>0.23333333333333334</c:v>
                </c:pt>
                <c:pt idx="1">
                  <c:v>0.23333333333333334</c:v>
                </c:pt>
                <c:pt idx="2">
                  <c:v>0.23333333333333334</c:v>
                </c:pt>
                <c:pt idx="3">
                  <c:v>0.23333333333333334</c:v>
                </c:pt>
                <c:pt idx="4">
                  <c:v>0.23333333333333334</c:v>
                </c:pt>
                <c:pt idx="5">
                  <c:v>0.23333333333333334</c:v>
                </c:pt>
                <c:pt idx="6">
                  <c:v>0.23333333333333334</c:v>
                </c:pt>
                <c:pt idx="7">
                  <c:v>0.23333333333333334</c:v>
                </c:pt>
                <c:pt idx="8">
                  <c:v>0.23333333333333334</c:v>
                </c:pt>
                <c:pt idx="9">
                  <c:v>0.23333333333333334</c:v>
                </c:pt>
                <c:pt idx="10">
                  <c:v>0.23333333333333334</c:v>
                </c:pt>
                <c:pt idx="11">
                  <c:v>0.23333333333333334</c:v>
                </c:pt>
                <c:pt idx="12">
                  <c:v>0.23333333333333334</c:v>
                </c:pt>
                <c:pt idx="13">
                  <c:v>0.23333333333333334</c:v>
                </c:pt>
                <c:pt idx="14">
                  <c:v>0.23333333333333334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1-4561-AF65-5BF7F53B7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D00-4793-B261-49C622A080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0-4793-B261-49C622A0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00-4793-B261-49C622A080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0-4793-B261-49C622A0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SHAFT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'21'!$L$6:$L$20</c:f>
              <c:numCache>
                <c:formatCode>_(* #,##0_);_(* \(#,##0\);_(* "-"_);_(@_)</c:formatCode>
                <c:ptCount val="15"/>
                <c:pt idx="2">
                  <c:v>2529</c:v>
                </c:pt>
                <c:pt idx="3">
                  <c:v>58896</c:v>
                </c:pt>
                <c:pt idx="4">
                  <c:v>773</c:v>
                </c:pt>
                <c:pt idx="6">
                  <c:v>4787</c:v>
                </c:pt>
                <c:pt idx="7">
                  <c:v>4734</c:v>
                </c:pt>
                <c:pt idx="8">
                  <c:v>464</c:v>
                </c:pt>
                <c:pt idx="9">
                  <c:v>30348</c:v>
                </c:pt>
                <c:pt idx="12">
                  <c:v>1606</c:v>
                </c:pt>
                <c:pt idx="13">
                  <c:v>4868</c:v>
                </c:pt>
                <c:pt idx="14">
                  <c:v>69312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7-465F-9C96-E5A45F9F5E9B}"/>
            </c:ext>
          </c:extLst>
        </c:ser>
        <c:ser>
          <c:idx val="1"/>
          <c:order val="1"/>
          <c:tx>
            <c:v>계획</c:v>
          </c:tx>
          <c:cat>
            <c:strRef>
              <c:f>'21'!$D$6:$D$20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SHAFT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2529</c:v>
                </c:pt>
                <c:pt idx="3">
                  <c:v>58896</c:v>
                </c:pt>
                <c:pt idx="4">
                  <c:v>773</c:v>
                </c:pt>
                <c:pt idx="5">
                  <c:v>300</c:v>
                </c:pt>
                <c:pt idx="6">
                  <c:v>4787</c:v>
                </c:pt>
                <c:pt idx="7">
                  <c:v>4734</c:v>
                </c:pt>
                <c:pt idx="8">
                  <c:v>464</c:v>
                </c:pt>
                <c:pt idx="9">
                  <c:v>30348</c:v>
                </c:pt>
                <c:pt idx="10">
                  <c:v>4928</c:v>
                </c:pt>
                <c:pt idx="11">
                  <c:v>300</c:v>
                </c:pt>
                <c:pt idx="12">
                  <c:v>1606</c:v>
                </c:pt>
                <c:pt idx="13">
                  <c:v>4868</c:v>
                </c:pt>
                <c:pt idx="14">
                  <c:v>69312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7-465F-9C96-E5A45F9F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58%</c:v>
                </c:pt>
                <c:pt idx="3">
                  <c:v>88%</c:v>
                </c:pt>
                <c:pt idx="4">
                  <c:v>21%</c:v>
                </c:pt>
                <c:pt idx="5">
                  <c:v>0%</c:v>
                </c:pt>
                <c:pt idx="6">
                  <c:v>100%</c:v>
                </c:pt>
                <c:pt idx="7">
                  <c:v>54%</c:v>
                </c:pt>
                <c:pt idx="8">
                  <c:v>33%</c:v>
                </c:pt>
                <c:pt idx="9">
                  <c:v>92%</c:v>
                </c:pt>
                <c:pt idx="10">
                  <c:v>0%</c:v>
                </c:pt>
                <c:pt idx="11">
                  <c:v>0%</c:v>
                </c:pt>
                <c:pt idx="12">
                  <c:v>33%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SHAFT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0.58333333333333337</c:v>
                </c:pt>
                <c:pt idx="3">
                  <c:v>0.875</c:v>
                </c:pt>
                <c:pt idx="4">
                  <c:v>0.20833333333333334</c:v>
                </c:pt>
                <c:pt idx="5">
                  <c:v>0</c:v>
                </c:pt>
                <c:pt idx="6">
                  <c:v>1</c:v>
                </c:pt>
                <c:pt idx="7">
                  <c:v>0.54166666666666663</c:v>
                </c:pt>
                <c:pt idx="8">
                  <c:v>0.33333333333333331</c:v>
                </c:pt>
                <c:pt idx="9">
                  <c:v>0.91666666666666663</c:v>
                </c:pt>
                <c:pt idx="10">
                  <c:v>0</c:v>
                </c:pt>
                <c:pt idx="11">
                  <c:v>0</c:v>
                </c:pt>
                <c:pt idx="12">
                  <c:v>0.33333333333333331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2-4A7A-88E8-03AD73D42E0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52-4A7A-88E8-03AD73D42E0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SHAFT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'21'!$AE$6:$AE$20</c:f>
              <c:numCache>
                <c:formatCode>0%</c:formatCode>
                <c:ptCount val="15"/>
                <c:pt idx="0">
                  <c:v>0.45277777777777778</c:v>
                </c:pt>
                <c:pt idx="1">
                  <c:v>0.45277777777777778</c:v>
                </c:pt>
                <c:pt idx="2">
                  <c:v>0.45277777777777778</c:v>
                </c:pt>
                <c:pt idx="3">
                  <c:v>0.45277777777777778</c:v>
                </c:pt>
                <c:pt idx="4">
                  <c:v>0.45277777777777778</c:v>
                </c:pt>
                <c:pt idx="5">
                  <c:v>0.45277777777777778</c:v>
                </c:pt>
                <c:pt idx="6">
                  <c:v>0.45277777777777778</c:v>
                </c:pt>
                <c:pt idx="7">
                  <c:v>0.45277777777777778</c:v>
                </c:pt>
                <c:pt idx="8">
                  <c:v>0.45277777777777778</c:v>
                </c:pt>
                <c:pt idx="9">
                  <c:v>0.45277777777777778</c:v>
                </c:pt>
                <c:pt idx="10">
                  <c:v>0.45277777777777778</c:v>
                </c:pt>
                <c:pt idx="11">
                  <c:v>0.45277777777777778</c:v>
                </c:pt>
                <c:pt idx="12">
                  <c:v>0.45277777777777778</c:v>
                </c:pt>
                <c:pt idx="13">
                  <c:v>0.45277777777777778</c:v>
                </c:pt>
                <c:pt idx="14">
                  <c:v>0.45277777777777778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2-4A7A-88E8-03AD73D4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C98-4185-B502-0174D11F42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8-4185-B502-0174D11F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98-4185-B502-0174D11F42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8-4185-B502-0174D11F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SHAFT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'21'!$L$6:$L$20</c:f>
              <c:numCache>
                <c:formatCode>_(* #,##0_);_(* \(#,##0\);_(* "-"_);_(@_)</c:formatCode>
                <c:ptCount val="15"/>
                <c:pt idx="2">
                  <c:v>2529</c:v>
                </c:pt>
                <c:pt idx="3">
                  <c:v>58896</c:v>
                </c:pt>
                <c:pt idx="4">
                  <c:v>773</c:v>
                </c:pt>
                <c:pt idx="6">
                  <c:v>4787</c:v>
                </c:pt>
                <c:pt idx="7">
                  <c:v>4734</c:v>
                </c:pt>
                <c:pt idx="8">
                  <c:v>464</c:v>
                </c:pt>
                <c:pt idx="9">
                  <c:v>30348</c:v>
                </c:pt>
                <c:pt idx="12">
                  <c:v>1606</c:v>
                </c:pt>
                <c:pt idx="13">
                  <c:v>4868</c:v>
                </c:pt>
                <c:pt idx="14">
                  <c:v>69312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6-4E55-A124-E43FD267CCEA}"/>
            </c:ext>
          </c:extLst>
        </c:ser>
        <c:ser>
          <c:idx val="1"/>
          <c:order val="1"/>
          <c:tx>
            <c:v>계획</c:v>
          </c:tx>
          <c:cat>
            <c:strRef>
              <c:f>'21'!$D$6:$D$20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SHAFT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2529</c:v>
                </c:pt>
                <c:pt idx="3">
                  <c:v>58896</c:v>
                </c:pt>
                <c:pt idx="4">
                  <c:v>773</c:v>
                </c:pt>
                <c:pt idx="5">
                  <c:v>300</c:v>
                </c:pt>
                <c:pt idx="6">
                  <c:v>4787</c:v>
                </c:pt>
                <c:pt idx="7">
                  <c:v>4734</c:v>
                </c:pt>
                <c:pt idx="8">
                  <c:v>464</c:v>
                </c:pt>
                <c:pt idx="9">
                  <c:v>30348</c:v>
                </c:pt>
                <c:pt idx="10">
                  <c:v>4928</c:v>
                </c:pt>
                <c:pt idx="11">
                  <c:v>300</c:v>
                </c:pt>
                <c:pt idx="12">
                  <c:v>1606</c:v>
                </c:pt>
                <c:pt idx="13">
                  <c:v>4868</c:v>
                </c:pt>
                <c:pt idx="14">
                  <c:v>69312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6-4E55-A124-E43FD267C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58%</c:v>
                </c:pt>
                <c:pt idx="3">
                  <c:v>88%</c:v>
                </c:pt>
                <c:pt idx="4">
                  <c:v>21%</c:v>
                </c:pt>
                <c:pt idx="5">
                  <c:v>0%</c:v>
                </c:pt>
                <c:pt idx="6">
                  <c:v>100%</c:v>
                </c:pt>
                <c:pt idx="7">
                  <c:v>54%</c:v>
                </c:pt>
                <c:pt idx="8">
                  <c:v>33%</c:v>
                </c:pt>
                <c:pt idx="9">
                  <c:v>92%</c:v>
                </c:pt>
                <c:pt idx="10">
                  <c:v>0%</c:v>
                </c:pt>
                <c:pt idx="11">
                  <c:v>0%</c:v>
                </c:pt>
                <c:pt idx="12">
                  <c:v>33%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SHAFT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0.58333333333333337</c:v>
                </c:pt>
                <c:pt idx="3">
                  <c:v>0.875</c:v>
                </c:pt>
                <c:pt idx="4">
                  <c:v>0.20833333333333334</c:v>
                </c:pt>
                <c:pt idx="5">
                  <c:v>0</c:v>
                </c:pt>
                <c:pt idx="6">
                  <c:v>1</c:v>
                </c:pt>
                <c:pt idx="7">
                  <c:v>0.54166666666666663</c:v>
                </c:pt>
                <c:pt idx="8">
                  <c:v>0.33333333333333331</c:v>
                </c:pt>
                <c:pt idx="9">
                  <c:v>0.91666666666666663</c:v>
                </c:pt>
                <c:pt idx="10">
                  <c:v>0</c:v>
                </c:pt>
                <c:pt idx="11">
                  <c:v>0</c:v>
                </c:pt>
                <c:pt idx="12">
                  <c:v>0.33333333333333331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7-4EFF-A826-07E84D6877A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97-4EFF-A826-07E84D6877A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SHAFT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'21'!$AE$6:$AE$20</c:f>
              <c:numCache>
                <c:formatCode>0%</c:formatCode>
                <c:ptCount val="15"/>
                <c:pt idx="0">
                  <c:v>0.45277777777777778</c:v>
                </c:pt>
                <c:pt idx="1">
                  <c:v>0.45277777777777778</c:v>
                </c:pt>
                <c:pt idx="2">
                  <c:v>0.45277777777777778</c:v>
                </c:pt>
                <c:pt idx="3">
                  <c:v>0.45277777777777778</c:v>
                </c:pt>
                <c:pt idx="4">
                  <c:v>0.45277777777777778</c:v>
                </c:pt>
                <c:pt idx="5">
                  <c:v>0.45277777777777778</c:v>
                </c:pt>
                <c:pt idx="6">
                  <c:v>0.45277777777777778</c:v>
                </c:pt>
                <c:pt idx="7">
                  <c:v>0.45277777777777778</c:v>
                </c:pt>
                <c:pt idx="8">
                  <c:v>0.45277777777777778</c:v>
                </c:pt>
                <c:pt idx="9">
                  <c:v>0.45277777777777778</c:v>
                </c:pt>
                <c:pt idx="10">
                  <c:v>0.45277777777777778</c:v>
                </c:pt>
                <c:pt idx="11">
                  <c:v>0.45277777777777778</c:v>
                </c:pt>
                <c:pt idx="12">
                  <c:v>0.45277777777777778</c:v>
                </c:pt>
                <c:pt idx="13">
                  <c:v>0.45277777777777778</c:v>
                </c:pt>
                <c:pt idx="14">
                  <c:v>0.45277777777777778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7-4EFF-A826-07E84D68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0ED-4D68-A484-388C00C507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D-4D68-A484-388C00C5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ED-4D68-A484-388C00C507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D-4D68-A484-388C00C5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BASE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'22'!$L$6:$L$20</c:f>
              <c:numCache>
                <c:formatCode>_(* #,##0_);_(* \(#,##0\);_(* "-"_);_(@_)</c:formatCode>
                <c:ptCount val="15"/>
                <c:pt idx="2">
                  <c:v>4548</c:v>
                </c:pt>
                <c:pt idx="3">
                  <c:v>9744</c:v>
                </c:pt>
                <c:pt idx="4">
                  <c:v>1512</c:v>
                </c:pt>
                <c:pt idx="6">
                  <c:v>3100</c:v>
                </c:pt>
                <c:pt idx="7">
                  <c:v>5564</c:v>
                </c:pt>
                <c:pt idx="8">
                  <c:v>567</c:v>
                </c:pt>
                <c:pt idx="11">
                  <c:v>10388</c:v>
                </c:pt>
                <c:pt idx="13">
                  <c:v>3099</c:v>
                </c:pt>
                <c:pt idx="14">
                  <c:v>69828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7-4D97-B16D-86C22D0CE438}"/>
            </c:ext>
          </c:extLst>
        </c:ser>
        <c:ser>
          <c:idx val="1"/>
          <c:order val="1"/>
          <c:tx>
            <c:v>계획</c:v>
          </c:tx>
          <c:cat>
            <c:strRef>
              <c:f>'22'!$D$6:$D$20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BASE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'22'!$J$6:$J$20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4548</c:v>
                </c:pt>
                <c:pt idx="3">
                  <c:v>9744</c:v>
                </c:pt>
                <c:pt idx="4">
                  <c:v>1512</c:v>
                </c:pt>
                <c:pt idx="5">
                  <c:v>300</c:v>
                </c:pt>
                <c:pt idx="6">
                  <c:v>3100</c:v>
                </c:pt>
                <c:pt idx="7">
                  <c:v>5564</c:v>
                </c:pt>
                <c:pt idx="8">
                  <c:v>567</c:v>
                </c:pt>
                <c:pt idx="9">
                  <c:v>30348</c:v>
                </c:pt>
                <c:pt idx="10">
                  <c:v>4928</c:v>
                </c:pt>
                <c:pt idx="11">
                  <c:v>10388</c:v>
                </c:pt>
                <c:pt idx="12">
                  <c:v>1606</c:v>
                </c:pt>
                <c:pt idx="13">
                  <c:v>3099</c:v>
                </c:pt>
                <c:pt idx="14">
                  <c:v>69828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7-4D97-B16D-86C22D0C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100%</c:v>
                </c:pt>
                <c:pt idx="4">
                  <c:v>33%</c:v>
                </c:pt>
                <c:pt idx="5">
                  <c:v>0%</c:v>
                </c:pt>
                <c:pt idx="6">
                  <c:v>75%</c:v>
                </c:pt>
                <c:pt idx="7">
                  <c:v>67%</c:v>
                </c:pt>
                <c:pt idx="8">
                  <c:v>38%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0%</c:v>
                </c:pt>
                <c:pt idx="13">
                  <c:v>63%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BASE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1</c:v>
                </c:pt>
                <c:pt idx="4">
                  <c:v>0.33333333333333331</c:v>
                </c:pt>
                <c:pt idx="5">
                  <c:v>0</c:v>
                </c:pt>
                <c:pt idx="6">
                  <c:v>0.75</c:v>
                </c:pt>
                <c:pt idx="7">
                  <c:v>0.66666666666666663</c:v>
                </c:pt>
                <c:pt idx="8">
                  <c:v>0.375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0.625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0-4C28-B24F-2B838ADCC85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C0-4C28-B24F-2B838ADCC8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BASE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'22'!$AE$6:$AE$20</c:f>
              <c:numCache>
                <c:formatCode>0%</c:formatCode>
                <c:ptCount val="15"/>
                <c:pt idx="0">
                  <c:v>0.44444444444444442</c:v>
                </c:pt>
                <c:pt idx="1">
                  <c:v>0.44444444444444442</c:v>
                </c:pt>
                <c:pt idx="2">
                  <c:v>0.44444444444444442</c:v>
                </c:pt>
                <c:pt idx="3">
                  <c:v>0.44444444444444442</c:v>
                </c:pt>
                <c:pt idx="4">
                  <c:v>0.44444444444444442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0.44444444444444442</c:v>
                </c:pt>
                <c:pt idx="8">
                  <c:v>0.44444444444444442</c:v>
                </c:pt>
                <c:pt idx="9">
                  <c:v>0.44444444444444442</c:v>
                </c:pt>
                <c:pt idx="10">
                  <c:v>0.44444444444444442</c:v>
                </c:pt>
                <c:pt idx="11">
                  <c:v>0.44444444444444442</c:v>
                </c:pt>
                <c:pt idx="12">
                  <c:v>0.44444444444444442</c:v>
                </c:pt>
                <c:pt idx="13">
                  <c:v>0.44444444444444442</c:v>
                </c:pt>
                <c:pt idx="14">
                  <c:v>0.44444444444444442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0-4C28-B24F-2B838ADC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BASE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'22'!$L$6:$L$20</c:f>
              <c:numCache>
                <c:formatCode>_(* #,##0_);_(* \(#,##0\);_(* "-"_);_(@_)</c:formatCode>
                <c:ptCount val="15"/>
                <c:pt idx="2">
                  <c:v>4548</c:v>
                </c:pt>
                <c:pt idx="3">
                  <c:v>9744</c:v>
                </c:pt>
                <c:pt idx="4">
                  <c:v>1512</c:v>
                </c:pt>
                <c:pt idx="6">
                  <c:v>3100</c:v>
                </c:pt>
                <c:pt idx="7">
                  <c:v>5564</c:v>
                </c:pt>
                <c:pt idx="8">
                  <c:v>567</c:v>
                </c:pt>
                <c:pt idx="11">
                  <c:v>10388</c:v>
                </c:pt>
                <c:pt idx="13">
                  <c:v>3099</c:v>
                </c:pt>
                <c:pt idx="14">
                  <c:v>69828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D-43A4-9372-BE180FCE6942}"/>
            </c:ext>
          </c:extLst>
        </c:ser>
        <c:ser>
          <c:idx val="1"/>
          <c:order val="1"/>
          <c:tx>
            <c:v>계획</c:v>
          </c:tx>
          <c:cat>
            <c:strRef>
              <c:f>'22'!$D$6:$D$20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BASE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'22'!$J$6:$J$20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4548</c:v>
                </c:pt>
                <c:pt idx="3">
                  <c:v>9744</c:v>
                </c:pt>
                <c:pt idx="4">
                  <c:v>1512</c:v>
                </c:pt>
                <c:pt idx="5">
                  <c:v>300</c:v>
                </c:pt>
                <c:pt idx="6">
                  <c:v>3100</c:v>
                </c:pt>
                <c:pt idx="7">
                  <c:v>5564</c:v>
                </c:pt>
                <c:pt idx="8">
                  <c:v>567</c:v>
                </c:pt>
                <c:pt idx="9">
                  <c:v>30348</c:v>
                </c:pt>
                <c:pt idx="10">
                  <c:v>4928</c:v>
                </c:pt>
                <c:pt idx="11">
                  <c:v>10388</c:v>
                </c:pt>
                <c:pt idx="12">
                  <c:v>1606</c:v>
                </c:pt>
                <c:pt idx="13">
                  <c:v>3099</c:v>
                </c:pt>
                <c:pt idx="14">
                  <c:v>69828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D-43A4-9372-BE180FCE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100%</c:v>
                </c:pt>
                <c:pt idx="4">
                  <c:v>33%</c:v>
                </c:pt>
                <c:pt idx="5">
                  <c:v>0%</c:v>
                </c:pt>
                <c:pt idx="6">
                  <c:v>75%</c:v>
                </c:pt>
                <c:pt idx="7">
                  <c:v>67%</c:v>
                </c:pt>
                <c:pt idx="8">
                  <c:v>38%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0%</c:v>
                </c:pt>
                <c:pt idx="13">
                  <c:v>63%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BASE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1</c:v>
                </c:pt>
                <c:pt idx="4">
                  <c:v>0.33333333333333331</c:v>
                </c:pt>
                <c:pt idx="5">
                  <c:v>0</c:v>
                </c:pt>
                <c:pt idx="6">
                  <c:v>0.75</c:v>
                </c:pt>
                <c:pt idx="7">
                  <c:v>0.66666666666666663</c:v>
                </c:pt>
                <c:pt idx="8">
                  <c:v>0.375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0.625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CE8-AC60-16EC9A463F6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38-4CE8-AC60-16EC9A463F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BASE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'22'!$AE$6:$AE$20</c:f>
              <c:numCache>
                <c:formatCode>0%</c:formatCode>
                <c:ptCount val="15"/>
                <c:pt idx="0">
                  <c:v>0.44444444444444442</c:v>
                </c:pt>
                <c:pt idx="1">
                  <c:v>0.44444444444444442</c:v>
                </c:pt>
                <c:pt idx="2">
                  <c:v>0.44444444444444442</c:v>
                </c:pt>
                <c:pt idx="3">
                  <c:v>0.44444444444444442</c:v>
                </c:pt>
                <c:pt idx="4">
                  <c:v>0.44444444444444442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0.44444444444444442</c:v>
                </c:pt>
                <c:pt idx="8">
                  <c:v>0.44444444444444442</c:v>
                </c:pt>
                <c:pt idx="9">
                  <c:v>0.44444444444444442</c:v>
                </c:pt>
                <c:pt idx="10">
                  <c:v>0.44444444444444442</c:v>
                </c:pt>
                <c:pt idx="11">
                  <c:v>0.44444444444444442</c:v>
                </c:pt>
                <c:pt idx="12">
                  <c:v>0.44444444444444442</c:v>
                </c:pt>
                <c:pt idx="13">
                  <c:v>0.44444444444444442</c:v>
                </c:pt>
                <c:pt idx="14">
                  <c:v>0.44444444444444442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8-4CE8-AC60-16EC9A46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E0B-4E43-9634-F4E0AE4A61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B-4E43-9634-F4E0AE4A6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0B-4E43-9634-F4E0AE4A619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B-4E43-9634-F4E0AE4A6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BASE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7">
                  <c:v>HOLDER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'23'!$L$6:$L$20</c:f>
              <c:numCache>
                <c:formatCode>_(* #,##0_);_(* \(#,##0\);_(* "-"_);_(@_)</c:formatCode>
                <c:ptCount val="15"/>
                <c:pt idx="2">
                  <c:v>3870</c:v>
                </c:pt>
                <c:pt idx="3">
                  <c:v>5702</c:v>
                </c:pt>
                <c:pt idx="5">
                  <c:v>6982</c:v>
                </c:pt>
                <c:pt idx="6">
                  <c:v>4196</c:v>
                </c:pt>
                <c:pt idx="7">
                  <c:v>7634</c:v>
                </c:pt>
                <c:pt idx="8">
                  <c:v>628</c:v>
                </c:pt>
                <c:pt idx="11">
                  <c:v>6426</c:v>
                </c:pt>
                <c:pt idx="12">
                  <c:v>3446</c:v>
                </c:pt>
                <c:pt idx="13">
                  <c:v>4296</c:v>
                </c:pt>
                <c:pt idx="14">
                  <c:v>70251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1-462A-B09B-A169D5188F63}"/>
            </c:ext>
          </c:extLst>
        </c:ser>
        <c:ser>
          <c:idx val="1"/>
          <c:order val="1"/>
          <c:tx>
            <c:v>계획</c:v>
          </c:tx>
          <c:cat>
            <c:strRef>
              <c:f>'23'!$D$6:$D$20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BASE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7">
                  <c:v>HOLDER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3870</c:v>
                </c:pt>
                <c:pt idx="3">
                  <c:v>5702</c:v>
                </c:pt>
                <c:pt idx="4">
                  <c:v>1512</c:v>
                </c:pt>
                <c:pt idx="5">
                  <c:v>6982</c:v>
                </c:pt>
                <c:pt idx="6">
                  <c:v>4196</c:v>
                </c:pt>
                <c:pt idx="7">
                  <c:v>7634</c:v>
                </c:pt>
                <c:pt idx="8">
                  <c:v>628</c:v>
                </c:pt>
                <c:pt idx="9">
                  <c:v>30348</c:v>
                </c:pt>
                <c:pt idx="10">
                  <c:v>4928</c:v>
                </c:pt>
                <c:pt idx="11">
                  <c:v>6426</c:v>
                </c:pt>
                <c:pt idx="12">
                  <c:v>3446</c:v>
                </c:pt>
                <c:pt idx="13">
                  <c:v>4296</c:v>
                </c:pt>
                <c:pt idx="14">
                  <c:v>70251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1-462A-B09B-A169D5188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75%</c:v>
                </c:pt>
                <c:pt idx="3">
                  <c:v>63%</c:v>
                </c:pt>
                <c:pt idx="4">
                  <c:v>0%</c:v>
                </c:pt>
                <c:pt idx="5">
                  <c:v>92%</c:v>
                </c:pt>
                <c:pt idx="6">
                  <c:v>96%</c:v>
                </c:pt>
                <c:pt idx="7">
                  <c:v>92%</c:v>
                </c:pt>
                <c:pt idx="8">
                  <c:v>46%</c:v>
                </c:pt>
                <c:pt idx="9">
                  <c:v>0%</c:v>
                </c:pt>
                <c:pt idx="10">
                  <c:v>0%</c:v>
                </c:pt>
                <c:pt idx="11">
                  <c:v>58%</c:v>
                </c:pt>
                <c:pt idx="12">
                  <c:v>71%</c:v>
                </c:pt>
                <c:pt idx="13">
                  <c:v>88%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BASE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7">
                  <c:v>HOLDER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0.625</c:v>
                </c:pt>
                <c:pt idx="4">
                  <c:v>0</c:v>
                </c:pt>
                <c:pt idx="5">
                  <c:v>0.91666666666666663</c:v>
                </c:pt>
                <c:pt idx="6">
                  <c:v>0.95833333333333337</c:v>
                </c:pt>
                <c:pt idx="7">
                  <c:v>0.91666666666666663</c:v>
                </c:pt>
                <c:pt idx="8">
                  <c:v>0.45833333333333331</c:v>
                </c:pt>
                <c:pt idx="9">
                  <c:v>0</c:v>
                </c:pt>
                <c:pt idx="10">
                  <c:v>0</c:v>
                </c:pt>
                <c:pt idx="11">
                  <c:v>0.58333333333333337</c:v>
                </c:pt>
                <c:pt idx="12">
                  <c:v>0.70833333333333337</c:v>
                </c:pt>
                <c:pt idx="13">
                  <c:v>0.875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8-4B09-B714-275BDF5D206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58-4B09-B714-275BDF5D206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BASE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7">
                  <c:v>HOLDER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'23'!$AE$6:$AE$20</c:f>
              <c:numCache>
                <c:formatCode>0%</c:formatCode>
                <c:ptCount val="15"/>
                <c:pt idx="0">
                  <c:v>0.51944444444444438</c:v>
                </c:pt>
                <c:pt idx="1">
                  <c:v>0.51944444444444438</c:v>
                </c:pt>
                <c:pt idx="2">
                  <c:v>0.51944444444444438</c:v>
                </c:pt>
                <c:pt idx="3">
                  <c:v>0.51944444444444438</c:v>
                </c:pt>
                <c:pt idx="4">
                  <c:v>0.51944444444444438</c:v>
                </c:pt>
                <c:pt idx="5">
                  <c:v>0.51944444444444438</c:v>
                </c:pt>
                <c:pt idx="6">
                  <c:v>0.51944444444444438</c:v>
                </c:pt>
                <c:pt idx="7">
                  <c:v>0.51944444444444438</c:v>
                </c:pt>
                <c:pt idx="8">
                  <c:v>0.51944444444444438</c:v>
                </c:pt>
                <c:pt idx="9">
                  <c:v>0.51944444444444438</c:v>
                </c:pt>
                <c:pt idx="10">
                  <c:v>0.51944444444444438</c:v>
                </c:pt>
                <c:pt idx="11">
                  <c:v>0.51944444444444438</c:v>
                </c:pt>
                <c:pt idx="12">
                  <c:v>0.51944444444444438</c:v>
                </c:pt>
                <c:pt idx="13">
                  <c:v>0.51944444444444438</c:v>
                </c:pt>
                <c:pt idx="14">
                  <c:v>0.51944444444444438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8-4B09-B714-275BDF5D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LEAD GUIDE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88P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'02'!$L$6:$L$20</c:f>
              <c:numCache>
                <c:formatCode>_(* #,##0_);_(* \(#,##0\);_(* "-"_);_(@_)</c:formatCode>
                <c:ptCount val="15"/>
                <c:pt idx="2">
                  <c:v>3610</c:v>
                </c:pt>
                <c:pt idx="3">
                  <c:v>2776</c:v>
                </c:pt>
                <c:pt idx="4">
                  <c:v>16158</c:v>
                </c:pt>
                <c:pt idx="5">
                  <c:v>6570</c:v>
                </c:pt>
                <c:pt idx="6">
                  <c:v>4770</c:v>
                </c:pt>
                <c:pt idx="10">
                  <c:v>4862</c:v>
                </c:pt>
                <c:pt idx="11">
                  <c:v>342</c:v>
                </c:pt>
                <c:pt idx="12">
                  <c:v>5495</c:v>
                </c:pt>
                <c:pt idx="13">
                  <c:v>1200</c:v>
                </c:pt>
                <c:pt idx="14">
                  <c:v>41052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2-40CB-8ECD-1ACC007FF88D}"/>
            </c:ext>
          </c:extLst>
        </c:ser>
        <c:ser>
          <c:idx val="1"/>
          <c:order val="1"/>
          <c:tx>
            <c:v>계획</c:v>
          </c:tx>
          <c:cat>
            <c:strRef>
              <c:f>'02'!$D$6:$D$20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LEAD GUIDE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88P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'02'!$J$6:$J$20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3610</c:v>
                </c:pt>
                <c:pt idx="3">
                  <c:v>2776</c:v>
                </c:pt>
                <c:pt idx="4">
                  <c:v>16158</c:v>
                </c:pt>
                <c:pt idx="5">
                  <c:v>6570</c:v>
                </c:pt>
                <c:pt idx="6">
                  <c:v>4770</c:v>
                </c:pt>
                <c:pt idx="7">
                  <c:v>1513</c:v>
                </c:pt>
                <c:pt idx="8">
                  <c:v>131</c:v>
                </c:pt>
                <c:pt idx="9">
                  <c:v>878</c:v>
                </c:pt>
                <c:pt idx="10">
                  <c:v>4862</c:v>
                </c:pt>
                <c:pt idx="11">
                  <c:v>342</c:v>
                </c:pt>
                <c:pt idx="12">
                  <c:v>5495</c:v>
                </c:pt>
                <c:pt idx="13">
                  <c:v>1200</c:v>
                </c:pt>
                <c:pt idx="14">
                  <c:v>41052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2-40CB-8ECD-1ACC007FF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BASE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7">
                  <c:v>HOLDER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'23'!$L$6:$L$20</c:f>
              <c:numCache>
                <c:formatCode>_(* #,##0_);_(* \(#,##0\);_(* "-"_);_(@_)</c:formatCode>
                <c:ptCount val="15"/>
                <c:pt idx="2">
                  <c:v>3870</c:v>
                </c:pt>
                <c:pt idx="3">
                  <c:v>5702</c:v>
                </c:pt>
                <c:pt idx="5">
                  <c:v>6982</c:v>
                </c:pt>
                <c:pt idx="6">
                  <c:v>4196</c:v>
                </c:pt>
                <c:pt idx="7">
                  <c:v>7634</c:v>
                </c:pt>
                <c:pt idx="8">
                  <c:v>628</c:v>
                </c:pt>
                <c:pt idx="11">
                  <c:v>6426</c:v>
                </c:pt>
                <c:pt idx="12">
                  <c:v>3446</c:v>
                </c:pt>
                <c:pt idx="13">
                  <c:v>4296</c:v>
                </c:pt>
                <c:pt idx="14">
                  <c:v>70251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C-4830-83AB-EF632BE52DEA}"/>
            </c:ext>
          </c:extLst>
        </c:ser>
        <c:ser>
          <c:idx val="1"/>
          <c:order val="1"/>
          <c:tx>
            <c:v>계획</c:v>
          </c:tx>
          <c:cat>
            <c:strRef>
              <c:f>'23'!$D$6:$D$20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BASE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7">
                  <c:v>HOLDER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3870</c:v>
                </c:pt>
                <c:pt idx="3">
                  <c:v>5702</c:v>
                </c:pt>
                <c:pt idx="4">
                  <c:v>1512</c:v>
                </c:pt>
                <c:pt idx="5">
                  <c:v>6982</c:v>
                </c:pt>
                <c:pt idx="6">
                  <c:v>4196</c:v>
                </c:pt>
                <c:pt idx="7">
                  <c:v>7634</c:v>
                </c:pt>
                <c:pt idx="8">
                  <c:v>628</c:v>
                </c:pt>
                <c:pt idx="9">
                  <c:v>30348</c:v>
                </c:pt>
                <c:pt idx="10">
                  <c:v>4928</c:v>
                </c:pt>
                <c:pt idx="11">
                  <c:v>6426</c:v>
                </c:pt>
                <c:pt idx="12">
                  <c:v>3446</c:v>
                </c:pt>
                <c:pt idx="13">
                  <c:v>4296</c:v>
                </c:pt>
                <c:pt idx="14">
                  <c:v>70251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C-4830-83AB-EF632BE52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75%</c:v>
                </c:pt>
                <c:pt idx="3">
                  <c:v>63%</c:v>
                </c:pt>
                <c:pt idx="4">
                  <c:v>0%</c:v>
                </c:pt>
                <c:pt idx="5">
                  <c:v>92%</c:v>
                </c:pt>
                <c:pt idx="6">
                  <c:v>96%</c:v>
                </c:pt>
                <c:pt idx="7">
                  <c:v>92%</c:v>
                </c:pt>
                <c:pt idx="8">
                  <c:v>46%</c:v>
                </c:pt>
                <c:pt idx="9">
                  <c:v>0%</c:v>
                </c:pt>
                <c:pt idx="10">
                  <c:v>0%</c:v>
                </c:pt>
                <c:pt idx="11">
                  <c:v>58%</c:v>
                </c:pt>
                <c:pt idx="12">
                  <c:v>71%</c:v>
                </c:pt>
                <c:pt idx="13">
                  <c:v>88%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BASE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7">
                  <c:v>HOLDER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0.625</c:v>
                </c:pt>
                <c:pt idx="4">
                  <c:v>0</c:v>
                </c:pt>
                <c:pt idx="5">
                  <c:v>0.91666666666666663</c:v>
                </c:pt>
                <c:pt idx="6">
                  <c:v>0.95833333333333337</c:v>
                </c:pt>
                <c:pt idx="7">
                  <c:v>0.91666666666666663</c:v>
                </c:pt>
                <c:pt idx="8">
                  <c:v>0.45833333333333331</c:v>
                </c:pt>
                <c:pt idx="9">
                  <c:v>0</c:v>
                </c:pt>
                <c:pt idx="10">
                  <c:v>0</c:v>
                </c:pt>
                <c:pt idx="11">
                  <c:v>0.58333333333333337</c:v>
                </c:pt>
                <c:pt idx="12">
                  <c:v>0.70833333333333337</c:v>
                </c:pt>
                <c:pt idx="13">
                  <c:v>0.875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C-47DA-9DDA-B224CCE5C58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1C-47DA-9DDA-B224CCE5C5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BASE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7">
                  <c:v>HOLDER</c:v>
                </c:pt>
                <c:pt idx="8">
                  <c:v>BASE</c:v>
                </c:pt>
                <c:pt idx="9">
                  <c:v>REVIT</c:v>
                </c:pt>
                <c:pt idx="10">
                  <c:v>COVER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'23'!$AE$6:$AE$20</c:f>
              <c:numCache>
                <c:formatCode>0%</c:formatCode>
                <c:ptCount val="15"/>
                <c:pt idx="0">
                  <c:v>0.51944444444444438</c:v>
                </c:pt>
                <c:pt idx="1">
                  <c:v>0.51944444444444438</c:v>
                </c:pt>
                <c:pt idx="2">
                  <c:v>0.51944444444444438</c:v>
                </c:pt>
                <c:pt idx="3">
                  <c:v>0.51944444444444438</c:v>
                </c:pt>
                <c:pt idx="4">
                  <c:v>0.51944444444444438</c:v>
                </c:pt>
                <c:pt idx="5">
                  <c:v>0.51944444444444438</c:v>
                </c:pt>
                <c:pt idx="6">
                  <c:v>0.51944444444444438</c:v>
                </c:pt>
                <c:pt idx="7">
                  <c:v>0.51944444444444438</c:v>
                </c:pt>
                <c:pt idx="8">
                  <c:v>0.51944444444444438</c:v>
                </c:pt>
                <c:pt idx="9">
                  <c:v>0.51944444444444438</c:v>
                </c:pt>
                <c:pt idx="10">
                  <c:v>0.51944444444444438</c:v>
                </c:pt>
                <c:pt idx="11">
                  <c:v>0.51944444444444438</c:v>
                </c:pt>
                <c:pt idx="12">
                  <c:v>0.51944444444444438</c:v>
                </c:pt>
                <c:pt idx="13">
                  <c:v>0.51944444444444438</c:v>
                </c:pt>
                <c:pt idx="14">
                  <c:v>0.51944444444444438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1C-47DA-9DDA-B224CCE5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00E-4ED5-B899-E710DF4BC3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E-4ED5-B899-E710DF4B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0E-4ED5-B899-E710DF4BC3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0E-4ED5-B899-E710DF4B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8">
                  <c:v>BASE</c:v>
                </c:pt>
                <c:pt idx="9">
                  <c:v>TOP/BOTTOM</c:v>
                </c:pt>
                <c:pt idx="11">
                  <c:v>COVER</c:v>
                </c:pt>
                <c:pt idx="12">
                  <c:v>TOP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'26'!$L$6:$L$21</c:f>
              <c:numCache>
                <c:formatCode>_(* #,##0_);_(* \(#,##0\);_(* "-"_);_(@_)</c:formatCode>
                <c:ptCount val="16"/>
                <c:pt idx="5">
                  <c:v>8340</c:v>
                </c:pt>
                <c:pt idx="6">
                  <c:v>3623</c:v>
                </c:pt>
                <c:pt idx="7">
                  <c:v>1225</c:v>
                </c:pt>
                <c:pt idx="8">
                  <c:v>2632</c:v>
                </c:pt>
                <c:pt idx="10">
                  <c:v>17192</c:v>
                </c:pt>
                <c:pt idx="12">
                  <c:v>1295</c:v>
                </c:pt>
                <c:pt idx="13">
                  <c:v>4761</c:v>
                </c:pt>
                <c:pt idx="14">
                  <c:v>3384</c:v>
                </c:pt>
                <c:pt idx="15">
                  <c:v>54756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065-8249-ED68A0A01054}"/>
            </c:ext>
          </c:extLst>
        </c:ser>
        <c:ser>
          <c:idx val="1"/>
          <c:order val="1"/>
          <c:tx>
            <c:v>계획</c:v>
          </c:tx>
          <c:cat>
            <c:strRef>
              <c:f>'26'!$D$6:$D$21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8">
                  <c:v>BASE</c:v>
                </c:pt>
                <c:pt idx="9">
                  <c:v>TOP/BOTTOM</c:v>
                </c:pt>
                <c:pt idx="11">
                  <c:v>COVER</c:v>
                </c:pt>
                <c:pt idx="12">
                  <c:v>TOP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'26'!$J$6:$J$21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3870</c:v>
                </c:pt>
                <c:pt idx="3">
                  <c:v>5702</c:v>
                </c:pt>
                <c:pt idx="4">
                  <c:v>1512</c:v>
                </c:pt>
                <c:pt idx="5">
                  <c:v>8340</c:v>
                </c:pt>
                <c:pt idx="6">
                  <c:v>3623</c:v>
                </c:pt>
                <c:pt idx="7">
                  <c:v>1225</c:v>
                </c:pt>
                <c:pt idx="8">
                  <c:v>2632</c:v>
                </c:pt>
                <c:pt idx="9">
                  <c:v>628</c:v>
                </c:pt>
                <c:pt idx="10">
                  <c:v>17192</c:v>
                </c:pt>
                <c:pt idx="11">
                  <c:v>4928</c:v>
                </c:pt>
                <c:pt idx="12">
                  <c:v>1295</c:v>
                </c:pt>
                <c:pt idx="13">
                  <c:v>4761</c:v>
                </c:pt>
                <c:pt idx="14">
                  <c:v>3384</c:v>
                </c:pt>
                <c:pt idx="15">
                  <c:v>54756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065-8249-ED68A0A01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100%</c:v>
                </c:pt>
                <c:pt idx="6">
                  <c:v>88%</c:v>
                </c:pt>
                <c:pt idx="7">
                  <c:v>29%</c:v>
                </c:pt>
                <c:pt idx="8">
                  <c:v>29%</c:v>
                </c:pt>
                <c:pt idx="9">
                  <c:v>0%</c:v>
                </c:pt>
                <c:pt idx="10">
                  <c:v>50%</c:v>
                </c:pt>
                <c:pt idx="11">
                  <c:v>0%</c:v>
                </c:pt>
                <c:pt idx="12">
                  <c:v>33%</c:v>
                </c:pt>
                <c:pt idx="13">
                  <c:v>100%</c:v>
                </c:pt>
                <c:pt idx="14">
                  <c:v>83%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8">
                  <c:v>BASE</c:v>
                </c:pt>
                <c:pt idx="9">
                  <c:v>TOP/BOTTOM</c:v>
                </c:pt>
                <c:pt idx="11">
                  <c:v>COVER</c:v>
                </c:pt>
                <c:pt idx="12">
                  <c:v>TOP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0.875</c:v>
                </c:pt>
                <c:pt idx="7">
                  <c:v>0.29166666666666669</c:v>
                </c:pt>
                <c:pt idx="8">
                  <c:v>0.29166666666666669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0.33333333333333331</c:v>
                </c:pt>
                <c:pt idx="13">
                  <c:v>1</c:v>
                </c:pt>
                <c:pt idx="14">
                  <c:v>0.83333333333333337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9-4D2B-A753-1AF9C6F2A28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69-4D2B-A753-1AF9C6F2A2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8">
                  <c:v>BASE</c:v>
                </c:pt>
                <c:pt idx="9">
                  <c:v>TOP/BOTTOM</c:v>
                </c:pt>
                <c:pt idx="11">
                  <c:v>COVER</c:v>
                </c:pt>
                <c:pt idx="12">
                  <c:v>TOP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'26'!$AE$6:$AE$21</c:f>
              <c:numCache>
                <c:formatCode>0%</c:formatCode>
                <c:ptCount val="16"/>
                <c:pt idx="0">
                  <c:v>0.40833333333333327</c:v>
                </c:pt>
                <c:pt idx="1">
                  <c:v>0.40833333333333327</c:v>
                </c:pt>
                <c:pt idx="2">
                  <c:v>0.40833333333333327</c:v>
                </c:pt>
                <c:pt idx="3">
                  <c:v>0.40833333333333327</c:v>
                </c:pt>
                <c:pt idx="4">
                  <c:v>0.40833333333333327</c:v>
                </c:pt>
                <c:pt idx="5">
                  <c:v>0.40833333333333327</c:v>
                </c:pt>
                <c:pt idx="6">
                  <c:v>0.40833333333333327</c:v>
                </c:pt>
                <c:pt idx="7">
                  <c:v>0.40833333333333327</c:v>
                </c:pt>
                <c:pt idx="8">
                  <c:v>0.40833333333333327</c:v>
                </c:pt>
                <c:pt idx="9">
                  <c:v>0.40833333333333327</c:v>
                </c:pt>
                <c:pt idx="10">
                  <c:v>0.40833333333333327</c:v>
                </c:pt>
                <c:pt idx="11">
                  <c:v>0.40833333333333327</c:v>
                </c:pt>
                <c:pt idx="12">
                  <c:v>0.40833333333333327</c:v>
                </c:pt>
                <c:pt idx="13">
                  <c:v>0.40833333333333327</c:v>
                </c:pt>
                <c:pt idx="14">
                  <c:v>0.40833333333333327</c:v>
                </c:pt>
                <c:pt idx="15">
                  <c:v>0.40833333333333327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9-4D2B-A753-1AF9C6F2A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8">
                  <c:v>BASE</c:v>
                </c:pt>
                <c:pt idx="9">
                  <c:v>TOP/BOTTOM</c:v>
                </c:pt>
                <c:pt idx="11">
                  <c:v>COVER</c:v>
                </c:pt>
                <c:pt idx="12">
                  <c:v>TOP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'26'!$L$6:$L$21</c:f>
              <c:numCache>
                <c:formatCode>_(* #,##0_);_(* \(#,##0\);_(* "-"_);_(@_)</c:formatCode>
                <c:ptCount val="16"/>
                <c:pt idx="5">
                  <c:v>8340</c:v>
                </c:pt>
                <c:pt idx="6">
                  <c:v>3623</c:v>
                </c:pt>
                <c:pt idx="7">
                  <c:v>1225</c:v>
                </c:pt>
                <c:pt idx="8">
                  <c:v>2632</c:v>
                </c:pt>
                <c:pt idx="10">
                  <c:v>17192</c:v>
                </c:pt>
                <c:pt idx="12">
                  <c:v>1295</c:v>
                </c:pt>
                <c:pt idx="13">
                  <c:v>4761</c:v>
                </c:pt>
                <c:pt idx="14">
                  <c:v>3384</c:v>
                </c:pt>
                <c:pt idx="15">
                  <c:v>54756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1-4422-984F-1A675B0F93B6}"/>
            </c:ext>
          </c:extLst>
        </c:ser>
        <c:ser>
          <c:idx val="1"/>
          <c:order val="1"/>
          <c:tx>
            <c:v>계획</c:v>
          </c:tx>
          <c:cat>
            <c:strRef>
              <c:f>'26'!$D$6:$D$21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8">
                  <c:v>BASE</c:v>
                </c:pt>
                <c:pt idx="9">
                  <c:v>TOP/BOTTOM</c:v>
                </c:pt>
                <c:pt idx="11">
                  <c:v>COVER</c:v>
                </c:pt>
                <c:pt idx="12">
                  <c:v>TOP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'26'!$J$6:$J$21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2061</c:v>
                </c:pt>
                <c:pt idx="2">
                  <c:v>3870</c:v>
                </c:pt>
                <c:pt idx="3">
                  <c:v>5702</c:v>
                </c:pt>
                <c:pt idx="4">
                  <c:v>1512</c:v>
                </c:pt>
                <c:pt idx="5">
                  <c:v>8340</c:v>
                </c:pt>
                <c:pt idx="6">
                  <c:v>3623</c:v>
                </c:pt>
                <c:pt idx="7">
                  <c:v>1225</c:v>
                </c:pt>
                <c:pt idx="8">
                  <c:v>2632</c:v>
                </c:pt>
                <c:pt idx="9">
                  <c:v>628</c:v>
                </c:pt>
                <c:pt idx="10">
                  <c:v>17192</c:v>
                </c:pt>
                <c:pt idx="11">
                  <c:v>4928</c:v>
                </c:pt>
                <c:pt idx="12">
                  <c:v>1295</c:v>
                </c:pt>
                <c:pt idx="13">
                  <c:v>4761</c:v>
                </c:pt>
                <c:pt idx="14">
                  <c:v>3384</c:v>
                </c:pt>
                <c:pt idx="15">
                  <c:v>54756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1-4422-984F-1A675B0F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100%</c:v>
                </c:pt>
                <c:pt idx="6">
                  <c:v>88%</c:v>
                </c:pt>
                <c:pt idx="7">
                  <c:v>29%</c:v>
                </c:pt>
                <c:pt idx="8">
                  <c:v>29%</c:v>
                </c:pt>
                <c:pt idx="9">
                  <c:v>0%</c:v>
                </c:pt>
                <c:pt idx="10">
                  <c:v>50%</c:v>
                </c:pt>
                <c:pt idx="11">
                  <c:v>0%</c:v>
                </c:pt>
                <c:pt idx="12">
                  <c:v>33%</c:v>
                </c:pt>
                <c:pt idx="13">
                  <c:v>100%</c:v>
                </c:pt>
                <c:pt idx="14">
                  <c:v>83%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8">
                  <c:v>BASE</c:v>
                </c:pt>
                <c:pt idx="9">
                  <c:v>TOP/BOTTOM</c:v>
                </c:pt>
                <c:pt idx="11">
                  <c:v>COVER</c:v>
                </c:pt>
                <c:pt idx="12">
                  <c:v>TOP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0.875</c:v>
                </c:pt>
                <c:pt idx="7">
                  <c:v>0.29166666666666669</c:v>
                </c:pt>
                <c:pt idx="8">
                  <c:v>0.29166666666666669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0.33333333333333331</c:v>
                </c:pt>
                <c:pt idx="13">
                  <c:v>1</c:v>
                </c:pt>
                <c:pt idx="14">
                  <c:v>0.83333333333333337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E-4492-A887-5E5162E54ED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3E-4492-A887-5E5162E54ED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COVER</c:v>
                </c:pt>
                <c:pt idx="5">
                  <c:v>STOPPER</c:v>
                </c:pt>
                <c:pt idx="6">
                  <c:v>BASE</c:v>
                </c:pt>
                <c:pt idx="8">
                  <c:v>BASE</c:v>
                </c:pt>
                <c:pt idx="9">
                  <c:v>TOP/BOTTOM</c:v>
                </c:pt>
                <c:pt idx="11">
                  <c:v>COVER</c:v>
                </c:pt>
                <c:pt idx="12">
                  <c:v>TOP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'26'!$AE$6:$AE$21</c:f>
              <c:numCache>
                <c:formatCode>0%</c:formatCode>
                <c:ptCount val="16"/>
                <c:pt idx="0">
                  <c:v>0.40833333333333327</c:v>
                </c:pt>
                <c:pt idx="1">
                  <c:v>0.40833333333333327</c:v>
                </c:pt>
                <c:pt idx="2">
                  <c:v>0.40833333333333327</c:v>
                </c:pt>
                <c:pt idx="3">
                  <c:v>0.40833333333333327</c:v>
                </c:pt>
                <c:pt idx="4">
                  <c:v>0.40833333333333327</c:v>
                </c:pt>
                <c:pt idx="5">
                  <c:v>0.40833333333333327</c:v>
                </c:pt>
                <c:pt idx="6">
                  <c:v>0.40833333333333327</c:v>
                </c:pt>
                <c:pt idx="7">
                  <c:v>0.40833333333333327</c:v>
                </c:pt>
                <c:pt idx="8">
                  <c:v>0.40833333333333327</c:v>
                </c:pt>
                <c:pt idx="9">
                  <c:v>0.40833333333333327</c:v>
                </c:pt>
                <c:pt idx="10">
                  <c:v>0.40833333333333327</c:v>
                </c:pt>
                <c:pt idx="11">
                  <c:v>0.40833333333333327</c:v>
                </c:pt>
                <c:pt idx="12">
                  <c:v>0.40833333333333327</c:v>
                </c:pt>
                <c:pt idx="13">
                  <c:v>0.40833333333333327</c:v>
                </c:pt>
                <c:pt idx="14">
                  <c:v>0.40833333333333327</c:v>
                </c:pt>
                <c:pt idx="15">
                  <c:v>0.40833333333333327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E-4492-A887-5E5162E54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D39-4A5B-A041-7D32F78FC3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9-4A5B-A041-7D32F78F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39-4A5B-A041-7D32F78FC3E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9-4A5B-A041-7D32F78F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'27'!$L$6:$L$20</c:f>
              <c:numCache>
                <c:formatCode>_(* #,##0_);_(* \(#,##0\);_(* "-"_);_(@_)</c:formatCode>
                <c:ptCount val="15"/>
                <c:pt idx="2">
                  <c:v>3984</c:v>
                </c:pt>
                <c:pt idx="3">
                  <c:v>1014</c:v>
                </c:pt>
                <c:pt idx="4">
                  <c:v>6408</c:v>
                </c:pt>
                <c:pt idx="5">
                  <c:v>1440</c:v>
                </c:pt>
                <c:pt idx="6">
                  <c:v>3013</c:v>
                </c:pt>
                <c:pt idx="7">
                  <c:v>793</c:v>
                </c:pt>
                <c:pt idx="9">
                  <c:v>7008</c:v>
                </c:pt>
                <c:pt idx="11">
                  <c:v>15912</c:v>
                </c:pt>
                <c:pt idx="12">
                  <c:v>3767</c:v>
                </c:pt>
                <c:pt idx="13">
                  <c:v>5042</c:v>
                </c:pt>
                <c:pt idx="14">
                  <c:v>82592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7-4C52-8433-4A26AE969D2F}"/>
            </c:ext>
          </c:extLst>
        </c:ser>
        <c:ser>
          <c:idx val="1"/>
          <c:order val="1"/>
          <c:tx>
            <c:v>계획</c:v>
          </c:tx>
          <c:cat>
            <c:strRef>
              <c:f>'27'!$D$6:$D$20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3987</c:v>
                </c:pt>
                <c:pt idx="3">
                  <c:v>1014</c:v>
                </c:pt>
                <c:pt idx="4">
                  <c:v>6408</c:v>
                </c:pt>
                <c:pt idx="5">
                  <c:v>1440</c:v>
                </c:pt>
                <c:pt idx="6">
                  <c:v>3013</c:v>
                </c:pt>
                <c:pt idx="7">
                  <c:v>793</c:v>
                </c:pt>
                <c:pt idx="8">
                  <c:v>628</c:v>
                </c:pt>
                <c:pt idx="9">
                  <c:v>7008</c:v>
                </c:pt>
                <c:pt idx="10">
                  <c:v>4928</c:v>
                </c:pt>
                <c:pt idx="11">
                  <c:v>15912</c:v>
                </c:pt>
                <c:pt idx="12">
                  <c:v>3767</c:v>
                </c:pt>
                <c:pt idx="13">
                  <c:v>5042</c:v>
                </c:pt>
                <c:pt idx="14">
                  <c:v>82592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7-4C52-8433-4A26AE969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75%</c:v>
                </c:pt>
                <c:pt idx="3">
                  <c:v>25%</c:v>
                </c:pt>
                <c:pt idx="4">
                  <c:v>67%</c:v>
                </c:pt>
                <c:pt idx="5">
                  <c:v>33%</c:v>
                </c:pt>
                <c:pt idx="6">
                  <c:v>71%</c:v>
                </c:pt>
                <c:pt idx="7">
                  <c:v>25%</c:v>
                </c:pt>
                <c:pt idx="8">
                  <c:v>0%</c:v>
                </c:pt>
                <c:pt idx="9">
                  <c:v>17%</c:v>
                </c:pt>
                <c:pt idx="10">
                  <c:v>0%</c:v>
                </c:pt>
                <c:pt idx="11">
                  <c:v>100%</c:v>
                </c:pt>
                <c:pt idx="12">
                  <c:v>83%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0.74943566591422117</c:v>
                </c:pt>
                <c:pt idx="3">
                  <c:v>0.25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0.70833333333333337</c:v>
                </c:pt>
                <c:pt idx="7">
                  <c:v>0.25</c:v>
                </c:pt>
                <c:pt idx="8">
                  <c:v>0</c:v>
                </c:pt>
                <c:pt idx="9">
                  <c:v>0.16666666666666666</c:v>
                </c:pt>
                <c:pt idx="10">
                  <c:v>0</c:v>
                </c:pt>
                <c:pt idx="11">
                  <c:v>1</c:v>
                </c:pt>
                <c:pt idx="12">
                  <c:v>0.83333333333333337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7-4FC5-B54D-8A6E531EB59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D7-4FC5-B54D-8A6E531EB59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'27'!$AE$6:$AE$20</c:f>
              <c:numCache>
                <c:formatCode>0%</c:formatCode>
                <c:ptCount val="15"/>
                <c:pt idx="0">
                  <c:v>0.46385126661650361</c:v>
                </c:pt>
                <c:pt idx="1">
                  <c:v>0.46385126661650361</c:v>
                </c:pt>
                <c:pt idx="2">
                  <c:v>0.46385126661650361</c:v>
                </c:pt>
                <c:pt idx="3">
                  <c:v>0.46385126661650361</c:v>
                </c:pt>
                <c:pt idx="4">
                  <c:v>0.46385126661650361</c:v>
                </c:pt>
                <c:pt idx="5">
                  <c:v>0.46385126661650361</c:v>
                </c:pt>
                <c:pt idx="6">
                  <c:v>0.46385126661650361</c:v>
                </c:pt>
                <c:pt idx="7">
                  <c:v>0.46385126661650361</c:v>
                </c:pt>
                <c:pt idx="8">
                  <c:v>0.46385126661650361</c:v>
                </c:pt>
                <c:pt idx="9">
                  <c:v>0.46385126661650361</c:v>
                </c:pt>
                <c:pt idx="10">
                  <c:v>0.46385126661650361</c:v>
                </c:pt>
                <c:pt idx="11">
                  <c:v>0.46385126661650361</c:v>
                </c:pt>
                <c:pt idx="12">
                  <c:v>0.46385126661650361</c:v>
                </c:pt>
                <c:pt idx="13">
                  <c:v>0.46385126661650361</c:v>
                </c:pt>
                <c:pt idx="14">
                  <c:v>0.46385126661650361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7-4FC5-B54D-8A6E531EB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79%</c:v>
                </c:pt>
                <c:pt idx="3">
                  <c:v>50%</c:v>
                </c:pt>
                <c:pt idx="4">
                  <c:v>100%</c:v>
                </c:pt>
                <c:pt idx="5">
                  <c:v>100%</c:v>
                </c:pt>
                <c:pt idx="6">
                  <c:v>100%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92%</c:v>
                </c:pt>
                <c:pt idx="11">
                  <c:v>17%</c:v>
                </c:pt>
                <c:pt idx="12">
                  <c:v>100%</c:v>
                </c:pt>
                <c:pt idx="13">
                  <c:v>29%</c:v>
                </c:pt>
                <c:pt idx="14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LEAD GUIDE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88P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0.79166666666666663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0.91666666666666663</c:v>
                </c:pt>
                <c:pt idx="11">
                  <c:v>0.16666666666666666</c:v>
                </c:pt>
                <c:pt idx="12">
                  <c:v>1</c:v>
                </c:pt>
                <c:pt idx="13">
                  <c:v>0.29166666666666669</c:v>
                </c:pt>
                <c:pt idx="1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E-434E-AD50-AB97B0F985F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9E-434E-AD50-AB97B0F985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LEAD GUIDE</c:v>
                </c:pt>
                <c:pt idx="4">
                  <c:v>SEPARATOR</c:v>
                </c:pt>
                <c:pt idx="5">
                  <c:v>SP-A/B</c:v>
                </c:pt>
                <c:pt idx="6">
                  <c:v>BASE</c:v>
                </c:pt>
                <c:pt idx="7">
                  <c:v>BASE</c:v>
                </c:pt>
                <c:pt idx="8">
                  <c:v>88P</c:v>
                </c:pt>
                <c:pt idx="9">
                  <c:v>ADAPTER</c:v>
                </c:pt>
                <c:pt idx="10">
                  <c:v>STOPPER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'02'!$AE$6:$AE$20</c:f>
              <c:numCache>
                <c:formatCode>0%</c:formatCode>
                <c:ptCount val="15"/>
                <c:pt idx="0">
                  <c:v>0.48333333333333334</c:v>
                </c:pt>
                <c:pt idx="1">
                  <c:v>0.48333333333333334</c:v>
                </c:pt>
                <c:pt idx="2">
                  <c:v>0.48333333333333334</c:v>
                </c:pt>
                <c:pt idx="3">
                  <c:v>0.48333333333333334</c:v>
                </c:pt>
                <c:pt idx="4">
                  <c:v>0.48333333333333334</c:v>
                </c:pt>
                <c:pt idx="5">
                  <c:v>0.48333333333333334</c:v>
                </c:pt>
                <c:pt idx="6">
                  <c:v>0.48333333333333334</c:v>
                </c:pt>
                <c:pt idx="7">
                  <c:v>0.48333333333333334</c:v>
                </c:pt>
                <c:pt idx="8">
                  <c:v>0.48333333333333334</c:v>
                </c:pt>
                <c:pt idx="9">
                  <c:v>0.48333333333333334</c:v>
                </c:pt>
                <c:pt idx="10">
                  <c:v>0.48333333333333334</c:v>
                </c:pt>
                <c:pt idx="11">
                  <c:v>0.48333333333333334</c:v>
                </c:pt>
                <c:pt idx="12">
                  <c:v>0.48333333333333334</c:v>
                </c:pt>
                <c:pt idx="13">
                  <c:v>0.48333333333333334</c:v>
                </c:pt>
                <c:pt idx="14">
                  <c:v>0.48333333333333334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E-434E-AD50-AB97B0F98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'27'!$L$6:$L$20</c:f>
              <c:numCache>
                <c:formatCode>_(* #,##0_);_(* \(#,##0\);_(* "-"_);_(@_)</c:formatCode>
                <c:ptCount val="15"/>
                <c:pt idx="2">
                  <c:v>3984</c:v>
                </c:pt>
                <c:pt idx="3">
                  <c:v>1014</c:v>
                </c:pt>
                <c:pt idx="4">
                  <c:v>6408</c:v>
                </c:pt>
                <c:pt idx="5">
                  <c:v>1440</c:v>
                </c:pt>
                <c:pt idx="6">
                  <c:v>3013</c:v>
                </c:pt>
                <c:pt idx="7">
                  <c:v>793</c:v>
                </c:pt>
                <c:pt idx="9">
                  <c:v>7008</c:v>
                </c:pt>
                <c:pt idx="11">
                  <c:v>15912</c:v>
                </c:pt>
                <c:pt idx="12">
                  <c:v>3767</c:v>
                </c:pt>
                <c:pt idx="13">
                  <c:v>5042</c:v>
                </c:pt>
                <c:pt idx="14">
                  <c:v>82592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5-4F57-9CE1-E5DB03A57D74}"/>
            </c:ext>
          </c:extLst>
        </c:ser>
        <c:ser>
          <c:idx val="1"/>
          <c:order val="1"/>
          <c:tx>
            <c:v>계획</c:v>
          </c:tx>
          <c:cat>
            <c:strRef>
              <c:f>'27'!$D$6:$D$20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3987</c:v>
                </c:pt>
                <c:pt idx="3">
                  <c:v>1014</c:v>
                </c:pt>
                <c:pt idx="4">
                  <c:v>6408</c:v>
                </c:pt>
                <c:pt idx="5">
                  <c:v>1440</c:v>
                </c:pt>
                <c:pt idx="6">
                  <c:v>3013</c:v>
                </c:pt>
                <c:pt idx="7">
                  <c:v>793</c:v>
                </c:pt>
                <c:pt idx="8">
                  <c:v>628</c:v>
                </c:pt>
                <c:pt idx="9">
                  <c:v>7008</c:v>
                </c:pt>
                <c:pt idx="10">
                  <c:v>4928</c:v>
                </c:pt>
                <c:pt idx="11">
                  <c:v>15912</c:v>
                </c:pt>
                <c:pt idx="12">
                  <c:v>3767</c:v>
                </c:pt>
                <c:pt idx="13">
                  <c:v>5042</c:v>
                </c:pt>
                <c:pt idx="14">
                  <c:v>82592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5-4F57-9CE1-E5DB03A5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75%</c:v>
                </c:pt>
                <c:pt idx="3">
                  <c:v>25%</c:v>
                </c:pt>
                <c:pt idx="4">
                  <c:v>67%</c:v>
                </c:pt>
                <c:pt idx="5">
                  <c:v>33%</c:v>
                </c:pt>
                <c:pt idx="6">
                  <c:v>71%</c:v>
                </c:pt>
                <c:pt idx="7">
                  <c:v>25%</c:v>
                </c:pt>
                <c:pt idx="8">
                  <c:v>0%</c:v>
                </c:pt>
                <c:pt idx="9">
                  <c:v>17%</c:v>
                </c:pt>
                <c:pt idx="10">
                  <c:v>0%</c:v>
                </c:pt>
                <c:pt idx="11">
                  <c:v>100%</c:v>
                </c:pt>
                <c:pt idx="12">
                  <c:v>83%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0.74943566591422117</c:v>
                </c:pt>
                <c:pt idx="3">
                  <c:v>0.25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0.70833333333333337</c:v>
                </c:pt>
                <c:pt idx="7">
                  <c:v>0.25</c:v>
                </c:pt>
                <c:pt idx="8">
                  <c:v>0</c:v>
                </c:pt>
                <c:pt idx="9">
                  <c:v>0.16666666666666666</c:v>
                </c:pt>
                <c:pt idx="10">
                  <c:v>0</c:v>
                </c:pt>
                <c:pt idx="11">
                  <c:v>1</c:v>
                </c:pt>
                <c:pt idx="12">
                  <c:v>0.83333333333333337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1-436F-9E37-CF40B4F3025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1-436F-9E37-CF40B4F3025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COVER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'27'!$AE$6:$AE$20</c:f>
              <c:numCache>
                <c:formatCode>0%</c:formatCode>
                <c:ptCount val="15"/>
                <c:pt idx="0">
                  <c:v>0.46385126661650361</c:v>
                </c:pt>
                <c:pt idx="1">
                  <c:v>0.46385126661650361</c:v>
                </c:pt>
                <c:pt idx="2">
                  <c:v>0.46385126661650361</c:v>
                </c:pt>
                <c:pt idx="3">
                  <c:v>0.46385126661650361</c:v>
                </c:pt>
                <c:pt idx="4">
                  <c:v>0.46385126661650361</c:v>
                </c:pt>
                <c:pt idx="5">
                  <c:v>0.46385126661650361</c:v>
                </c:pt>
                <c:pt idx="6">
                  <c:v>0.46385126661650361</c:v>
                </c:pt>
                <c:pt idx="7">
                  <c:v>0.46385126661650361</c:v>
                </c:pt>
                <c:pt idx="8">
                  <c:v>0.46385126661650361</c:v>
                </c:pt>
                <c:pt idx="9">
                  <c:v>0.46385126661650361</c:v>
                </c:pt>
                <c:pt idx="10">
                  <c:v>0.46385126661650361</c:v>
                </c:pt>
                <c:pt idx="11">
                  <c:v>0.46385126661650361</c:v>
                </c:pt>
                <c:pt idx="12">
                  <c:v>0.46385126661650361</c:v>
                </c:pt>
                <c:pt idx="13">
                  <c:v>0.46385126661650361</c:v>
                </c:pt>
                <c:pt idx="14">
                  <c:v>0.46385126661650361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1-436F-9E37-CF40B4F3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30F-4404-BD39-5366ACA07A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F-4404-BD39-5366ACA07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0F-4404-BD39-5366ACA07A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F-4404-BD39-5366ACA07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'28'!$L$6:$L$20</c:f>
              <c:numCache>
                <c:formatCode>_(* #,##0_);_(* \(#,##0\);_(* "-"_);_(@_)</c:formatCode>
                <c:ptCount val="15"/>
                <c:pt idx="2">
                  <c:v>5602</c:v>
                </c:pt>
                <c:pt idx="3">
                  <c:v>0</c:v>
                </c:pt>
                <c:pt idx="6">
                  <c:v>4302</c:v>
                </c:pt>
                <c:pt idx="11">
                  <c:v>9354</c:v>
                </c:pt>
                <c:pt idx="12">
                  <c:v>5168</c:v>
                </c:pt>
                <c:pt idx="13">
                  <c:v>4853</c:v>
                </c:pt>
                <c:pt idx="14">
                  <c:v>85628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9-4604-B6A4-B4AA0AF2DFAA}"/>
            </c:ext>
          </c:extLst>
        </c:ser>
        <c:ser>
          <c:idx val="1"/>
          <c:order val="1"/>
          <c:tx>
            <c:v>계획</c:v>
          </c:tx>
          <c:cat>
            <c:strRef>
              <c:f>'28'!$D$6:$D$20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5602</c:v>
                </c:pt>
                <c:pt idx="3">
                  <c:v>1014</c:v>
                </c:pt>
                <c:pt idx="4">
                  <c:v>6408</c:v>
                </c:pt>
                <c:pt idx="5">
                  <c:v>1440</c:v>
                </c:pt>
                <c:pt idx="6">
                  <c:v>4302</c:v>
                </c:pt>
                <c:pt idx="7">
                  <c:v>793</c:v>
                </c:pt>
                <c:pt idx="8">
                  <c:v>628</c:v>
                </c:pt>
                <c:pt idx="9">
                  <c:v>7008</c:v>
                </c:pt>
                <c:pt idx="10">
                  <c:v>4928</c:v>
                </c:pt>
                <c:pt idx="11">
                  <c:v>9354</c:v>
                </c:pt>
                <c:pt idx="12">
                  <c:v>5168</c:v>
                </c:pt>
                <c:pt idx="13">
                  <c:v>4853</c:v>
                </c:pt>
                <c:pt idx="14">
                  <c:v>85628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9-4604-B6A4-B4AA0AF2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100%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58%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0.58333333333333337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7-4D2A-96F6-59CFD658E65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87-4D2A-96F6-59CFD658E6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'28'!$AE$6:$AE$20</c:f>
              <c:numCache>
                <c:formatCode>0%</c:formatCode>
                <c:ptCount val="15"/>
                <c:pt idx="0">
                  <c:v>0.37222222222222229</c:v>
                </c:pt>
                <c:pt idx="1">
                  <c:v>0.37222222222222229</c:v>
                </c:pt>
                <c:pt idx="2">
                  <c:v>0.37222222222222229</c:v>
                </c:pt>
                <c:pt idx="3">
                  <c:v>0.37222222222222229</c:v>
                </c:pt>
                <c:pt idx="4">
                  <c:v>0.37222222222222229</c:v>
                </c:pt>
                <c:pt idx="5">
                  <c:v>0.37222222222222229</c:v>
                </c:pt>
                <c:pt idx="6">
                  <c:v>0.37222222222222229</c:v>
                </c:pt>
                <c:pt idx="7">
                  <c:v>0.37222222222222229</c:v>
                </c:pt>
                <c:pt idx="8">
                  <c:v>0.37222222222222229</c:v>
                </c:pt>
                <c:pt idx="9">
                  <c:v>0.37222222222222229</c:v>
                </c:pt>
                <c:pt idx="10">
                  <c:v>0.37222222222222229</c:v>
                </c:pt>
                <c:pt idx="11">
                  <c:v>0.37222222222222229</c:v>
                </c:pt>
                <c:pt idx="12">
                  <c:v>0.37222222222222229</c:v>
                </c:pt>
                <c:pt idx="13">
                  <c:v>0.37222222222222229</c:v>
                </c:pt>
                <c:pt idx="14">
                  <c:v>0.37222222222222229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7-4D2A-96F6-59CFD658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'28'!$L$6:$L$20</c:f>
              <c:numCache>
                <c:formatCode>_(* #,##0_);_(* \(#,##0\);_(* "-"_);_(@_)</c:formatCode>
                <c:ptCount val="15"/>
                <c:pt idx="2">
                  <c:v>5602</c:v>
                </c:pt>
                <c:pt idx="3">
                  <c:v>0</c:v>
                </c:pt>
                <c:pt idx="6">
                  <c:v>4302</c:v>
                </c:pt>
                <c:pt idx="11">
                  <c:v>9354</c:v>
                </c:pt>
                <c:pt idx="12">
                  <c:v>5168</c:v>
                </c:pt>
                <c:pt idx="13">
                  <c:v>4853</c:v>
                </c:pt>
                <c:pt idx="14">
                  <c:v>85628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E-4617-B4F0-AF2BC88FFAC6}"/>
            </c:ext>
          </c:extLst>
        </c:ser>
        <c:ser>
          <c:idx val="1"/>
          <c:order val="1"/>
          <c:tx>
            <c:v>계획</c:v>
          </c:tx>
          <c:cat>
            <c:strRef>
              <c:f>'28'!$D$6:$D$20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5602</c:v>
                </c:pt>
                <c:pt idx="3">
                  <c:v>1014</c:v>
                </c:pt>
                <c:pt idx="4">
                  <c:v>6408</c:v>
                </c:pt>
                <c:pt idx="5">
                  <c:v>1440</c:v>
                </c:pt>
                <c:pt idx="6">
                  <c:v>4302</c:v>
                </c:pt>
                <c:pt idx="7">
                  <c:v>793</c:v>
                </c:pt>
                <c:pt idx="8">
                  <c:v>628</c:v>
                </c:pt>
                <c:pt idx="9">
                  <c:v>7008</c:v>
                </c:pt>
                <c:pt idx="10">
                  <c:v>4928</c:v>
                </c:pt>
                <c:pt idx="11">
                  <c:v>9354</c:v>
                </c:pt>
                <c:pt idx="12">
                  <c:v>5168</c:v>
                </c:pt>
                <c:pt idx="13">
                  <c:v>4853</c:v>
                </c:pt>
                <c:pt idx="14">
                  <c:v>85628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E-4617-B4F0-AF2BC88FF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100%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58%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0.58333333333333337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E-4F37-9382-016916651A1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8E-4F37-9382-016916651A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'28'!$AE$6:$AE$20</c:f>
              <c:numCache>
                <c:formatCode>0%</c:formatCode>
                <c:ptCount val="15"/>
                <c:pt idx="0">
                  <c:v>0.37222222222222229</c:v>
                </c:pt>
                <c:pt idx="1">
                  <c:v>0.37222222222222229</c:v>
                </c:pt>
                <c:pt idx="2">
                  <c:v>0.37222222222222229</c:v>
                </c:pt>
                <c:pt idx="3">
                  <c:v>0.37222222222222229</c:v>
                </c:pt>
                <c:pt idx="4">
                  <c:v>0.37222222222222229</c:v>
                </c:pt>
                <c:pt idx="5">
                  <c:v>0.37222222222222229</c:v>
                </c:pt>
                <c:pt idx="6">
                  <c:v>0.37222222222222229</c:v>
                </c:pt>
                <c:pt idx="7">
                  <c:v>0.37222222222222229</c:v>
                </c:pt>
                <c:pt idx="8">
                  <c:v>0.37222222222222229</c:v>
                </c:pt>
                <c:pt idx="9">
                  <c:v>0.37222222222222229</c:v>
                </c:pt>
                <c:pt idx="10">
                  <c:v>0.37222222222222229</c:v>
                </c:pt>
                <c:pt idx="11">
                  <c:v>0.37222222222222229</c:v>
                </c:pt>
                <c:pt idx="12">
                  <c:v>0.37222222222222229</c:v>
                </c:pt>
                <c:pt idx="13">
                  <c:v>0.37222222222222229</c:v>
                </c:pt>
                <c:pt idx="14">
                  <c:v>0.37222222222222229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E-4F37-9382-016916651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08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FA1-4CB2-889F-AA0D2C5ED6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0.46388888888888885</c:v>
                </c:pt>
                <c:pt idx="1">
                  <c:v>0.48333333333333334</c:v>
                </c:pt>
                <c:pt idx="2">
                  <c:v>0.49166666666666664</c:v>
                </c:pt>
                <c:pt idx="4">
                  <c:v>0.46666666666666667</c:v>
                </c:pt>
                <c:pt idx="5">
                  <c:v>0.49166666666666664</c:v>
                </c:pt>
                <c:pt idx="6">
                  <c:v>0.59722222222222221</c:v>
                </c:pt>
                <c:pt idx="7">
                  <c:v>0.49722222222222218</c:v>
                </c:pt>
                <c:pt idx="8">
                  <c:v>0.38611111111111107</c:v>
                </c:pt>
                <c:pt idx="11">
                  <c:v>0.40555555555555567</c:v>
                </c:pt>
                <c:pt idx="12">
                  <c:v>0.2722222222222222</c:v>
                </c:pt>
                <c:pt idx="13">
                  <c:v>0.16666666666666666</c:v>
                </c:pt>
                <c:pt idx="18">
                  <c:v>0.34722222222222221</c:v>
                </c:pt>
                <c:pt idx="19">
                  <c:v>0.23333333333333334</c:v>
                </c:pt>
                <c:pt idx="20">
                  <c:v>0.45277777777777778</c:v>
                </c:pt>
                <c:pt idx="21">
                  <c:v>0.44444444444444442</c:v>
                </c:pt>
                <c:pt idx="22">
                  <c:v>0.51944444444444438</c:v>
                </c:pt>
                <c:pt idx="25">
                  <c:v>0.40833333333333327</c:v>
                </c:pt>
                <c:pt idx="26">
                  <c:v>0.46385126661650361</c:v>
                </c:pt>
                <c:pt idx="27">
                  <c:v>0.37222222222222229</c:v>
                </c:pt>
                <c:pt idx="28">
                  <c:v>0.33333333333333331</c:v>
                </c:pt>
                <c:pt idx="29">
                  <c:v>0.44607299607299616</c:v>
                </c:pt>
                <c:pt idx="30">
                  <c:v>0.40555555555555561</c:v>
                </c:pt>
                <c:pt idx="31">
                  <c:v>0.29512300488962545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1-4CB2-889F-AA0D2C5E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A1-4CB2-889F-AA0D2C5ED6B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1-4CB2-889F-AA0D2C5E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'29'!$L$6:$L$20</c:f>
              <c:numCache>
                <c:formatCode>_(* #,##0_);_(* \(#,##0\);_(* "-"_);_(@_)</c:formatCode>
                <c:ptCount val="15"/>
                <c:pt idx="2">
                  <c:v>3423</c:v>
                </c:pt>
                <c:pt idx="3">
                  <c:v>1697</c:v>
                </c:pt>
                <c:pt idx="5">
                  <c:v>1200</c:v>
                </c:pt>
                <c:pt idx="11">
                  <c:v>18369</c:v>
                </c:pt>
                <c:pt idx="12">
                  <c:v>5602</c:v>
                </c:pt>
                <c:pt idx="13">
                  <c:v>5291</c:v>
                </c:pt>
                <c:pt idx="14">
                  <c:v>86908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0-42F4-89CA-63D972505B96}"/>
            </c:ext>
          </c:extLst>
        </c:ser>
        <c:ser>
          <c:idx val="1"/>
          <c:order val="1"/>
          <c:tx>
            <c:v>계획</c:v>
          </c:tx>
          <c:cat>
            <c:strRef>
              <c:f>'29'!$D$6:$D$20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'29'!$J$6:$J$20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2061</c:v>
                </c:pt>
                <c:pt idx="2">
                  <c:v>3423</c:v>
                </c:pt>
                <c:pt idx="3">
                  <c:v>1697</c:v>
                </c:pt>
                <c:pt idx="4">
                  <c:v>6408</c:v>
                </c:pt>
                <c:pt idx="5">
                  <c:v>1200</c:v>
                </c:pt>
                <c:pt idx="6">
                  <c:v>4302</c:v>
                </c:pt>
                <c:pt idx="7">
                  <c:v>793</c:v>
                </c:pt>
                <c:pt idx="8">
                  <c:v>628</c:v>
                </c:pt>
                <c:pt idx="9">
                  <c:v>7008</c:v>
                </c:pt>
                <c:pt idx="10">
                  <c:v>4928</c:v>
                </c:pt>
                <c:pt idx="11">
                  <c:v>18369</c:v>
                </c:pt>
                <c:pt idx="12">
                  <c:v>5602</c:v>
                </c:pt>
                <c:pt idx="13">
                  <c:v>5291</c:v>
                </c:pt>
                <c:pt idx="14">
                  <c:v>86908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0-42F4-89CA-63D972505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71%</c:v>
                </c:pt>
                <c:pt idx="3">
                  <c:v>42%</c:v>
                </c:pt>
                <c:pt idx="4">
                  <c:v>0%</c:v>
                </c:pt>
                <c:pt idx="5">
                  <c:v>29%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58%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0.70833333333333337</c:v>
                </c:pt>
                <c:pt idx="3">
                  <c:v>0.41666666666666669</c:v>
                </c:pt>
                <c:pt idx="4">
                  <c:v>0</c:v>
                </c:pt>
                <c:pt idx="5">
                  <c:v>0.29166666666666669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0.58333333333333337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5-4385-BFF3-2EF88CC227A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05-4385-BFF3-2EF88CC227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1">
                  <c:v>88P</c:v>
                </c:pt>
                <c:pt idx="2">
                  <c:v>STOPPER</c:v>
                </c:pt>
                <c:pt idx="3">
                  <c:v>SLIDER</c:v>
                </c:pt>
                <c:pt idx="4">
                  <c:v>LATCH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TOP/BOTTOM</c:v>
                </c:pt>
                <c:pt idx="10">
                  <c:v>COVER</c:v>
                </c:pt>
                <c:pt idx="11">
                  <c:v>CASE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'29'!$AE$6:$AE$20</c:f>
              <c:numCache>
                <c:formatCode>0%</c:formatCode>
                <c:ptCount val="1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5-4385-BFF3-2EF88CC2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7.xml"/><Relationship Id="rId5" Type="http://schemas.openxmlformats.org/officeDocument/2006/relationships/chart" Target="../charts/chart106.xml"/><Relationship Id="rId4" Type="http://schemas.openxmlformats.org/officeDocument/2006/relationships/chart" Target="../charts/chart105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6" Type="http://schemas.openxmlformats.org/officeDocument/2006/relationships/chart" Target="../charts/chart112.xml"/><Relationship Id="rId5" Type="http://schemas.openxmlformats.org/officeDocument/2006/relationships/chart" Target="../charts/chart111.xml"/><Relationship Id="rId4" Type="http://schemas.openxmlformats.org/officeDocument/2006/relationships/chart" Target="../charts/chart1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104775</xdr:rowOff>
    </xdr:from>
    <xdr:to>
      <xdr:col>16</xdr:col>
      <xdr:colOff>66675</xdr:colOff>
      <xdr:row>31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19</xdr:row>
      <xdr:rowOff>123825</xdr:rowOff>
    </xdr:from>
    <xdr:to>
      <xdr:col>32</xdr:col>
      <xdr:colOff>371474</xdr:colOff>
      <xdr:row>31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7345E56-B94E-40E0-92F4-223BB1052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5F11988-B010-4863-8C64-9C176CE6E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3F2912A-8A30-4CB0-BC44-646B03D39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F1D4A0C-4AD2-469A-9914-8B6083FCB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26F7036-FB52-43A4-BA65-4686BFD0E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38DD629F-0808-4099-B4FD-FAFB1643C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F57586D-8278-46CD-82A9-3FD4E970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4F1FE25-D3C1-47AE-B900-12859AF18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D29237E-3C40-4388-B370-B0F74FDF2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355182C-7055-41BF-968A-A6A7988C2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FAE937-0AC0-47F7-89D5-AE6976624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7DA6945-B77D-41D0-9A3B-6DD02315F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1A082876-5F55-4FDF-97D5-18BDA8B04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A8DC020-2BB2-4EB7-9A53-047AF6D8F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FCD06B8-2E27-4BFC-A67A-034F15924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15B7981-E62C-48F7-8477-6A3B0F78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E97F7B8F-C4F3-4DF4-9BE7-907F06AD8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0DF20EF-CE5F-4F20-9239-860315E6E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70FD44E-0995-4579-A683-AF92DE3EB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27DB4E4-0E1A-472B-B08F-FD207AFE7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DC84609-936B-40FE-BE86-700CA794C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8480C8-35B8-41FD-9737-8EB384A7E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BD4D017-57E1-4D6F-A818-5767E4494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25F070D-26A3-48F9-8555-569FB86D8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279458E-1AA3-40CC-816C-E4256273E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F7A4100-6817-47E3-B556-0F802C8E3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377A5854-069B-45B0-92E1-D0053F44F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344B572-FA85-4C27-873A-AB895BDF8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A95E4A3-DD38-4C95-B986-7E32AE179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BFE8EC-028C-4455-BD98-292F02049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66A9AF68-B159-4C77-96B8-7D1817A40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14DFB0A-AEBB-4AFF-B581-2A5802690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46A49A5-12A1-4E76-B84E-A56BE73F1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D6C773C-204D-4C08-88F4-5BFD34865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979211F-E54B-47C8-8CFF-D05CEC99E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346776-026C-416D-9967-51B2BB766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DC7C6CB-B0EC-4FC7-B4F6-B79ECE43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ECFD00CF-6258-402F-B6C3-07796E0DE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117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C131978-BA7B-45CE-8F1A-4A5947E68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47B7E25-457F-4279-B3A8-D35B60A76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3F6A076F-C729-40EF-A69C-628A8210A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117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E243133-FF2B-48D2-95D1-EE30491F8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7106DB-868C-4CCB-9E66-EEABB7A00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A8B3E34-75B7-4472-A44A-C74A7DF25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6482AF0A-BA28-45C5-8C27-A0F554D03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1953429-070D-4B61-AB5F-2DF7659CD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47760A2-A323-4117-83FB-5D3763E59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D5A44A6-F57F-42C8-B4AE-B7593B63C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0E72E63-DD6D-479C-8CDD-FD4B74DD4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5A2502B-85ED-4063-896A-47C7051FE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02A08F8-B3BE-4DC0-8D20-9CB6BE337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FC149E2-ECE6-46C5-B1B2-533DCE0ED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44C3999-6AC6-4321-A070-706EB17A3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B9DE5D8-F1BD-468A-861D-C9A3FDA48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385646D-78AB-4FFD-AE15-F27908A86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2BC72D5-C21F-4CB6-9EE6-5597B3B3B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EF05502-21CC-48D0-B5B4-EE06B2D3F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74DF2C8-5D96-4001-944C-5B0FDC8B0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D25A1CB1-3CE8-49C3-8F29-87C4836A4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124E9BA-F353-484C-A25A-998210273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3F3878C-35EC-4B2A-B989-CBB177FFC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BB386D2-39DB-4A34-B48C-F51D5634B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3153C97-B3AA-4C92-AB81-CCDD2C7D8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CDB3A5-6178-419E-8AE0-5B3431F11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1A64BC6-ABA2-47EC-AE17-D3D74189D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F707155-E262-44C5-BC11-C77AAB967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C98E1BD-6A1B-4210-9CBC-2DA8B0045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D2BA909-8450-4EF3-A45C-FD0F6027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4B3F194-0EE5-43AA-AF1B-85841E2F7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EE2C306-E2BE-4214-A43D-2FEE58AAC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26C50CE-F8E5-45C3-AA48-4F573CA0A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BC47E86-2A2B-4B37-8016-68E777074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B5D340B-7141-4DAC-86A4-D5564AFF3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CA6DAB0-1AE7-4404-80A8-6F5958C6B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7585B78-2900-4552-8AD5-2898B97AD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65E9A0BD-507E-4D2C-A2C6-78E30FC7B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E1CDC18-A9B2-4211-9956-63BDCB193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1779329-984C-4972-80CD-E4ECCEDD4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3299826-9BA2-428B-9F56-5420AA9CF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31C1340-5D57-4DA3-AF31-4D1F528C4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AF3CC15-B653-4AD0-8083-81CDB1E63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3034C92-FEE6-494F-81CA-44CF995A9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73856BC-58A3-44F2-B276-709904148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AB12611-7229-4F5D-B3C6-86E379DBD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BF6B22-B0D0-4C3B-B5E2-066C66C3E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49F1EA5-F851-4533-BE3F-5287B00A3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723FC8A-2D7C-427F-8821-4B1FDBE0F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C3E4B74-D831-465D-82FB-F468DC31E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29D70F3-9DBA-4531-B94F-F464A7513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C15B7587-580B-46BB-A90A-147B3FA79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1F73D6A-3628-4CF6-889A-A9ECDE080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119490-E446-408A-9091-1F50900C9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EED05F-15D9-4D05-9935-6B49DC710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6400C72A-1E3D-4A9B-AF3C-E3D2D4497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EB6FAB9-3EAD-4C7F-BF81-AE01F3D84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4EFA3DC-7025-4BF4-90C5-58AE6C0F5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4A9D1B1-221D-4664-BA81-9E7A68A47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F5691F2-8FF4-4A62-8364-E1CF0399B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BD5E61-7851-428E-BF74-8F9A2601B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9353F2B-8364-40DC-9DDA-092B5057F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C0E9D71-8CA6-4D66-89FF-B2F160D04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348153A-A581-45D8-8C72-D8183646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387FAD0-E90F-4E42-88D4-A176EBADB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E8EF900-A861-466E-BEBA-6D60FE462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D7DFC1A-2755-4A0E-8A16-C8D1949F0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06B86E-BE3F-4A91-915F-9AFC13157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CAA4169-918D-4945-B622-38AAB8FA5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03E2037-34EC-4430-B82E-617BD008D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DD85013-5780-49C6-BE15-FB2C5DD57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DB1B18F-E6E4-4F73-A5DA-C77073B0B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C0B4CABA-47B5-4983-90C6-A969A337F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951E138-660E-4417-93D5-E7EFE1962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FB8568-55A0-4EEF-9F0B-785187FB2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EA31328-0A8E-4AC8-A233-BCABB33DA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EC8EB76-0EAB-4633-9642-381E2582C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0D9DEA9-CA6F-403C-9E1A-410BB2F67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67F19DE-3DA4-4591-88A5-8023B8342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34A44901-0ECA-43DB-A85D-2F881963E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36D8E25-3E5B-4D59-A45B-9D32D05CC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3C63CC-05F9-4EA8-83FC-3E1C2CD17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97B9A51-76A1-448A-AF9E-A74061D4B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B5BCDD4-1074-4184-9753-A70CD67A6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B93EF9E-4771-41BB-8430-F60359C6A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4578575-D8C8-4730-AF30-A5658DAE0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EADCDBC-D68F-4856-80F6-D211A55A9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1761F43-62DD-4083-AAB6-78AAEE79F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F923DA1-B9FB-43D6-A705-2288D4C02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C43269F-60AA-41A4-9BD2-8C3621011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EE7248E9-38AD-4C37-818B-349CACB36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8554E13-7D6A-4292-85A4-C3DB8C357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3B1D651-176C-4F0A-84B5-2969E75E8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E87178D-4188-458F-B7B7-411155D9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4749FF1-CA68-4525-A47A-F53E2EF9E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DCBA5C-1978-46B2-A15C-D214088ED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7C57CA9-1470-4102-9EF2-5EAFB78DA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1C14D65-EEC9-4F30-B615-421679D60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37DCD3C-8525-4435-B725-B07E5F077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65739BC-A3A3-48B4-A568-C87DA02CC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B63F1C4-4E61-45D6-8F61-F157B32F7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39A76B6-9AB7-4077-8BF6-1EF87DBD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F07299-8D88-4875-A6F5-81DF767A4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B21CB63-D507-43C3-A6F6-4284AC2B6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7EB376E-5F7F-457A-B162-CE6F32609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5AEED6E-1A86-48FD-AD05-758890D6D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C2B4585-29C4-416C-A4F3-99151DD87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153BC91-22A8-4E51-B67E-EAE1A02B6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1D69FC2-A25C-4A47-A66A-97D50C635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4206EDC-005E-4C5F-8D6C-E3A30C5C0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81B6BA5-1DA0-4E4F-8A56-CC3ED4434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BED362C-F1E8-48FA-B808-609E16508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30B5813-8F0A-4348-8BD0-19578ED3D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D74AE78-22C4-4EB5-9BA2-A65C5B1E0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61CC9F1-7974-412B-A09E-837622DEA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0728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401FFF2-5C35-4702-9121-451F0205A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AG19"/>
  <sheetViews>
    <sheetView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F4" sqref="AF4:AF18"/>
    </sheetView>
  </sheetViews>
  <sheetFormatPr defaultRowHeight="13.5"/>
  <cols>
    <col min="1" max="1" width="7.5" style="68" bestFit="1" customWidth="1"/>
    <col min="2" max="17" width="5.5" style="68" bestFit="1" customWidth="1"/>
    <col min="18" max="18" width="6" style="68" customWidth="1"/>
    <col min="19" max="33" width="5.5" style="68" bestFit="1" customWidth="1"/>
    <col min="34" max="16384" width="9" style="68"/>
  </cols>
  <sheetData>
    <row r="1" spans="1:33" ht="33.75" customHeight="1" thickBot="1">
      <c r="A1" s="349" t="s">
        <v>160</v>
      </c>
      <c r="B1" s="349"/>
      <c r="C1" s="349"/>
      <c r="D1" s="349"/>
      <c r="E1" s="349"/>
      <c r="F1" s="349"/>
      <c r="G1" s="349"/>
      <c r="H1" s="349"/>
    </row>
    <row r="2" spans="1:33" ht="21.75" customHeight="1" thickBot="1">
      <c r="A2" s="89" t="s">
        <v>59</v>
      </c>
      <c r="B2" s="91" t="s">
        <v>74</v>
      </c>
      <c r="C2" s="92" t="s">
        <v>75</v>
      </c>
      <c r="D2" s="92" t="s">
        <v>76</v>
      </c>
      <c r="E2" s="92" t="s">
        <v>77</v>
      </c>
      <c r="F2" s="92" t="s">
        <v>78</v>
      </c>
      <c r="G2" s="92" t="s">
        <v>79</v>
      </c>
      <c r="H2" s="92" t="s">
        <v>80</v>
      </c>
      <c r="I2" s="92" t="s">
        <v>81</v>
      </c>
      <c r="J2" s="92" t="s">
        <v>82</v>
      </c>
      <c r="K2" s="92" t="s">
        <v>83</v>
      </c>
      <c r="L2" s="92" t="s">
        <v>84</v>
      </c>
      <c r="M2" s="92" t="s">
        <v>85</v>
      </c>
      <c r="N2" s="92" t="s">
        <v>86</v>
      </c>
      <c r="O2" s="92" t="s">
        <v>87</v>
      </c>
      <c r="P2" s="92" t="s">
        <v>88</v>
      </c>
      <c r="Q2" s="92" t="s">
        <v>89</v>
      </c>
      <c r="R2" s="92" t="s">
        <v>90</v>
      </c>
      <c r="S2" s="92" t="s">
        <v>91</v>
      </c>
      <c r="T2" s="92" t="s">
        <v>92</v>
      </c>
      <c r="U2" s="92" t="s">
        <v>93</v>
      </c>
      <c r="V2" s="92" t="s">
        <v>94</v>
      </c>
      <c r="W2" s="92" t="s">
        <v>95</v>
      </c>
      <c r="X2" s="92" t="s">
        <v>96</v>
      </c>
      <c r="Y2" s="92" t="s">
        <v>97</v>
      </c>
      <c r="Z2" s="92" t="s">
        <v>98</v>
      </c>
      <c r="AA2" s="92" t="s">
        <v>99</v>
      </c>
      <c r="AB2" s="92" t="s">
        <v>100</v>
      </c>
      <c r="AC2" s="92" t="s">
        <v>101</v>
      </c>
      <c r="AD2" s="92" t="s">
        <v>102</v>
      </c>
      <c r="AE2" s="92" t="s">
        <v>103</v>
      </c>
      <c r="AF2" s="93" t="s">
        <v>104</v>
      </c>
      <c r="AG2" s="89" t="s">
        <v>106</v>
      </c>
    </row>
    <row r="3" spans="1:33" ht="21.75" customHeight="1">
      <c r="A3" s="109" t="s">
        <v>60</v>
      </c>
      <c r="B3" s="104">
        <f>'01'!AD6</f>
        <v>0</v>
      </c>
      <c r="C3" s="104">
        <f>'02'!AD6</f>
        <v>0</v>
      </c>
      <c r="D3" s="97">
        <f>'03'!AD6</f>
        <v>0</v>
      </c>
      <c r="E3" s="97"/>
      <c r="F3" s="97">
        <f>'05'!AD6</f>
        <v>0</v>
      </c>
      <c r="G3" s="97">
        <f>'06'!AD6</f>
        <v>0</v>
      </c>
      <c r="H3" s="97">
        <f>'07'!AD6</f>
        <v>0</v>
      </c>
      <c r="I3" s="97">
        <f>'08'!AD6</f>
        <v>0</v>
      </c>
      <c r="J3" s="97">
        <f>'09'!AD6</f>
        <v>0</v>
      </c>
      <c r="K3" s="97"/>
      <c r="L3" s="97"/>
      <c r="M3" s="97">
        <f>'12'!AD6</f>
        <v>0</v>
      </c>
      <c r="N3" s="115">
        <f>'13'!AD6</f>
        <v>0</v>
      </c>
      <c r="O3" s="97">
        <f>'14'!AD6</f>
        <v>0</v>
      </c>
      <c r="P3" s="97"/>
      <c r="Q3" s="97"/>
      <c r="R3" s="97"/>
      <c r="S3" s="97"/>
      <c r="T3" s="97">
        <f>'19'!AD6</f>
        <v>0</v>
      </c>
      <c r="U3" s="97">
        <f>'20'!AD6</f>
        <v>0</v>
      </c>
      <c r="V3" s="97">
        <f>'21'!AD6</f>
        <v>0</v>
      </c>
      <c r="W3" s="115">
        <f>'22'!AD6</f>
        <v>0</v>
      </c>
      <c r="X3" s="97">
        <f>'23'!AD6</f>
        <v>0</v>
      </c>
      <c r="Y3" s="97"/>
      <c r="Z3" s="97"/>
      <c r="AA3" s="97">
        <f>'26'!AD6</f>
        <v>0</v>
      </c>
      <c r="AB3" s="97">
        <f>'27'!AD6</f>
        <v>0</v>
      </c>
      <c r="AC3" s="97">
        <f>'28'!AD6</f>
        <v>0</v>
      </c>
      <c r="AD3" s="97">
        <f>'29'!AD6</f>
        <v>0</v>
      </c>
      <c r="AE3" s="97">
        <f>'30'!AD6</f>
        <v>0</v>
      </c>
      <c r="AF3" s="98">
        <f>'31'!AD6</f>
        <v>0</v>
      </c>
      <c r="AG3" s="100">
        <f>SUM(B3:AF3)/31</f>
        <v>0</v>
      </c>
    </row>
    <row r="4" spans="1:33" ht="21.75" customHeight="1">
      <c r="A4" s="110" t="s">
        <v>61</v>
      </c>
      <c r="B4" s="105">
        <f>'01'!AD7</f>
        <v>0</v>
      </c>
      <c r="C4" s="105">
        <f>'02'!AD7</f>
        <v>0</v>
      </c>
      <c r="D4" s="74">
        <f>'03'!AD7</f>
        <v>0</v>
      </c>
      <c r="E4" s="74"/>
      <c r="F4" s="74">
        <f>'05'!AD7</f>
        <v>0</v>
      </c>
      <c r="G4" s="74">
        <f>'06'!AD7</f>
        <v>0</v>
      </c>
      <c r="H4" s="74">
        <f>'07'!AD7</f>
        <v>0</v>
      </c>
      <c r="I4" s="74">
        <f>'08'!AD7</f>
        <v>0</v>
      </c>
      <c r="J4" s="74">
        <f>'09'!AD7</f>
        <v>0</v>
      </c>
      <c r="K4" s="74"/>
      <c r="L4" s="74"/>
      <c r="M4" s="74">
        <f>'12'!AD7</f>
        <v>0</v>
      </c>
      <c r="N4" s="74">
        <f>'13'!AD7</f>
        <v>0</v>
      </c>
      <c r="O4" s="74">
        <f>'14'!AD7</f>
        <v>0</v>
      </c>
      <c r="P4" s="74"/>
      <c r="Q4" s="74"/>
      <c r="R4" s="74"/>
      <c r="S4" s="74"/>
      <c r="T4" s="74">
        <f>'19'!AD7</f>
        <v>0</v>
      </c>
      <c r="U4" s="74">
        <f>'20'!AD7</f>
        <v>0</v>
      </c>
      <c r="V4" s="74">
        <f>'21'!AD7</f>
        <v>0</v>
      </c>
      <c r="W4" s="74">
        <f>'22'!AD7</f>
        <v>0</v>
      </c>
      <c r="X4" s="74">
        <f>'23'!AD7</f>
        <v>0</v>
      </c>
      <c r="Y4" s="74"/>
      <c r="Z4" s="74"/>
      <c r="AA4" s="74">
        <f>'26'!AD7</f>
        <v>0</v>
      </c>
      <c r="AB4" s="74">
        <f>'27'!AD7</f>
        <v>0</v>
      </c>
      <c r="AC4" s="74">
        <f>'28'!AD7</f>
        <v>0</v>
      </c>
      <c r="AD4" s="74">
        <f>'29'!AD7</f>
        <v>0</v>
      </c>
      <c r="AE4" s="74">
        <f>'30'!AD7</f>
        <v>0</v>
      </c>
      <c r="AF4" s="75">
        <f>'31'!AD7</f>
        <v>0</v>
      </c>
      <c r="AG4" s="76">
        <f t="shared" ref="AG4:AG18" si="0">SUM(B4:AF4)/31</f>
        <v>0</v>
      </c>
    </row>
    <row r="5" spans="1:33" ht="21.75" customHeight="1">
      <c r="A5" s="111" t="s">
        <v>62</v>
      </c>
      <c r="B5" s="106">
        <f>'01'!AD8</f>
        <v>1</v>
      </c>
      <c r="C5" s="106">
        <f>'02'!AD8</f>
        <v>0.79166666666666663</v>
      </c>
      <c r="D5" s="77">
        <f>'03'!AD8</f>
        <v>0.91666666666666663</v>
      </c>
      <c r="E5" s="77"/>
      <c r="F5" s="77">
        <f>'05'!AD8</f>
        <v>0.91666666666666663</v>
      </c>
      <c r="G5" s="77">
        <f>'06'!AD8</f>
        <v>0.91666666666666663</v>
      </c>
      <c r="H5" s="77">
        <f>'07'!AD8</f>
        <v>0.91666666666666663</v>
      </c>
      <c r="I5" s="77">
        <f>'08'!AD8</f>
        <v>0.25</v>
      </c>
      <c r="J5" s="77">
        <f>'09'!AD8</f>
        <v>0</v>
      </c>
      <c r="K5" s="77"/>
      <c r="L5" s="77"/>
      <c r="M5" s="77">
        <f>'12'!AD8</f>
        <v>0</v>
      </c>
      <c r="N5" s="77">
        <f>'13'!AD8</f>
        <v>0</v>
      </c>
      <c r="O5" s="77">
        <f>'14'!AD8</f>
        <v>0</v>
      </c>
      <c r="P5" s="77"/>
      <c r="Q5" s="77"/>
      <c r="R5" s="77"/>
      <c r="S5" s="77"/>
      <c r="T5" s="77">
        <f>'19'!AD8</f>
        <v>0</v>
      </c>
      <c r="U5" s="77">
        <f>'20'!AD8</f>
        <v>0</v>
      </c>
      <c r="V5" s="77">
        <f>'21'!AD8</f>
        <v>0.58333333333333337</v>
      </c>
      <c r="W5" s="116">
        <f>'22'!AD8</f>
        <v>0.91666666666666663</v>
      </c>
      <c r="X5" s="77">
        <f>'23'!AD8</f>
        <v>0.75</v>
      </c>
      <c r="Y5" s="77"/>
      <c r="Z5" s="77"/>
      <c r="AA5" s="77">
        <f>'26'!AD8</f>
        <v>0</v>
      </c>
      <c r="AB5" s="77">
        <f>'27'!AD8</f>
        <v>0.74943566591422117</v>
      </c>
      <c r="AC5" s="77">
        <f>'28'!AD8</f>
        <v>1</v>
      </c>
      <c r="AD5" s="77">
        <f>'29'!AD8</f>
        <v>0.70833333333333337</v>
      </c>
      <c r="AE5" s="77">
        <f>'30'!AD8</f>
        <v>0.95833333333333337</v>
      </c>
      <c r="AF5" s="78">
        <f>'31'!AD8</f>
        <v>0.75</v>
      </c>
      <c r="AG5" s="79">
        <f t="shared" si="0"/>
        <v>0.39111082793271684</v>
      </c>
    </row>
    <row r="6" spans="1:33" ht="21.75" customHeight="1">
      <c r="A6" s="112" t="s">
        <v>63</v>
      </c>
      <c r="B6" s="107">
        <f>'01'!AD9</f>
        <v>0.83333333333333337</v>
      </c>
      <c r="C6" s="107">
        <f>'02'!AD9</f>
        <v>0.5</v>
      </c>
      <c r="D6" s="80">
        <f>'03'!AD9</f>
        <v>0.875</v>
      </c>
      <c r="E6" s="80"/>
      <c r="F6" s="80">
        <f>'05'!AD9</f>
        <v>1</v>
      </c>
      <c r="G6" s="80">
        <f>'06'!AD9</f>
        <v>1</v>
      </c>
      <c r="H6" s="80">
        <f>'07'!AD9</f>
        <v>1</v>
      </c>
      <c r="I6" s="80">
        <f>'08'!AD9</f>
        <v>1</v>
      </c>
      <c r="J6" s="80">
        <f>'09'!AD9</f>
        <v>0.875</v>
      </c>
      <c r="K6" s="80"/>
      <c r="L6" s="80"/>
      <c r="M6" s="80">
        <f>'12'!AD9</f>
        <v>1</v>
      </c>
      <c r="N6" s="80">
        <f>'13'!AD9+'13'!AD10</f>
        <v>0.83333333333333326</v>
      </c>
      <c r="O6" s="80">
        <f>'14'!AD9</f>
        <v>0.16666666666666666</v>
      </c>
      <c r="P6" s="80"/>
      <c r="Q6" s="80"/>
      <c r="R6" s="80"/>
      <c r="S6" s="80"/>
      <c r="T6" s="80">
        <f>'19'!AD9</f>
        <v>1</v>
      </c>
      <c r="U6" s="80">
        <f>'20'!AD9</f>
        <v>0</v>
      </c>
      <c r="V6" s="80">
        <f>'21'!AD9</f>
        <v>0.875</v>
      </c>
      <c r="W6" s="80">
        <f>'22'!AD9</f>
        <v>1</v>
      </c>
      <c r="X6" s="80">
        <f>'23'!AD9</f>
        <v>0.625</v>
      </c>
      <c r="Y6" s="80"/>
      <c r="Z6" s="80"/>
      <c r="AA6" s="80">
        <f>'26'!AD9</f>
        <v>0</v>
      </c>
      <c r="AB6" s="80">
        <f>'27'!AD9</f>
        <v>0.25</v>
      </c>
      <c r="AC6" s="80">
        <f>'28'!AD9</f>
        <v>0</v>
      </c>
      <c r="AD6" s="80">
        <f>'29'!AD9</f>
        <v>0.41666666666666669</v>
      </c>
      <c r="AE6" s="80">
        <f>'30'!AD9</f>
        <v>0.875</v>
      </c>
      <c r="AF6" s="81">
        <f>'31'!AD9</f>
        <v>1</v>
      </c>
      <c r="AG6" s="82">
        <f t="shared" si="0"/>
        <v>0.48790322580645162</v>
      </c>
    </row>
    <row r="7" spans="1:33" ht="21.75" customHeight="1">
      <c r="A7" s="112" t="s">
        <v>64</v>
      </c>
      <c r="B7" s="107">
        <f>'01'!AD10</f>
        <v>0.875</v>
      </c>
      <c r="C7" s="107">
        <f>'02'!AD10</f>
        <v>1</v>
      </c>
      <c r="D7" s="80">
        <f>'03'!AD10</f>
        <v>1</v>
      </c>
      <c r="E7" s="80"/>
      <c r="F7" s="80">
        <f>'05'!AD10</f>
        <v>1</v>
      </c>
      <c r="G7" s="80">
        <f>'06'!AD10</f>
        <v>0</v>
      </c>
      <c r="H7" s="80">
        <f>'07'!AD10</f>
        <v>0</v>
      </c>
      <c r="I7" s="80">
        <f>'08'!AD10</f>
        <v>0</v>
      </c>
      <c r="J7" s="80">
        <f>'09'!AD10</f>
        <v>0</v>
      </c>
      <c r="K7" s="80"/>
      <c r="L7" s="80"/>
      <c r="M7" s="80">
        <f>'12'!AD10</f>
        <v>0</v>
      </c>
      <c r="N7" s="80">
        <f>'13'!AD11</f>
        <v>0</v>
      </c>
      <c r="O7" s="80">
        <f>'14'!AD10</f>
        <v>0.33333333333333331</v>
      </c>
      <c r="P7" s="80"/>
      <c r="Q7" s="80"/>
      <c r="R7" s="80"/>
      <c r="S7" s="80"/>
      <c r="T7" s="80">
        <f>'19'!AD10</f>
        <v>0.58333333333333337</v>
      </c>
      <c r="U7" s="80">
        <f>'20'!AD10</f>
        <v>0</v>
      </c>
      <c r="V7" s="80">
        <f>'21'!AD10</f>
        <v>0.20833333333333334</v>
      </c>
      <c r="W7" s="80">
        <f>'22'!AD10</f>
        <v>0.33333333333333331</v>
      </c>
      <c r="X7" s="80">
        <f>'23'!AD10</f>
        <v>0</v>
      </c>
      <c r="Y7" s="80"/>
      <c r="Z7" s="80"/>
      <c r="AA7" s="80">
        <f>'26'!AD10</f>
        <v>0</v>
      </c>
      <c r="AB7" s="80">
        <f>'27'!AD10</f>
        <v>0.66666666666666663</v>
      </c>
      <c r="AC7" s="80">
        <f>'28'!AD10</f>
        <v>0</v>
      </c>
      <c r="AD7" s="80">
        <f>'29'!AD10</f>
        <v>0</v>
      </c>
      <c r="AE7" s="80">
        <f>'30'!AD10</f>
        <v>0.91666666666666663</v>
      </c>
      <c r="AF7" s="81">
        <f>'31'!AD10</f>
        <v>0.875</v>
      </c>
      <c r="AG7" s="82">
        <f t="shared" si="0"/>
        <v>0.25134408602150538</v>
      </c>
    </row>
    <row r="8" spans="1:33" ht="21.75" customHeight="1">
      <c r="A8" s="112" t="s">
        <v>65</v>
      </c>
      <c r="B8" s="107">
        <f>'01'!AD11</f>
        <v>0.54166666666666663</v>
      </c>
      <c r="C8" s="107">
        <f>'02'!AD11</f>
        <v>1</v>
      </c>
      <c r="D8" s="80">
        <f>'03'!AD11</f>
        <v>0.83333333333333337</v>
      </c>
      <c r="E8" s="80"/>
      <c r="F8" s="80">
        <f>'05'!AD11</f>
        <v>0</v>
      </c>
      <c r="G8" s="80">
        <f>'06'!AD11</f>
        <v>0</v>
      </c>
      <c r="H8" s="80">
        <f>'07'!AD11</f>
        <v>0.54166666666666663</v>
      </c>
      <c r="I8" s="80">
        <f>'08'!AD11</f>
        <v>1</v>
      </c>
      <c r="J8" s="80">
        <f>'09'!AD11</f>
        <v>1</v>
      </c>
      <c r="K8" s="80"/>
      <c r="L8" s="80"/>
      <c r="M8" s="80">
        <f>'12'!AD11</f>
        <v>0</v>
      </c>
      <c r="N8" s="80">
        <f>'13'!AD12</f>
        <v>0</v>
      </c>
      <c r="O8" s="80">
        <f>'14'!AD11</f>
        <v>0.16666666666666666</v>
      </c>
      <c r="P8" s="80"/>
      <c r="Q8" s="80"/>
      <c r="R8" s="80"/>
      <c r="S8" s="80"/>
      <c r="T8" s="80">
        <f>'19'!AD11</f>
        <v>0</v>
      </c>
      <c r="U8" s="80">
        <f>'20'!AD11</f>
        <v>0</v>
      </c>
      <c r="V8" s="80">
        <f>'21'!AD11</f>
        <v>0</v>
      </c>
      <c r="W8" s="80">
        <f>'22'!AD11</f>
        <v>0</v>
      </c>
      <c r="X8" s="80">
        <f>'23'!AD11</f>
        <v>0.91666666666666663</v>
      </c>
      <c r="Y8" s="80"/>
      <c r="Z8" s="80"/>
      <c r="AA8" s="80">
        <f>'26'!AD11</f>
        <v>1</v>
      </c>
      <c r="AB8" s="80">
        <f>'27'!AD11</f>
        <v>0.33333333333333331</v>
      </c>
      <c r="AC8" s="80">
        <f>'28'!AD11</f>
        <v>0</v>
      </c>
      <c r="AD8" s="80">
        <f>'29'!AD11</f>
        <v>0.29166666666666669</v>
      </c>
      <c r="AE8" s="80">
        <f>'30'!AD11</f>
        <v>0</v>
      </c>
      <c r="AF8" s="81">
        <f>'31'!AD11</f>
        <v>0</v>
      </c>
      <c r="AG8" s="82">
        <f t="shared" si="0"/>
        <v>0.24596774193548387</v>
      </c>
    </row>
    <row r="9" spans="1:33" ht="21.75" customHeight="1">
      <c r="A9" s="112" t="s">
        <v>66</v>
      </c>
      <c r="B9" s="107">
        <f>'01'!AD12</f>
        <v>0.83333333333333337</v>
      </c>
      <c r="C9" s="107">
        <f>'02'!AD12</f>
        <v>1</v>
      </c>
      <c r="D9" s="80">
        <f>'03'!AD12</f>
        <v>1</v>
      </c>
      <c r="E9" s="80"/>
      <c r="F9" s="80">
        <f>'05'!AD12</f>
        <v>1</v>
      </c>
      <c r="G9" s="80">
        <f>'06'!AD12</f>
        <v>0.79166666666666663</v>
      </c>
      <c r="H9" s="80">
        <f>'07'!AD12</f>
        <v>0.83333333333333337</v>
      </c>
      <c r="I9" s="80">
        <f>'08'!AD12</f>
        <v>1</v>
      </c>
      <c r="J9" s="80">
        <f>'09'!AD12</f>
        <v>0.91666666666666663</v>
      </c>
      <c r="K9" s="80"/>
      <c r="L9" s="80"/>
      <c r="M9" s="80">
        <f>'12'!AD12</f>
        <v>1</v>
      </c>
      <c r="N9" s="80">
        <f>'13'!AD13</f>
        <v>1</v>
      </c>
      <c r="O9" s="80">
        <f>'14'!AD12</f>
        <v>0.125</v>
      </c>
      <c r="P9" s="80"/>
      <c r="Q9" s="80"/>
      <c r="R9" s="80"/>
      <c r="S9" s="80"/>
      <c r="T9" s="80">
        <f>'19'!AD12</f>
        <v>1</v>
      </c>
      <c r="U9" s="80">
        <f>'20'!AD12</f>
        <v>0.58333333333333337</v>
      </c>
      <c r="V9" s="80">
        <f>'21'!AD12</f>
        <v>1</v>
      </c>
      <c r="W9" s="80">
        <f>'22'!AD12</f>
        <v>0.75</v>
      </c>
      <c r="X9" s="80">
        <f>'23'!AD12</f>
        <v>0.95833333333333337</v>
      </c>
      <c r="Y9" s="80"/>
      <c r="Z9" s="80"/>
      <c r="AA9" s="80">
        <f>'26'!AD12</f>
        <v>0.875</v>
      </c>
      <c r="AB9" s="80">
        <f>'27'!AD12</f>
        <v>0.70833333333333337</v>
      </c>
      <c r="AC9" s="80">
        <f>'28'!AD12</f>
        <v>1</v>
      </c>
      <c r="AD9" s="80">
        <f>'29'!AD12</f>
        <v>0</v>
      </c>
      <c r="AE9" s="80">
        <f>'30'!AD12</f>
        <v>0.95833333333333337</v>
      </c>
      <c r="AF9" s="81">
        <f>'31'!AD12</f>
        <v>0.45833333333333331</v>
      </c>
      <c r="AG9" s="82">
        <f t="shared" si="0"/>
        <v>0.57392473118279563</v>
      </c>
    </row>
    <row r="10" spans="1:33" ht="21.75" customHeight="1">
      <c r="A10" s="112" t="s">
        <v>67</v>
      </c>
      <c r="B10" s="107">
        <f>'01'!AD13</f>
        <v>0</v>
      </c>
      <c r="C10" s="107">
        <f>'02'!AD13</f>
        <v>0</v>
      </c>
      <c r="D10" s="80">
        <f>'03'!AD13</f>
        <v>0</v>
      </c>
      <c r="E10" s="80"/>
      <c r="F10" s="80">
        <f>'05'!AD13</f>
        <v>0.79166666666666663</v>
      </c>
      <c r="G10" s="80">
        <f>'06'!AD13</f>
        <v>0.58333333333333337</v>
      </c>
      <c r="H10" s="80">
        <f>'07'!AD13</f>
        <v>0.58333333333333337</v>
      </c>
      <c r="I10" s="80">
        <f>'08'!AD13</f>
        <v>0.41666666666666669</v>
      </c>
      <c r="J10" s="80">
        <f>'09'!AD13</f>
        <v>0</v>
      </c>
      <c r="K10" s="80"/>
      <c r="L10" s="80"/>
      <c r="M10" s="80">
        <f>'12'!AD13</f>
        <v>0.58333333333333337</v>
      </c>
      <c r="N10" s="80">
        <f>'13'!AD14</f>
        <v>0</v>
      </c>
      <c r="O10" s="80">
        <f>'14'!AD13</f>
        <v>0.20833333333333334</v>
      </c>
      <c r="P10" s="80"/>
      <c r="Q10" s="80"/>
      <c r="R10" s="80"/>
      <c r="S10" s="80"/>
      <c r="T10" s="80">
        <f>'19'!AD13+'19'!AD14</f>
        <v>0.70833333333333326</v>
      </c>
      <c r="U10" s="80">
        <f>'20'!AD13</f>
        <v>0.75</v>
      </c>
      <c r="V10" s="80">
        <f>'21'!AD13</f>
        <v>0.54166666666666663</v>
      </c>
      <c r="W10" s="80">
        <f>'22'!AD13</f>
        <v>0.66666666666666663</v>
      </c>
      <c r="X10" s="80">
        <f>'23'!AD13</f>
        <v>0.91666666666666663</v>
      </c>
      <c r="Y10" s="80"/>
      <c r="Z10" s="80"/>
      <c r="AA10" s="80">
        <f>'26'!AD13+'26'!AD14</f>
        <v>0.58333333333333337</v>
      </c>
      <c r="AB10" s="80">
        <f>'27'!AD13</f>
        <v>0.25</v>
      </c>
      <c r="AC10" s="80">
        <f>'28'!AD13</f>
        <v>0</v>
      </c>
      <c r="AD10" s="80">
        <f>'29'!AD13</f>
        <v>0</v>
      </c>
      <c r="AE10" s="80">
        <f>'30'!AD13</f>
        <v>0</v>
      </c>
      <c r="AF10" s="81">
        <f>'31'!AD13</f>
        <v>0</v>
      </c>
      <c r="AG10" s="82">
        <f t="shared" si="0"/>
        <v>0.24462365591397853</v>
      </c>
    </row>
    <row r="11" spans="1:33" ht="21.75" customHeight="1">
      <c r="A11" s="119" t="s">
        <v>68</v>
      </c>
      <c r="B11" s="120">
        <f>'01'!AD14</f>
        <v>0</v>
      </c>
      <c r="C11" s="120">
        <f>'02'!AD14</f>
        <v>0</v>
      </c>
      <c r="D11" s="121">
        <f>'03'!AD14</f>
        <v>0.5</v>
      </c>
      <c r="E11" s="121"/>
      <c r="F11" s="121">
        <f>'05'!AD14</f>
        <v>0</v>
      </c>
      <c r="G11" s="121">
        <f>'06'!AD14</f>
        <v>0</v>
      </c>
      <c r="H11" s="121">
        <f>'07'!AD14</f>
        <v>0</v>
      </c>
      <c r="I11" s="121">
        <f>'08'!AD14</f>
        <v>0</v>
      </c>
      <c r="J11" s="121">
        <f>'09'!AD14</f>
        <v>0</v>
      </c>
      <c r="K11" s="121"/>
      <c r="L11" s="121"/>
      <c r="M11" s="121">
        <f>'12'!AD14</f>
        <v>0</v>
      </c>
      <c r="N11" s="121">
        <f>'13'!AD15</f>
        <v>0</v>
      </c>
      <c r="O11" s="121">
        <f>'14'!AD14</f>
        <v>0</v>
      </c>
      <c r="P11" s="121"/>
      <c r="Q11" s="121"/>
      <c r="R11" s="121"/>
      <c r="S11" s="121"/>
      <c r="T11" s="121">
        <f>'19'!AD15</f>
        <v>0</v>
      </c>
      <c r="U11" s="121">
        <f>'20'!AD14</f>
        <v>0</v>
      </c>
      <c r="V11" s="121">
        <f>'21'!AD14</f>
        <v>0.33333333333333331</v>
      </c>
      <c r="W11" s="121">
        <f>'22'!AD14</f>
        <v>0.375</v>
      </c>
      <c r="X11" s="121">
        <f>'23'!AD14</f>
        <v>0.45833333333333331</v>
      </c>
      <c r="Y11" s="121"/>
      <c r="Z11" s="121"/>
      <c r="AA11" s="121">
        <f>'26'!AD15</f>
        <v>0</v>
      </c>
      <c r="AB11" s="121">
        <f>'27'!AD14</f>
        <v>0</v>
      </c>
      <c r="AC11" s="121">
        <f>'28'!AD14</f>
        <v>0</v>
      </c>
      <c r="AD11" s="121">
        <f>'29'!AD14</f>
        <v>0</v>
      </c>
      <c r="AE11" s="121">
        <f>'30'!AD14</f>
        <v>0</v>
      </c>
      <c r="AF11" s="122">
        <f>'31'!AD14</f>
        <v>0.58333333333333337</v>
      </c>
      <c r="AG11" s="123">
        <f t="shared" si="0"/>
        <v>7.2580645161290328E-2</v>
      </c>
    </row>
    <row r="12" spans="1:33" ht="21.75" customHeight="1">
      <c r="A12" s="111" t="s">
        <v>69</v>
      </c>
      <c r="B12" s="106">
        <f>'01'!AD15</f>
        <v>0</v>
      </c>
      <c r="C12" s="106">
        <f>'02'!AD15</f>
        <v>0</v>
      </c>
      <c r="D12" s="77">
        <f>'03'!AD15</f>
        <v>0</v>
      </c>
      <c r="E12" s="77"/>
      <c r="F12" s="77">
        <f>'05'!AD15</f>
        <v>0</v>
      </c>
      <c r="G12" s="77">
        <f>'06'!AD15</f>
        <v>0</v>
      </c>
      <c r="H12" s="77">
        <f>'07'!AD15</f>
        <v>0.16666666666666666</v>
      </c>
      <c r="I12" s="77">
        <f>'08'!AD15</f>
        <v>0</v>
      </c>
      <c r="J12" s="77">
        <f>'09'!AD15</f>
        <v>0</v>
      </c>
      <c r="K12" s="77"/>
      <c r="L12" s="77"/>
      <c r="M12" s="77">
        <f>'12'!AD15</f>
        <v>0.625</v>
      </c>
      <c r="N12" s="77">
        <f>'13'!AD16</f>
        <v>0.83333333333333337</v>
      </c>
      <c r="O12" s="77">
        <f>'14'!AD15</f>
        <v>0</v>
      </c>
      <c r="P12" s="77"/>
      <c r="Q12" s="77"/>
      <c r="R12" s="77"/>
      <c r="S12" s="77"/>
      <c r="T12" s="77">
        <f>'19'!AD16</f>
        <v>0</v>
      </c>
      <c r="U12" s="77">
        <f>'20'!AD15</f>
        <v>0</v>
      </c>
      <c r="V12" s="77">
        <f>'21'!AD15</f>
        <v>0.91666666666666663</v>
      </c>
      <c r="W12" s="77">
        <f>'22'!AD15</f>
        <v>0</v>
      </c>
      <c r="X12" s="77">
        <f>'23'!AD15</f>
        <v>0</v>
      </c>
      <c r="Y12" s="77"/>
      <c r="Z12" s="77"/>
      <c r="AA12" s="77">
        <f>'26'!AD16</f>
        <v>0.5</v>
      </c>
      <c r="AB12" s="77">
        <f>'27'!AD15</f>
        <v>0.16666666666666666</v>
      </c>
      <c r="AC12" s="77">
        <f>'28'!AD15</f>
        <v>0</v>
      </c>
      <c r="AD12" s="77">
        <f>'29'!AD15</f>
        <v>0</v>
      </c>
      <c r="AE12" s="77">
        <f>'30'!AD15</f>
        <v>0</v>
      </c>
      <c r="AF12" s="78">
        <f>'31'!AD15</f>
        <v>0</v>
      </c>
      <c r="AG12" s="79">
        <f t="shared" si="0"/>
        <v>0.10349462365591397</v>
      </c>
    </row>
    <row r="13" spans="1:33" ht="21.75" customHeight="1">
      <c r="A13" s="111" t="s">
        <v>70</v>
      </c>
      <c r="B13" s="106">
        <f>'01'!AD16</f>
        <v>0.875</v>
      </c>
      <c r="C13" s="106">
        <f>'02'!AD16</f>
        <v>0.91666666666666663</v>
      </c>
      <c r="D13" s="77">
        <f>'03'!AD16</f>
        <v>0.83333333333333337</v>
      </c>
      <c r="E13" s="77"/>
      <c r="F13" s="77">
        <f>'05'!AD16</f>
        <v>0.58333333333333337</v>
      </c>
      <c r="G13" s="77">
        <f>'06'!AD16</f>
        <v>1</v>
      </c>
      <c r="H13" s="77">
        <f>'07'!AD16</f>
        <v>1</v>
      </c>
      <c r="I13" s="77">
        <f>'08'!AD16</f>
        <v>1</v>
      </c>
      <c r="J13" s="77">
        <f>'09'!AD16</f>
        <v>1</v>
      </c>
      <c r="K13" s="77"/>
      <c r="L13" s="77"/>
      <c r="M13" s="77">
        <f>'12'!AD16</f>
        <v>0</v>
      </c>
      <c r="N13" s="77">
        <f>'13'!AD17</f>
        <v>0</v>
      </c>
      <c r="O13" s="77">
        <f>'14'!AD16</f>
        <v>0</v>
      </c>
      <c r="P13" s="77"/>
      <c r="Q13" s="77"/>
      <c r="R13" s="77"/>
      <c r="S13" s="77"/>
      <c r="T13" s="77">
        <f>'19'!AD17</f>
        <v>0</v>
      </c>
      <c r="U13" s="77">
        <f>'20'!AD16</f>
        <v>0</v>
      </c>
      <c r="V13" s="77">
        <f>'21'!AD16</f>
        <v>0</v>
      </c>
      <c r="W13" s="77">
        <f>'22'!AD16</f>
        <v>0</v>
      </c>
      <c r="X13" s="77">
        <f>'23'!AD16</f>
        <v>0</v>
      </c>
      <c r="Y13" s="77"/>
      <c r="Z13" s="77"/>
      <c r="AA13" s="77">
        <f>'26'!AD17</f>
        <v>0</v>
      </c>
      <c r="AB13" s="77">
        <f>'27'!AD16</f>
        <v>0</v>
      </c>
      <c r="AC13" s="77">
        <f>'28'!AD16</f>
        <v>0</v>
      </c>
      <c r="AD13" s="77">
        <f>'29'!AD16</f>
        <v>0</v>
      </c>
      <c r="AE13" s="77">
        <f>'30'!AD16</f>
        <v>0</v>
      </c>
      <c r="AF13" s="78">
        <f>'31'!AD16</f>
        <v>0</v>
      </c>
      <c r="AG13" s="79">
        <f t="shared" si="0"/>
        <v>0.23252688172043012</v>
      </c>
    </row>
    <row r="14" spans="1:33" ht="21.75" customHeight="1">
      <c r="A14" s="111" t="s">
        <v>71</v>
      </c>
      <c r="B14" s="106">
        <f>'01'!AD17</f>
        <v>0.41666666666666669</v>
      </c>
      <c r="C14" s="106">
        <f>'02'!AD17</f>
        <v>0.16666666666666666</v>
      </c>
      <c r="D14" s="77">
        <f>'03'!AD17</f>
        <v>0</v>
      </c>
      <c r="E14" s="77"/>
      <c r="F14" s="77">
        <f>'05'!AD17</f>
        <v>0.29166666666666669</v>
      </c>
      <c r="G14" s="77">
        <f>'06'!AD17+'06'!AD18</f>
        <v>0.29166666666666663</v>
      </c>
      <c r="H14" s="77">
        <f>'07'!AD17+'07'!AD18</f>
        <v>0.91666666666666663</v>
      </c>
      <c r="I14" s="77">
        <f>'08'!AD17</f>
        <v>0</v>
      </c>
      <c r="J14" s="77">
        <f>'09'!AD17</f>
        <v>0.25</v>
      </c>
      <c r="K14" s="77"/>
      <c r="L14" s="77"/>
      <c r="M14" s="77">
        <f>'12'!AD17</f>
        <v>0.875</v>
      </c>
      <c r="N14" s="77">
        <f>'13'!AD18</f>
        <v>0.45833333333333331</v>
      </c>
      <c r="O14" s="77">
        <f>'14'!AD17</f>
        <v>0.16666666666666666</v>
      </c>
      <c r="P14" s="77"/>
      <c r="Q14" s="77"/>
      <c r="R14" s="77"/>
      <c r="S14" s="77"/>
      <c r="T14" s="77">
        <f>'19'!AD18</f>
        <v>0</v>
      </c>
      <c r="U14" s="77">
        <f>'20'!AD17</f>
        <v>0</v>
      </c>
      <c r="V14" s="77">
        <f>'21'!AD17</f>
        <v>0</v>
      </c>
      <c r="W14" s="77">
        <f>'22'!AD17</f>
        <v>1</v>
      </c>
      <c r="X14" s="77">
        <f>'23'!AD17</f>
        <v>0.58333333333333337</v>
      </c>
      <c r="Y14" s="77"/>
      <c r="Z14" s="77"/>
      <c r="AA14" s="77">
        <f>'26'!AD18</f>
        <v>0.33333333333333331</v>
      </c>
      <c r="AB14" s="77">
        <f>'27'!AD17</f>
        <v>1</v>
      </c>
      <c r="AC14" s="77">
        <f>'28'!AD17</f>
        <v>0.58333333333333337</v>
      </c>
      <c r="AD14" s="77">
        <f>'29'!AD17</f>
        <v>0.58333333333333337</v>
      </c>
      <c r="AE14" s="77">
        <f>'30'!AD17</f>
        <v>0.125</v>
      </c>
      <c r="AF14" s="78">
        <f>'31'!AD17</f>
        <v>0.41666666666666669</v>
      </c>
      <c r="AG14" s="79">
        <f t="shared" si="0"/>
        <v>0.27284946236559132</v>
      </c>
    </row>
    <row r="15" spans="1:33" ht="21.75" customHeight="1">
      <c r="A15" s="112" t="s">
        <v>72</v>
      </c>
      <c r="B15" s="107">
        <f>'01'!AD18</f>
        <v>0.75</v>
      </c>
      <c r="C15" s="107">
        <f>'02'!AD18</f>
        <v>1</v>
      </c>
      <c r="D15" s="80">
        <f>'03'!AD18</f>
        <v>1</v>
      </c>
      <c r="E15" s="80"/>
      <c r="F15" s="80">
        <f>'05'!AD18</f>
        <v>0</v>
      </c>
      <c r="G15" s="80">
        <f>'06'!AD19</f>
        <v>0.79166666666666663</v>
      </c>
      <c r="H15" s="80">
        <f>'07'!AD19</f>
        <v>1</v>
      </c>
      <c r="I15" s="80">
        <f>'08'!AD18</f>
        <v>1</v>
      </c>
      <c r="J15" s="80">
        <f>'09'!AD18</f>
        <v>0.75</v>
      </c>
      <c r="K15" s="80"/>
      <c r="L15" s="80"/>
      <c r="M15" s="80">
        <f>'12'!AD18+'12'!AD19+'12'!AD20</f>
        <v>0.45833333333333331</v>
      </c>
      <c r="N15" s="80">
        <f>'13'!AD19</f>
        <v>0.41666666666666669</v>
      </c>
      <c r="O15" s="80">
        <f>'14'!AD18</f>
        <v>0.29166666666666669</v>
      </c>
      <c r="P15" s="80"/>
      <c r="Q15" s="80"/>
      <c r="R15" s="80"/>
      <c r="S15" s="80"/>
      <c r="T15" s="80">
        <f>'19'!AD19</f>
        <v>0.41666666666666669</v>
      </c>
      <c r="U15" s="80">
        <f>'20'!AD18</f>
        <v>0.33333333333333331</v>
      </c>
      <c r="V15" s="80">
        <f>'21'!AD18</f>
        <v>0.33333333333333331</v>
      </c>
      <c r="W15" s="80">
        <f>'22'!AD18</f>
        <v>0</v>
      </c>
      <c r="X15" s="80">
        <f>'23'!AD18</f>
        <v>0.70833333333333337</v>
      </c>
      <c r="Y15" s="80"/>
      <c r="Z15" s="80"/>
      <c r="AA15" s="80">
        <f>'26'!AD19</f>
        <v>1</v>
      </c>
      <c r="AB15" s="80">
        <f>'27'!AD18</f>
        <v>0.83333333333333337</v>
      </c>
      <c r="AC15" s="80">
        <f>'28'!AD18</f>
        <v>1</v>
      </c>
      <c r="AD15" s="80">
        <f>'29'!AD18</f>
        <v>1</v>
      </c>
      <c r="AE15" s="80">
        <f>'30'!AD18</f>
        <v>1</v>
      </c>
      <c r="AF15" s="81">
        <f>'31'!AD18</f>
        <v>1</v>
      </c>
      <c r="AG15" s="82">
        <f t="shared" si="0"/>
        <v>0.4865591397849463</v>
      </c>
    </row>
    <row r="16" spans="1:33" ht="21.75" customHeight="1">
      <c r="A16" s="112" t="s">
        <v>73</v>
      </c>
      <c r="B16" s="107">
        <f>'01'!AD19</f>
        <v>0.5</v>
      </c>
      <c r="C16" s="107">
        <f>'02'!AD19</f>
        <v>0.29166666666666669</v>
      </c>
      <c r="D16" s="80">
        <f>'03'!AD19</f>
        <v>0</v>
      </c>
      <c r="E16" s="80"/>
      <c r="F16" s="80">
        <f>'05'!AD19</f>
        <v>1</v>
      </c>
      <c r="G16" s="80">
        <f>'06'!AD20</f>
        <v>1</v>
      </c>
      <c r="H16" s="80">
        <f>'07'!AD20</f>
        <v>1</v>
      </c>
      <c r="I16" s="80">
        <f>'08'!AD19</f>
        <v>0.79166666666666663</v>
      </c>
      <c r="J16" s="80">
        <f>'09'!AD19</f>
        <v>1</v>
      </c>
      <c r="K16" s="80"/>
      <c r="L16" s="80"/>
      <c r="M16" s="80">
        <f>'12'!AD21</f>
        <v>1</v>
      </c>
      <c r="N16" s="80">
        <f>'13'!AD20</f>
        <v>0</v>
      </c>
      <c r="O16" s="80">
        <f>'14'!AD19</f>
        <v>0.16666666666666666</v>
      </c>
      <c r="P16" s="80"/>
      <c r="Q16" s="80"/>
      <c r="R16" s="80"/>
      <c r="S16" s="80"/>
      <c r="T16" s="80">
        <f>'19'!AD20</f>
        <v>0.5</v>
      </c>
      <c r="U16" s="80">
        <f>'20'!AD19</f>
        <v>0.83333333333333337</v>
      </c>
      <c r="V16" s="80">
        <f>'21'!AD19</f>
        <v>1</v>
      </c>
      <c r="W16" s="80">
        <f>'22'!AD19</f>
        <v>0.625</v>
      </c>
      <c r="X16" s="80">
        <f>'23'!AD19</f>
        <v>0.875</v>
      </c>
      <c r="Y16" s="80"/>
      <c r="Z16" s="80"/>
      <c r="AA16" s="80">
        <f>'26'!AD20</f>
        <v>0.83333333333333337</v>
      </c>
      <c r="AB16" s="80">
        <f>'27'!AD19</f>
        <v>1</v>
      </c>
      <c r="AC16" s="80">
        <f>'28'!AD19</f>
        <v>1</v>
      </c>
      <c r="AD16" s="80">
        <f>'29'!AD19</f>
        <v>1</v>
      </c>
      <c r="AE16" s="80">
        <f>'30'!AD19</f>
        <v>0.8577616077616077</v>
      </c>
      <c r="AF16" s="81">
        <f>'31'!AD19</f>
        <v>1</v>
      </c>
      <c r="AG16" s="82">
        <f t="shared" si="0"/>
        <v>0.5249815572396217</v>
      </c>
    </row>
    <row r="17" spans="1:33" ht="21.75" customHeight="1" thickBot="1">
      <c r="A17" s="113" t="s">
        <v>111</v>
      </c>
      <c r="B17" s="108">
        <f>'01'!AD20</f>
        <v>0.33333333333333331</v>
      </c>
      <c r="C17" s="108">
        <f>'02'!AD20</f>
        <v>0.58333333333333337</v>
      </c>
      <c r="D17" s="83">
        <f>'03'!AD20</f>
        <v>0.41666666666666669</v>
      </c>
      <c r="E17" s="83"/>
      <c r="F17" s="83">
        <f>'05'!AD20</f>
        <v>0.41666666666666669</v>
      </c>
      <c r="G17" s="83">
        <f>'06'!AD21</f>
        <v>1</v>
      </c>
      <c r="H17" s="83">
        <f>'07'!AD21</f>
        <v>1</v>
      </c>
      <c r="I17" s="83">
        <f>'08'!AD20</f>
        <v>1</v>
      </c>
      <c r="J17" s="83">
        <f>'09'!AD20</f>
        <v>0</v>
      </c>
      <c r="K17" s="83"/>
      <c r="L17" s="83"/>
      <c r="M17" s="83">
        <f>'12'!AD22</f>
        <v>0.54166666666666663</v>
      </c>
      <c r="N17" s="83">
        <f>'13'!AD21</f>
        <v>0.54166666666666663</v>
      </c>
      <c r="O17" s="83">
        <f>'14'!AD20+'14'!AD21</f>
        <v>0.875</v>
      </c>
      <c r="P17" s="83"/>
      <c r="Q17" s="83"/>
      <c r="R17" s="83"/>
      <c r="S17" s="83"/>
      <c r="T17" s="83">
        <f>'19'!AD21</f>
        <v>1</v>
      </c>
      <c r="U17" s="83">
        <f>'20'!AD20</f>
        <v>1</v>
      </c>
      <c r="V17" s="83">
        <f>'21'!AD20</f>
        <v>1</v>
      </c>
      <c r="W17" s="83">
        <f>'22'!AD20</f>
        <v>1</v>
      </c>
      <c r="X17" s="83">
        <f>'23'!AD20</f>
        <v>1</v>
      </c>
      <c r="Y17" s="83"/>
      <c r="Z17" s="83"/>
      <c r="AA17" s="83">
        <f>'26'!AD21</f>
        <v>1</v>
      </c>
      <c r="AB17" s="83">
        <f>'27'!AD20</f>
        <v>1</v>
      </c>
      <c r="AC17" s="83">
        <f>'28'!AD20</f>
        <v>1</v>
      </c>
      <c r="AD17" s="83">
        <f>'29'!AD20</f>
        <v>1</v>
      </c>
      <c r="AE17" s="83">
        <f>'30'!AD20</f>
        <v>1</v>
      </c>
      <c r="AF17" s="84">
        <f>'31'!AD20</f>
        <v>0</v>
      </c>
      <c r="AG17" s="85">
        <f t="shared" si="0"/>
        <v>0.53897849462365599</v>
      </c>
    </row>
    <row r="18" spans="1:33" s="86" customFormat="1" ht="21.75" customHeight="1">
      <c r="A18" s="90" t="s">
        <v>105</v>
      </c>
      <c r="B18" s="94">
        <f>'01'!AD21</f>
        <v>0.46388888888888885</v>
      </c>
      <c r="C18" s="94">
        <f>'02'!AD21</f>
        <v>0.48333333333333334</v>
      </c>
      <c r="D18" s="95">
        <f>'03'!AD21</f>
        <v>0.49166666666666664</v>
      </c>
      <c r="E18" s="95"/>
      <c r="F18" s="95">
        <f>'05'!AD21</f>
        <v>0.46666666666666667</v>
      </c>
      <c r="G18" s="95">
        <f>'06'!AD22</f>
        <v>0.49166666666666664</v>
      </c>
      <c r="H18" s="95">
        <f>'07'!AD22</f>
        <v>0.59722222222222221</v>
      </c>
      <c r="I18" s="95">
        <f>'08'!AD21</f>
        <v>0.49722222222222218</v>
      </c>
      <c r="J18" s="95">
        <f>'09'!AD21</f>
        <v>0.38611111111111107</v>
      </c>
      <c r="K18" s="95"/>
      <c r="L18" s="95"/>
      <c r="M18" s="95">
        <f>'12'!AD23</f>
        <v>0.40555555555555567</v>
      </c>
      <c r="N18" s="95">
        <f>'13'!AD22</f>
        <v>0.2722222222222222</v>
      </c>
      <c r="O18" s="95">
        <f>'14'!AD22</f>
        <v>0.16666666666666666</v>
      </c>
      <c r="P18" s="95"/>
      <c r="Q18" s="95"/>
      <c r="R18" s="95"/>
      <c r="S18" s="95"/>
      <c r="T18" s="95">
        <f>'19'!AD22</f>
        <v>0.34722222222222221</v>
      </c>
      <c r="U18" s="95">
        <f>'20'!AD21</f>
        <v>0.23333333333333334</v>
      </c>
      <c r="V18" s="95">
        <f>'21'!AD21</f>
        <v>0.45277777777777778</v>
      </c>
      <c r="W18" s="95">
        <f>'22'!AD21</f>
        <v>0.44444444444444442</v>
      </c>
      <c r="X18" s="95">
        <f>'23'!AD21</f>
        <v>0.51944444444444438</v>
      </c>
      <c r="Y18" s="95"/>
      <c r="Z18" s="95"/>
      <c r="AA18" s="95">
        <f>'26'!AD22</f>
        <v>0.40833333333333327</v>
      </c>
      <c r="AB18" s="95">
        <f>'27'!AD21</f>
        <v>0.46385126661650361</v>
      </c>
      <c r="AC18" s="95">
        <f>'28'!AD21</f>
        <v>0.37222222222222229</v>
      </c>
      <c r="AD18" s="95">
        <f>'29'!AD21</f>
        <v>0.33333333333333331</v>
      </c>
      <c r="AE18" s="95">
        <f>'30'!AD21</f>
        <v>0.44607299607299616</v>
      </c>
      <c r="AF18" s="96">
        <f>'31'!AD21</f>
        <v>0.40555555555555561</v>
      </c>
      <c r="AG18" s="99">
        <f t="shared" si="0"/>
        <v>0.29512300488962545</v>
      </c>
    </row>
    <row r="19" spans="1:33" ht="21.75" customHeight="1" thickBot="1">
      <c r="A19" s="69" t="s">
        <v>109</v>
      </c>
      <c r="B19" s="70">
        <v>0.7</v>
      </c>
      <c r="C19" s="71">
        <v>0.7</v>
      </c>
      <c r="D19" s="71">
        <v>0.7</v>
      </c>
      <c r="E19" s="71">
        <v>0.7</v>
      </c>
      <c r="F19" s="71">
        <v>0.7</v>
      </c>
      <c r="G19" s="71">
        <v>0.7</v>
      </c>
      <c r="H19" s="71">
        <v>0.7</v>
      </c>
      <c r="I19" s="71">
        <v>0.7</v>
      </c>
      <c r="J19" s="71">
        <v>0.7</v>
      </c>
      <c r="K19" s="71">
        <v>0.7</v>
      </c>
      <c r="L19" s="71">
        <v>0.7</v>
      </c>
      <c r="M19" s="71">
        <v>0.7</v>
      </c>
      <c r="N19" s="71">
        <v>0.7</v>
      </c>
      <c r="O19" s="71">
        <v>0.7</v>
      </c>
      <c r="P19" s="71">
        <v>0.7</v>
      </c>
      <c r="Q19" s="71">
        <v>0.7</v>
      </c>
      <c r="R19" s="71">
        <v>0.7</v>
      </c>
      <c r="S19" s="71">
        <v>0.7</v>
      </c>
      <c r="T19" s="71">
        <v>0.7</v>
      </c>
      <c r="U19" s="71">
        <v>0.7</v>
      </c>
      <c r="V19" s="71">
        <v>0.7</v>
      </c>
      <c r="W19" s="71">
        <v>0.7</v>
      </c>
      <c r="X19" s="71">
        <v>0.7</v>
      </c>
      <c r="Y19" s="71">
        <v>0.7</v>
      </c>
      <c r="Z19" s="71">
        <v>0.7</v>
      </c>
      <c r="AA19" s="71">
        <v>0.7</v>
      </c>
      <c r="AB19" s="71">
        <v>0.7</v>
      </c>
      <c r="AC19" s="71">
        <v>0.7</v>
      </c>
      <c r="AD19" s="71">
        <v>0.7</v>
      </c>
      <c r="AE19" s="71">
        <v>0.7</v>
      </c>
      <c r="AF19" s="72">
        <v>0.7</v>
      </c>
      <c r="AG19" s="73">
        <v>0.7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1647-EA8E-4B49-8352-BF6534125C44}">
  <sheetPr codeName="Sheet10"/>
  <dimension ref="A1:AF88"/>
  <sheetViews>
    <sheetView zoomScale="72" zoomScaleNormal="72" zoomScaleSheetLayoutView="70" workbookViewId="0">
      <selection activeCell="A85" sqref="A85:B85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349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206" t="s">
        <v>17</v>
      </c>
      <c r="L5" s="206" t="s">
        <v>18</v>
      </c>
      <c r="M5" s="206" t="s">
        <v>19</v>
      </c>
      <c r="N5" s="20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2" si="1">L6-N6</f>
        <v>0</v>
      </c>
      <c r="N6" s="15">
        <v>0</v>
      </c>
      <c r="O6" s="58" t="str">
        <f t="shared" ref="O6:O23" si="2">IF(L6=0,"0",N6/L6)</f>
        <v>0</v>
      </c>
      <c r="P6" s="39" t="str">
        <f t="shared" ref="P6:P22" si="3">IF(L6=0,"0",(24-Q6))</f>
        <v>0</v>
      </c>
      <c r="Q6" s="40">
        <f t="shared" ref="Q6:Q22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2" si="5">IF(J6=0,"0",(L6/J6))</f>
        <v>0</v>
      </c>
      <c r="AC6" s="9">
        <f t="shared" ref="AC6:AC22" si="6">IF(P6=0,"0",(P6/24))</f>
        <v>0</v>
      </c>
      <c r="AD6" s="10">
        <f t="shared" ref="AD6:AD22" si="7">AC6*AB6*(1-O6)</f>
        <v>0</v>
      </c>
      <c r="AE6" s="36">
        <f t="shared" ref="AE6:AE22" si="8">$AD$23</f>
        <v>0.40555555555555567</v>
      </c>
      <c r="AF6" s="87">
        <f t="shared" ref="AF6:AF22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0.40555555555555567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15000</v>
      </c>
      <c r="J8" s="14">
        <v>1236</v>
      </c>
      <c r="K8" s="15">
        <f>L8+3610+4566+4051+4702+4613+1236</f>
        <v>22778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0.40555555555555567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122</v>
      </c>
      <c r="E9" s="53" t="s">
        <v>322</v>
      </c>
      <c r="F9" s="30" t="s">
        <v>131</v>
      </c>
      <c r="G9" s="33">
        <v>1</v>
      </c>
      <c r="H9" s="35">
        <v>24</v>
      </c>
      <c r="I9" s="7">
        <v>8000</v>
      </c>
      <c r="J9" s="14">
        <v>4599</v>
      </c>
      <c r="K9" s="15">
        <f>L9+4525</f>
        <v>9124</v>
      </c>
      <c r="L9" s="15">
        <f>2264+2335</f>
        <v>4599</v>
      </c>
      <c r="M9" s="15">
        <f t="shared" si="1"/>
        <v>4599</v>
      </c>
      <c r="N9" s="15">
        <v>0</v>
      </c>
      <c r="O9" s="58">
        <f t="shared" si="2"/>
        <v>0</v>
      </c>
      <c r="P9" s="39">
        <f t="shared" si="3"/>
        <v>24</v>
      </c>
      <c r="Q9" s="40">
        <f t="shared" si="4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1</v>
      </c>
      <c r="AD9" s="10">
        <f t="shared" si="7"/>
        <v>1</v>
      </c>
      <c r="AE9" s="36">
        <f t="shared" si="8"/>
        <v>0.40555555555555567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142</v>
      </c>
      <c r="D10" s="52" t="s">
        <v>152</v>
      </c>
      <c r="E10" s="53" t="s">
        <v>150</v>
      </c>
      <c r="F10" s="30" t="s">
        <v>121</v>
      </c>
      <c r="G10" s="33">
        <v>2</v>
      </c>
      <c r="H10" s="35">
        <v>24</v>
      </c>
      <c r="I10" s="7">
        <v>90000</v>
      </c>
      <c r="J10" s="5">
        <v>14620</v>
      </c>
      <c r="K10" s="15">
        <f>L10+1714+13656+15988+16420+5830+12022+8590+10992+16158+15754+14620</f>
        <v>131744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0.40555555555555567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124</v>
      </c>
      <c r="D11" s="52" t="s">
        <v>299</v>
      </c>
      <c r="E11" s="53" t="s">
        <v>300</v>
      </c>
      <c r="F11" s="30" t="s">
        <v>131</v>
      </c>
      <c r="G11" s="33">
        <v>1</v>
      </c>
      <c r="H11" s="35">
        <v>20</v>
      </c>
      <c r="I11" s="7">
        <v>5000</v>
      </c>
      <c r="J11" s="14">
        <v>5453</v>
      </c>
      <c r="K11" s="15">
        <f>L11+2380+5658+5453</f>
        <v>13491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ref="AD11" si="10">AC11*AB11*(1-O11)</f>
        <v>0</v>
      </c>
      <c r="AE11" s="36">
        <f t="shared" si="8"/>
        <v>0.40555555555555567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158</v>
      </c>
      <c r="F12" s="30" t="s">
        <v>132</v>
      </c>
      <c r="G12" s="33">
        <v>1</v>
      </c>
      <c r="H12" s="35">
        <v>20</v>
      </c>
      <c r="I12" s="7">
        <v>50000</v>
      </c>
      <c r="J12" s="14">
        <v>4551</v>
      </c>
      <c r="K12" s="15">
        <f>L12</f>
        <v>4551</v>
      </c>
      <c r="L12" s="15">
        <f>2465+2086</f>
        <v>4551</v>
      </c>
      <c r="M12" s="15">
        <f t="shared" si="1"/>
        <v>4551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si="7"/>
        <v>1</v>
      </c>
      <c r="AE12" s="36">
        <f t="shared" si="8"/>
        <v>0.40555555555555567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140</v>
      </c>
      <c r="D13" s="52" t="s">
        <v>117</v>
      </c>
      <c r="E13" s="53" t="s">
        <v>340</v>
      </c>
      <c r="F13" s="30" t="s">
        <v>216</v>
      </c>
      <c r="G13" s="33">
        <v>2</v>
      </c>
      <c r="H13" s="35">
        <v>24</v>
      </c>
      <c r="I13" s="7">
        <v>10000</v>
      </c>
      <c r="J13" s="14">
        <v>4828</v>
      </c>
      <c r="K13" s="15">
        <f>L13</f>
        <v>4828</v>
      </c>
      <c r="L13" s="15">
        <f>1808*2+606*2</f>
        <v>4828</v>
      </c>
      <c r="M13" s="15">
        <f t="shared" si="1"/>
        <v>4828</v>
      </c>
      <c r="N13" s="15">
        <v>0</v>
      </c>
      <c r="O13" s="58">
        <f t="shared" si="2"/>
        <v>0</v>
      </c>
      <c r="P13" s="39">
        <f t="shared" si="3"/>
        <v>14</v>
      </c>
      <c r="Q13" s="40">
        <f t="shared" si="4"/>
        <v>10</v>
      </c>
      <c r="R13" s="7"/>
      <c r="S13" s="6">
        <v>10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0.58333333333333337</v>
      </c>
      <c r="AD13" s="10">
        <f t="shared" si="7"/>
        <v>0.58333333333333337</v>
      </c>
      <c r="AE13" s="36">
        <f t="shared" si="8"/>
        <v>0.40555555555555567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140</v>
      </c>
      <c r="D14" s="52" t="s">
        <v>223</v>
      </c>
      <c r="E14" s="53" t="s">
        <v>224</v>
      </c>
      <c r="F14" s="30" t="s">
        <v>216</v>
      </c>
      <c r="G14" s="12">
        <v>1</v>
      </c>
      <c r="H14" s="13">
        <v>28</v>
      </c>
      <c r="I14" s="7">
        <v>1000</v>
      </c>
      <c r="J14" s="5">
        <v>1620</v>
      </c>
      <c r="K14" s="15">
        <f>L14+1620</f>
        <v>1620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0.40555555555555567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140</v>
      </c>
      <c r="D15" s="52" t="s">
        <v>129</v>
      </c>
      <c r="E15" s="53" t="s">
        <v>331</v>
      </c>
      <c r="F15" s="12" t="s">
        <v>332</v>
      </c>
      <c r="G15" s="12">
        <v>2</v>
      </c>
      <c r="H15" s="13">
        <v>24</v>
      </c>
      <c r="I15" s="31">
        <v>10000</v>
      </c>
      <c r="J15" s="14">
        <v>4862</v>
      </c>
      <c r="K15" s="15">
        <f>L15</f>
        <v>4862</v>
      </c>
      <c r="L15" s="15">
        <f>1858*2+573*2</f>
        <v>4862</v>
      </c>
      <c r="M15" s="15">
        <f t="shared" si="1"/>
        <v>4862</v>
      </c>
      <c r="N15" s="15">
        <v>0</v>
      </c>
      <c r="O15" s="58">
        <f t="shared" si="2"/>
        <v>0</v>
      </c>
      <c r="P15" s="39">
        <f t="shared" si="3"/>
        <v>15</v>
      </c>
      <c r="Q15" s="40">
        <f t="shared" si="4"/>
        <v>9</v>
      </c>
      <c r="R15" s="7">
        <v>6</v>
      </c>
      <c r="S15" s="6">
        <v>3</v>
      </c>
      <c r="T15" s="16"/>
      <c r="U15" s="16"/>
      <c r="V15" s="17"/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0.625</v>
      </c>
      <c r="AD15" s="10">
        <f t="shared" si="7"/>
        <v>0.625</v>
      </c>
      <c r="AE15" s="36">
        <f t="shared" si="8"/>
        <v>0.40555555555555567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129</v>
      </c>
      <c r="E16" s="53" t="s">
        <v>259</v>
      </c>
      <c r="F16" s="30" t="s">
        <v>130</v>
      </c>
      <c r="G16" s="12">
        <v>1</v>
      </c>
      <c r="H16" s="13">
        <v>28</v>
      </c>
      <c r="I16" s="7">
        <v>9000</v>
      </c>
      <c r="J16" s="14">
        <v>4928</v>
      </c>
      <c r="K16" s="15">
        <f>L16+5027+5503+5566+4928</f>
        <v>21024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0.40555555555555567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140</v>
      </c>
      <c r="D17" s="52" t="s">
        <v>221</v>
      </c>
      <c r="E17" s="53" t="s">
        <v>343</v>
      </c>
      <c r="F17" s="30" t="s">
        <v>332</v>
      </c>
      <c r="G17" s="33">
        <v>2</v>
      </c>
      <c r="H17" s="35">
        <v>20</v>
      </c>
      <c r="I17" s="7">
        <v>10000</v>
      </c>
      <c r="J17" s="14">
        <v>7044</v>
      </c>
      <c r="K17" s="15">
        <f>L17</f>
        <v>7044</v>
      </c>
      <c r="L17" s="15">
        <f>300*2+3222*2</f>
        <v>7044</v>
      </c>
      <c r="M17" s="15">
        <f t="shared" si="1"/>
        <v>7044</v>
      </c>
      <c r="N17" s="15">
        <v>0</v>
      </c>
      <c r="O17" s="58">
        <f t="shared" si="2"/>
        <v>0</v>
      </c>
      <c r="P17" s="39">
        <f t="shared" si="3"/>
        <v>21</v>
      </c>
      <c r="Q17" s="40">
        <f t="shared" si="4"/>
        <v>3</v>
      </c>
      <c r="R17" s="7"/>
      <c r="S17" s="6"/>
      <c r="T17" s="16"/>
      <c r="U17" s="16"/>
      <c r="V17" s="17">
        <v>3</v>
      </c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0.875</v>
      </c>
      <c r="AD17" s="10">
        <f t="shared" si="7"/>
        <v>0.875</v>
      </c>
      <c r="AE17" s="36">
        <f t="shared" si="8"/>
        <v>0.40555555555555567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323</v>
      </c>
      <c r="D18" s="52" t="s">
        <v>119</v>
      </c>
      <c r="E18" s="53" t="s">
        <v>344</v>
      </c>
      <c r="F18" s="30" t="s">
        <v>132</v>
      </c>
      <c r="G18" s="33">
        <v>1</v>
      </c>
      <c r="H18" s="35">
        <v>24</v>
      </c>
      <c r="I18" s="7">
        <v>500</v>
      </c>
      <c r="J18" s="5">
        <v>602</v>
      </c>
      <c r="K18" s="15">
        <f>L18</f>
        <v>602</v>
      </c>
      <c r="L18" s="15">
        <v>602</v>
      </c>
      <c r="M18" s="15">
        <f t="shared" si="1"/>
        <v>602</v>
      </c>
      <c r="N18" s="15">
        <v>0</v>
      </c>
      <c r="O18" s="58">
        <f t="shared" si="2"/>
        <v>0</v>
      </c>
      <c r="P18" s="39">
        <f t="shared" si="3"/>
        <v>4</v>
      </c>
      <c r="Q18" s="40">
        <f t="shared" si="4"/>
        <v>20</v>
      </c>
      <c r="R18" s="7"/>
      <c r="S18" s="6"/>
      <c r="T18" s="16"/>
      <c r="U18" s="16"/>
      <c r="V18" s="17"/>
      <c r="W18" s="5">
        <v>20</v>
      </c>
      <c r="X18" s="16"/>
      <c r="Y18" s="16"/>
      <c r="Z18" s="16"/>
      <c r="AA18" s="18"/>
      <c r="AB18" s="8">
        <f t="shared" si="5"/>
        <v>1</v>
      </c>
      <c r="AC18" s="9">
        <f t="shared" si="6"/>
        <v>0.16666666666666666</v>
      </c>
      <c r="AD18" s="10">
        <f>AC18*AB18*(1-O18)</f>
        <v>0.16666666666666666</v>
      </c>
      <c r="AE18" s="36">
        <f t="shared" si="8"/>
        <v>0.40555555555555567</v>
      </c>
      <c r="AF18" s="87">
        <f t="shared" si="9"/>
        <v>13</v>
      </c>
    </row>
    <row r="19" spans="1:32" ht="27" customHeight="1">
      <c r="A19" s="103">
        <v>13</v>
      </c>
      <c r="B19" s="11" t="s">
        <v>57</v>
      </c>
      <c r="C19" s="34" t="s">
        <v>323</v>
      </c>
      <c r="D19" s="52" t="s">
        <v>119</v>
      </c>
      <c r="E19" s="53" t="s">
        <v>350</v>
      </c>
      <c r="F19" s="30" t="s">
        <v>132</v>
      </c>
      <c r="G19" s="33">
        <v>1</v>
      </c>
      <c r="H19" s="35">
        <v>24</v>
      </c>
      <c r="I19" s="7">
        <v>500</v>
      </c>
      <c r="J19" s="5">
        <v>470</v>
      </c>
      <c r="K19" s="15">
        <f>L19</f>
        <v>470</v>
      </c>
      <c r="L19" s="15">
        <v>470</v>
      </c>
      <c r="M19" s="15">
        <f t="shared" ref="M19" si="11">L19-N19</f>
        <v>470</v>
      </c>
      <c r="N19" s="15">
        <v>0</v>
      </c>
      <c r="O19" s="58">
        <f t="shared" ref="O19" si="12">IF(L19=0,"0",N19/L19)</f>
        <v>0</v>
      </c>
      <c r="P19" s="39">
        <f t="shared" ref="P19" si="13">IF(L19=0,"0",(24-Q19))</f>
        <v>4</v>
      </c>
      <c r="Q19" s="40">
        <f t="shared" ref="Q19" si="14">SUM(R19:AA19)</f>
        <v>20</v>
      </c>
      <c r="R19" s="7"/>
      <c r="S19" s="6"/>
      <c r="T19" s="16"/>
      <c r="U19" s="16"/>
      <c r="V19" s="17"/>
      <c r="W19" s="5">
        <v>20</v>
      </c>
      <c r="X19" s="16"/>
      <c r="Y19" s="16"/>
      <c r="Z19" s="16"/>
      <c r="AA19" s="18"/>
      <c r="AB19" s="8">
        <f t="shared" ref="AB19" si="15">IF(J19=0,"0",(L19/J19))</f>
        <v>1</v>
      </c>
      <c r="AC19" s="9">
        <f t="shared" ref="AC19" si="16">IF(P19=0,"0",(P19/24))</f>
        <v>0.16666666666666666</v>
      </c>
      <c r="AD19" s="10">
        <f>AC19*AB19*(1-O19)</f>
        <v>0.16666666666666666</v>
      </c>
      <c r="AE19" s="36">
        <f t="shared" si="8"/>
        <v>0.40555555555555567</v>
      </c>
      <c r="AF19" s="87">
        <f t="shared" ref="AF19" si="17">A19</f>
        <v>13</v>
      </c>
    </row>
    <row r="20" spans="1:32" ht="27" customHeight="1">
      <c r="A20" s="103">
        <v>13</v>
      </c>
      <c r="B20" s="11" t="s">
        <v>57</v>
      </c>
      <c r="C20" s="34" t="s">
        <v>323</v>
      </c>
      <c r="D20" s="52" t="s">
        <v>129</v>
      </c>
      <c r="E20" s="53" t="s">
        <v>350</v>
      </c>
      <c r="F20" s="30" t="s">
        <v>132</v>
      </c>
      <c r="G20" s="33">
        <v>1</v>
      </c>
      <c r="H20" s="35">
        <v>24</v>
      </c>
      <c r="I20" s="7">
        <v>500</v>
      </c>
      <c r="J20" s="5">
        <v>410</v>
      </c>
      <c r="K20" s="15">
        <f>L20</f>
        <v>410</v>
      </c>
      <c r="L20" s="15">
        <v>410</v>
      </c>
      <c r="M20" s="15">
        <f t="shared" si="1"/>
        <v>410</v>
      </c>
      <c r="N20" s="15">
        <v>0</v>
      </c>
      <c r="O20" s="58">
        <f t="shared" si="2"/>
        <v>0</v>
      </c>
      <c r="P20" s="39">
        <f t="shared" si="3"/>
        <v>3</v>
      </c>
      <c r="Q20" s="40">
        <f t="shared" si="4"/>
        <v>21</v>
      </c>
      <c r="R20" s="7"/>
      <c r="S20" s="6">
        <v>21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0.125</v>
      </c>
      <c r="AD20" s="10">
        <f>AC20*AB20*(1-O20)</f>
        <v>0.125</v>
      </c>
      <c r="AE20" s="36">
        <f t="shared" si="8"/>
        <v>0.40555555555555567</v>
      </c>
      <c r="AF20" s="87">
        <f t="shared" si="9"/>
        <v>13</v>
      </c>
    </row>
    <row r="21" spans="1:32" ht="27" customHeight="1">
      <c r="A21" s="103">
        <v>14</v>
      </c>
      <c r="B21" s="11" t="s">
        <v>57</v>
      </c>
      <c r="C21" s="11" t="s">
        <v>114</v>
      </c>
      <c r="D21" s="52" t="s">
        <v>117</v>
      </c>
      <c r="E21" s="53" t="s">
        <v>310</v>
      </c>
      <c r="F21" s="30" t="s">
        <v>123</v>
      </c>
      <c r="G21" s="33">
        <v>1</v>
      </c>
      <c r="H21" s="35">
        <v>24</v>
      </c>
      <c r="I21" s="7">
        <v>8000</v>
      </c>
      <c r="J21" s="5">
        <v>4579</v>
      </c>
      <c r="K21" s="15">
        <f>L21+3113+5646</f>
        <v>13338</v>
      </c>
      <c r="L21" s="15">
        <f>2259+2320</f>
        <v>4579</v>
      </c>
      <c r="M21" s="15">
        <f t="shared" si="1"/>
        <v>4579</v>
      </c>
      <c r="N21" s="15">
        <v>0</v>
      </c>
      <c r="O21" s="58">
        <f t="shared" si="2"/>
        <v>0</v>
      </c>
      <c r="P21" s="39">
        <f t="shared" si="3"/>
        <v>24</v>
      </c>
      <c r="Q21" s="40">
        <f t="shared" si="4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1</v>
      </c>
      <c r="AD21" s="10">
        <f t="shared" ref="AD21" si="18">AC21*AB21*(1-O21)</f>
        <v>1</v>
      </c>
      <c r="AE21" s="36">
        <f t="shared" si="8"/>
        <v>0.40555555555555567</v>
      </c>
      <c r="AF21" s="87">
        <f t="shared" si="9"/>
        <v>14</v>
      </c>
    </row>
    <row r="22" spans="1:32" ht="27" customHeight="1" thickBot="1">
      <c r="A22" s="103">
        <v>15</v>
      </c>
      <c r="B22" s="11" t="s">
        <v>57</v>
      </c>
      <c r="C22" s="11" t="s">
        <v>115</v>
      </c>
      <c r="D22" s="52"/>
      <c r="E22" s="53" t="s">
        <v>333</v>
      </c>
      <c r="F22" s="12" t="s">
        <v>116</v>
      </c>
      <c r="G22" s="12">
        <v>3</v>
      </c>
      <c r="H22" s="35">
        <v>20</v>
      </c>
      <c r="I22" s="7">
        <v>300000</v>
      </c>
      <c r="J22" s="14">
        <v>29373</v>
      </c>
      <c r="K22" s="15">
        <f>L22</f>
        <v>29373</v>
      </c>
      <c r="L22" s="15">
        <f>9791*3</f>
        <v>29373</v>
      </c>
      <c r="M22" s="15">
        <f t="shared" si="1"/>
        <v>29373</v>
      </c>
      <c r="N22" s="15">
        <v>0</v>
      </c>
      <c r="O22" s="58">
        <f t="shared" si="2"/>
        <v>0</v>
      </c>
      <c r="P22" s="39">
        <f t="shared" si="3"/>
        <v>13</v>
      </c>
      <c r="Q22" s="40">
        <f t="shared" si="4"/>
        <v>11</v>
      </c>
      <c r="R22" s="7"/>
      <c r="S22" s="6">
        <v>11</v>
      </c>
      <c r="T22" s="16"/>
      <c r="U22" s="16"/>
      <c r="V22" s="17"/>
      <c r="W22" s="5"/>
      <c r="X22" s="16"/>
      <c r="Y22" s="16"/>
      <c r="Z22" s="16"/>
      <c r="AA22" s="18"/>
      <c r="AB22" s="8">
        <f t="shared" si="5"/>
        <v>1</v>
      </c>
      <c r="AC22" s="9">
        <f t="shared" si="6"/>
        <v>0.54166666666666663</v>
      </c>
      <c r="AD22" s="10">
        <f t="shared" si="7"/>
        <v>0.54166666666666663</v>
      </c>
      <c r="AE22" s="36">
        <f t="shared" si="8"/>
        <v>0.40555555555555567</v>
      </c>
      <c r="AF22" s="87">
        <f t="shared" si="9"/>
        <v>15</v>
      </c>
    </row>
    <row r="23" spans="1:32" ht="31.5" customHeight="1" thickBot="1">
      <c r="A23" s="427" t="s">
        <v>34</v>
      </c>
      <c r="B23" s="428"/>
      <c r="C23" s="428"/>
      <c r="D23" s="428"/>
      <c r="E23" s="428"/>
      <c r="F23" s="428"/>
      <c r="G23" s="428"/>
      <c r="H23" s="429"/>
      <c r="I23" s="22">
        <f t="shared" ref="I23:N23" si="19">SUM(I6:I22)</f>
        <v>538500</v>
      </c>
      <c r="J23" s="19">
        <f t="shared" si="19"/>
        <v>91236</v>
      </c>
      <c r="K23" s="20">
        <f t="shared" si="19"/>
        <v>276807</v>
      </c>
      <c r="L23" s="21">
        <f t="shared" si="19"/>
        <v>61318</v>
      </c>
      <c r="M23" s="20">
        <f t="shared" si="19"/>
        <v>61318</v>
      </c>
      <c r="N23" s="21">
        <f t="shared" si="19"/>
        <v>0</v>
      </c>
      <c r="O23" s="41">
        <f t="shared" si="2"/>
        <v>0</v>
      </c>
      <c r="P23" s="42">
        <f t="shared" ref="P23:AA23" si="20">SUM(P6:P22)</f>
        <v>146</v>
      </c>
      <c r="Q23" s="43">
        <f t="shared" si="20"/>
        <v>262</v>
      </c>
      <c r="R23" s="23">
        <f t="shared" si="20"/>
        <v>54</v>
      </c>
      <c r="S23" s="24">
        <f t="shared" si="20"/>
        <v>93</v>
      </c>
      <c r="T23" s="24">
        <f t="shared" si="20"/>
        <v>0</v>
      </c>
      <c r="U23" s="24">
        <f t="shared" si="20"/>
        <v>0</v>
      </c>
      <c r="V23" s="25">
        <f t="shared" si="20"/>
        <v>27</v>
      </c>
      <c r="W23" s="26">
        <f t="shared" si="20"/>
        <v>88</v>
      </c>
      <c r="X23" s="27">
        <f t="shared" si="20"/>
        <v>0</v>
      </c>
      <c r="Y23" s="27">
        <f t="shared" si="20"/>
        <v>0</v>
      </c>
      <c r="Z23" s="27">
        <f t="shared" si="20"/>
        <v>0</v>
      </c>
      <c r="AA23" s="27">
        <f t="shared" si="20"/>
        <v>0</v>
      </c>
      <c r="AB23" s="28">
        <f>SUM(AB6:AB22)/15</f>
        <v>0.66666666666666663</v>
      </c>
      <c r="AC23" s="4">
        <f>SUM(AC6:AC22)/15</f>
        <v>0.40555555555555567</v>
      </c>
      <c r="AD23" s="4">
        <f>SUM(AD6:AD22)/15</f>
        <v>0.40555555555555567</v>
      </c>
      <c r="AE23" s="29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1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88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50"/>
    </row>
    <row r="40" spans="1:32" ht="27">
      <c r="A40" s="59"/>
      <c r="B40" s="59"/>
      <c r="C40" s="59"/>
      <c r="D40" s="59"/>
      <c r="E40" s="59"/>
      <c r="F40" s="37"/>
      <c r="G40" s="37"/>
      <c r="H40" s="38"/>
      <c r="I40" s="38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F40" s="50"/>
    </row>
    <row r="41" spans="1:32" ht="29.25" customHeight="1">
      <c r="A41" s="60"/>
      <c r="B41" s="60"/>
      <c r="C41" s="61"/>
      <c r="D41" s="61"/>
      <c r="E41" s="61"/>
      <c r="F41" s="60"/>
      <c r="G41" s="60"/>
      <c r="H41" s="60"/>
      <c r="I41" s="60"/>
      <c r="J41" s="60"/>
      <c r="K41" s="60"/>
      <c r="L41" s="60"/>
      <c r="M41" s="61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36" thickBot="1">
      <c r="A50" s="430" t="s">
        <v>45</v>
      </c>
      <c r="B50" s="430"/>
      <c r="C50" s="430"/>
      <c r="D50" s="430"/>
      <c r="E50" s="430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26.25" thickBot="1">
      <c r="A51" s="431" t="s">
        <v>351</v>
      </c>
      <c r="B51" s="432"/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3"/>
      <c r="N51" s="434" t="s">
        <v>354</v>
      </c>
      <c r="O51" s="435"/>
      <c r="P51" s="435"/>
      <c r="Q51" s="435"/>
      <c r="R51" s="435"/>
      <c r="S51" s="435"/>
      <c r="T51" s="435"/>
      <c r="U51" s="435"/>
      <c r="V51" s="435"/>
      <c r="W51" s="435"/>
      <c r="X51" s="435"/>
      <c r="Y51" s="435"/>
      <c r="Z51" s="435"/>
      <c r="AA51" s="435"/>
      <c r="AB51" s="435"/>
      <c r="AC51" s="435"/>
      <c r="AD51" s="436"/>
    </row>
    <row r="52" spans="1:32" ht="27" customHeight="1">
      <c r="A52" s="437" t="s">
        <v>2</v>
      </c>
      <c r="B52" s="438"/>
      <c r="C52" s="207" t="s">
        <v>46</v>
      </c>
      <c r="D52" s="207" t="s">
        <v>47</v>
      </c>
      <c r="E52" s="207" t="s">
        <v>108</v>
      </c>
      <c r="F52" s="438" t="s">
        <v>107</v>
      </c>
      <c r="G52" s="438"/>
      <c r="H52" s="438"/>
      <c r="I52" s="438"/>
      <c r="J52" s="438"/>
      <c r="K52" s="438"/>
      <c r="L52" s="438"/>
      <c r="M52" s="439"/>
      <c r="N52" s="67" t="s">
        <v>112</v>
      </c>
      <c r="O52" s="207" t="s">
        <v>46</v>
      </c>
      <c r="P52" s="440" t="s">
        <v>47</v>
      </c>
      <c r="Q52" s="441"/>
      <c r="R52" s="440" t="s">
        <v>38</v>
      </c>
      <c r="S52" s="442"/>
      <c r="T52" s="442"/>
      <c r="U52" s="441"/>
      <c r="V52" s="440" t="s">
        <v>48</v>
      </c>
      <c r="W52" s="442"/>
      <c r="X52" s="442"/>
      <c r="Y52" s="442"/>
      <c r="Z52" s="442"/>
      <c r="AA52" s="442"/>
      <c r="AB52" s="442"/>
      <c r="AC52" s="442"/>
      <c r="AD52" s="443"/>
    </row>
    <row r="53" spans="1:32" ht="27" customHeight="1">
      <c r="A53" s="409" t="s">
        <v>140</v>
      </c>
      <c r="B53" s="410"/>
      <c r="C53" s="209" t="s">
        <v>204</v>
      </c>
      <c r="D53" s="209" t="s">
        <v>117</v>
      </c>
      <c r="E53" s="209" t="s">
        <v>340</v>
      </c>
      <c r="F53" s="411" t="s">
        <v>341</v>
      </c>
      <c r="G53" s="412"/>
      <c r="H53" s="412"/>
      <c r="I53" s="412"/>
      <c r="J53" s="412"/>
      <c r="K53" s="412"/>
      <c r="L53" s="412"/>
      <c r="M53" s="413"/>
      <c r="N53" s="208" t="s">
        <v>124</v>
      </c>
      <c r="O53" s="213" t="s">
        <v>145</v>
      </c>
      <c r="P53" s="423" t="s">
        <v>122</v>
      </c>
      <c r="Q53" s="424"/>
      <c r="R53" s="410" t="s">
        <v>175</v>
      </c>
      <c r="S53" s="410"/>
      <c r="T53" s="410"/>
      <c r="U53" s="410"/>
      <c r="V53" s="400" t="s">
        <v>126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124</v>
      </c>
      <c r="B54" s="410"/>
      <c r="C54" s="209" t="s">
        <v>145</v>
      </c>
      <c r="D54" s="209" t="s">
        <v>122</v>
      </c>
      <c r="E54" s="209" t="s">
        <v>175</v>
      </c>
      <c r="F54" s="411" t="s">
        <v>352</v>
      </c>
      <c r="G54" s="412"/>
      <c r="H54" s="412"/>
      <c r="I54" s="412"/>
      <c r="J54" s="412"/>
      <c r="K54" s="412"/>
      <c r="L54" s="412"/>
      <c r="M54" s="413"/>
      <c r="N54" s="208" t="s">
        <v>140</v>
      </c>
      <c r="O54" s="213" t="s">
        <v>138</v>
      </c>
      <c r="P54" s="423" t="s">
        <v>122</v>
      </c>
      <c r="Q54" s="424"/>
      <c r="R54" s="410" t="s">
        <v>342</v>
      </c>
      <c r="S54" s="410"/>
      <c r="T54" s="410"/>
      <c r="U54" s="410"/>
      <c r="V54" s="400" t="s">
        <v>341</v>
      </c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 t="s">
        <v>140</v>
      </c>
      <c r="B55" s="410"/>
      <c r="C55" s="209" t="s">
        <v>143</v>
      </c>
      <c r="D55" s="209" t="s">
        <v>221</v>
      </c>
      <c r="E55" s="209" t="s">
        <v>343</v>
      </c>
      <c r="F55" s="411" t="s">
        <v>341</v>
      </c>
      <c r="G55" s="412"/>
      <c r="H55" s="412"/>
      <c r="I55" s="412"/>
      <c r="J55" s="412"/>
      <c r="K55" s="412"/>
      <c r="L55" s="412"/>
      <c r="M55" s="413"/>
      <c r="N55" s="208" t="s">
        <v>323</v>
      </c>
      <c r="O55" s="213" t="s">
        <v>128</v>
      </c>
      <c r="P55" s="423" t="s">
        <v>129</v>
      </c>
      <c r="Q55" s="424"/>
      <c r="R55" s="410" t="s">
        <v>344</v>
      </c>
      <c r="S55" s="410"/>
      <c r="T55" s="410"/>
      <c r="U55" s="410"/>
      <c r="V55" s="400" t="s">
        <v>120</v>
      </c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 t="s">
        <v>140</v>
      </c>
      <c r="B56" s="410"/>
      <c r="C56" s="209" t="s">
        <v>210</v>
      </c>
      <c r="D56" s="209" t="s">
        <v>129</v>
      </c>
      <c r="E56" s="209" t="s">
        <v>331</v>
      </c>
      <c r="F56" s="411" t="s">
        <v>341</v>
      </c>
      <c r="G56" s="412"/>
      <c r="H56" s="412"/>
      <c r="I56" s="412"/>
      <c r="J56" s="412"/>
      <c r="K56" s="412"/>
      <c r="L56" s="412"/>
      <c r="M56" s="413"/>
      <c r="N56" s="208" t="s">
        <v>323</v>
      </c>
      <c r="O56" s="213" t="s">
        <v>128</v>
      </c>
      <c r="P56" s="423" t="s">
        <v>129</v>
      </c>
      <c r="Q56" s="424"/>
      <c r="R56" s="410" t="s">
        <v>350</v>
      </c>
      <c r="S56" s="410"/>
      <c r="T56" s="410"/>
      <c r="U56" s="410"/>
      <c r="V56" s="400" t="s">
        <v>126</v>
      </c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 t="s">
        <v>115</v>
      </c>
      <c r="B57" s="410"/>
      <c r="C57" s="209" t="s">
        <v>168</v>
      </c>
      <c r="D57" s="209"/>
      <c r="E57" s="209" t="s">
        <v>333</v>
      </c>
      <c r="F57" s="411" t="s">
        <v>353</v>
      </c>
      <c r="G57" s="412"/>
      <c r="H57" s="412"/>
      <c r="I57" s="412"/>
      <c r="J57" s="412"/>
      <c r="K57" s="412"/>
      <c r="L57" s="412"/>
      <c r="M57" s="413"/>
      <c r="N57" s="208"/>
      <c r="O57" s="213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 t="s">
        <v>323</v>
      </c>
      <c r="B58" s="410"/>
      <c r="C58" s="209" t="s">
        <v>128</v>
      </c>
      <c r="D58" s="209" t="s">
        <v>119</v>
      </c>
      <c r="E58" s="209" t="s">
        <v>344</v>
      </c>
      <c r="F58" s="411" t="s">
        <v>120</v>
      </c>
      <c r="G58" s="412"/>
      <c r="H58" s="412"/>
      <c r="I58" s="412"/>
      <c r="J58" s="412"/>
      <c r="K58" s="412"/>
      <c r="L58" s="412"/>
      <c r="M58" s="413"/>
      <c r="N58" s="208"/>
      <c r="O58" s="213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 t="s">
        <v>323</v>
      </c>
      <c r="B59" s="410"/>
      <c r="C59" s="209" t="s">
        <v>128</v>
      </c>
      <c r="D59" s="209" t="s">
        <v>119</v>
      </c>
      <c r="E59" s="209" t="s">
        <v>350</v>
      </c>
      <c r="F59" s="411" t="s">
        <v>120</v>
      </c>
      <c r="G59" s="412"/>
      <c r="H59" s="412"/>
      <c r="I59" s="412"/>
      <c r="J59" s="412"/>
      <c r="K59" s="412"/>
      <c r="L59" s="412"/>
      <c r="M59" s="413"/>
      <c r="N59" s="208"/>
      <c r="O59" s="213"/>
      <c r="P59" s="423"/>
      <c r="Q59" s="424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</row>
    <row r="60" spans="1:32" ht="27" customHeight="1">
      <c r="A60" s="409" t="s">
        <v>323</v>
      </c>
      <c r="B60" s="410"/>
      <c r="C60" s="209" t="s">
        <v>128</v>
      </c>
      <c r="D60" s="209" t="s">
        <v>129</v>
      </c>
      <c r="E60" s="209" t="s">
        <v>350</v>
      </c>
      <c r="F60" s="411" t="s">
        <v>187</v>
      </c>
      <c r="G60" s="412"/>
      <c r="H60" s="412"/>
      <c r="I60" s="412"/>
      <c r="J60" s="412"/>
      <c r="K60" s="412"/>
      <c r="L60" s="412"/>
      <c r="M60" s="413"/>
      <c r="N60" s="208"/>
      <c r="O60" s="213"/>
      <c r="P60" s="423"/>
      <c r="Q60" s="424"/>
      <c r="R60" s="410"/>
      <c r="S60" s="410"/>
      <c r="T60" s="410"/>
      <c r="U60" s="410"/>
      <c r="V60" s="400"/>
      <c r="W60" s="400"/>
      <c r="X60" s="400"/>
      <c r="Y60" s="400"/>
      <c r="Z60" s="400"/>
      <c r="AA60" s="400"/>
      <c r="AB60" s="400"/>
      <c r="AC60" s="400"/>
      <c r="AD60" s="414"/>
    </row>
    <row r="61" spans="1:32" ht="27" customHeight="1">
      <c r="A61" s="409"/>
      <c r="B61" s="410"/>
      <c r="C61" s="209"/>
      <c r="D61" s="209"/>
      <c r="E61" s="209"/>
      <c r="F61" s="411"/>
      <c r="G61" s="412"/>
      <c r="H61" s="412"/>
      <c r="I61" s="412"/>
      <c r="J61" s="412"/>
      <c r="K61" s="412"/>
      <c r="L61" s="412"/>
      <c r="M61" s="413"/>
      <c r="N61" s="208"/>
      <c r="O61" s="213"/>
      <c r="P61" s="410"/>
      <c r="Q61" s="410"/>
      <c r="R61" s="410"/>
      <c r="S61" s="410"/>
      <c r="T61" s="410"/>
      <c r="U61" s="410"/>
      <c r="V61" s="400"/>
      <c r="W61" s="400"/>
      <c r="X61" s="400"/>
      <c r="Y61" s="400"/>
      <c r="Z61" s="400"/>
      <c r="AA61" s="400"/>
      <c r="AB61" s="400"/>
      <c r="AC61" s="400"/>
      <c r="AD61" s="414"/>
      <c r="AF61" s="87">
        <f>8*3000</f>
        <v>24000</v>
      </c>
    </row>
    <row r="62" spans="1:32" ht="27" customHeight="1" thickBot="1">
      <c r="A62" s="415"/>
      <c r="B62" s="416"/>
      <c r="C62" s="210"/>
      <c r="D62" s="210"/>
      <c r="E62" s="210"/>
      <c r="F62" s="417"/>
      <c r="G62" s="418"/>
      <c r="H62" s="418"/>
      <c r="I62" s="418"/>
      <c r="J62" s="418"/>
      <c r="K62" s="418"/>
      <c r="L62" s="418"/>
      <c r="M62" s="419"/>
      <c r="N62" s="124"/>
      <c r="O62" s="114"/>
      <c r="P62" s="420"/>
      <c r="Q62" s="420"/>
      <c r="R62" s="420"/>
      <c r="S62" s="420"/>
      <c r="T62" s="420"/>
      <c r="U62" s="420"/>
      <c r="V62" s="421"/>
      <c r="W62" s="421"/>
      <c r="X62" s="421"/>
      <c r="Y62" s="421"/>
      <c r="Z62" s="421"/>
      <c r="AA62" s="421"/>
      <c r="AB62" s="421"/>
      <c r="AC62" s="421"/>
      <c r="AD62" s="422"/>
      <c r="AF62" s="87">
        <f>16*3000</f>
        <v>48000</v>
      </c>
    </row>
    <row r="63" spans="1:32" ht="27.75" thickBot="1">
      <c r="A63" s="407" t="s">
        <v>355</v>
      </c>
      <c r="B63" s="407"/>
      <c r="C63" s="407"/>
      <c r="D63" s="407"/>
      <c r="E63" s="407"/>
      <c r="F63" s="37"/>
      <c r="G63" s="37"/>
      <c r="H63" s="38"/>
      <c r="I63" s="38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F63" s="87">
        <v>24000</v>
      </c>
    </row>
    <row r="64" spans="1:32" ht="29.25" customHeight="1" thickBot="1">
      <c r="A64" s="408" t="s">
        <v>113</v>
      </c>
      <c r="B64" s="405"/>
      <c r="C64" s="211" t="s">
        <v>2</v>
      </c>
      <c r="D64" s="211" t="s">
        <v>37</v>
      </c>
      <c r="E64" s="211" t="s">
        <v>3</v>
      </c>
      <c r="F64" s="405" t="s">
        <v>110</v>
      </c>
      <c r="G64" s="405"/>
      <c r="H64" s="405"/>
      <c r="I64" s="405"/>
      <c r="J64" s="405"/>
      <c r="K64" s="405" t="s">
        <v>39</v>
      </c>
      <c r="L64" s="405"/>
      <c r="M64" s="211" t="s">
        <v>40</v>
      </c>
      <c r="N64" s="405" t="s">
        <v>41</v>
      </c>
      <c r="O64" s="405"/>
      <c r="P64" s="402" t="s">
        <v>42</v>
      </c>
      <c r="Q64" s="404"/>
      <c r="R64" s="402" t="s">
        <v>43</v>
      </c>
      <c r="S64" s="403"/>
      <c r="T64" s="403"/>
      <c r="U64" s="403"/>
      <c r="V64" s="403"/>
      <c r="W64" s="403"/>
      <c r="X64" s="403"/>
      <c r="Y64" s="403"/>
      <c r="Z64" s="403"/>
      <c r="AA64" s="404"/>
      <c r="AB64" s="405" t="s">
        <v>44</v>
      </c>
      <c r="AC64" s="405"/>
      <c r="AD64" s="406"/>
      <c r="AF64" s="87">
        <f>SUM(AF61:AF63)</f>
        <v>96000</v>
      </c>
    </row>
    <row r="65" spans="1:32" ht="25.5" customHeight="1">
      <c r="A65" s="396">
        <v>1</v>
      </c>
      <c r="B65" s="397"/>
      <c r="C65" s="117" t="s">
        <v>140</v>
      </c>
      <c r="D65" s="215"/>
      <c r="E65" s="212" t="s">
        <v>117</v>
      </c>
      <c r="F65" s="398" t="s">
        <v>340</v>
      </c>
      <c r="G65" s="390"/>
      <c r="H65" s="390"/>
      <c r="I65" s="390"/>
      <c r="J65" s="390"/>
      <c r="K65" s="390" t="s">
        <v>216</v>
      </c>
      <c r="L65" s="390"/>
      <c r="M65" s="51" t="s">
        <v>207</v>
      </c>
      <c r="N65" s="401" t="s">
        <v>204</v>
      </c>
      <c r="O65" s="401"/>
      <c r="P65" s="399">
        <v>100</v>
      </c>
      <c r="Q65" s="399"/>
      <c r="R65" s="400" t="s">
        <v>356</v>
      </c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2</v>
      </c>
      <c r="B66" s="397"/>
      <c r="C66" s="117" t="s">
        <v>114</v>
      </c>
      <c r="D66" s="215"/>
      <c r="E66" s="212" t="s">
        <v>117</v>
      </c>
      <c r="F66" s="398" t="s">
        <v>262</v>
      </c>
      <c r="G66" s="390"/>
      <c r="H66" s="390"/>
      <c r="I66" s="390"/>
      <c r="J66" s="390"/>
      <c r="K66" s="390" t="s">
        <v>127</v>
      </c>
      <c r="L66" s="390"/>
      <c r="M66" s="51" t="s">
        <v>207</v>
      </c>
      <c r="N66" s="401" t="s">
        <v>138</v>
      </c>
      <c r="O66" s="401"/>
      <c r="P66" s="399">
        <v>50</v>
      </c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3</v>
      </c>
      <c r="B67" s="397"/>
      <c r="C67" s="117"/>
      <c r="D67" s="215"/>
      <c r="E67" s="212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4</v>
      </c>
      <c r="B68" s="397"/>
      <c r="C68" s="117"/>
      <c r="D68" s="215"/>
      <c r="E68" s="212"/>
      <c r="F68" s="398"/>
      <c r="G68" s="390"/>
      <c r="H68" s="390"/>
      <c r="I68" s="390"/>
      <c r="J68" s="390"/>
      <c r="K68" s="390"/>
      <c r="L68" s="390"/>
      <c r="M68" s="51"/>
      <c r="N68" s="401"/>
      <c r="O68" s="401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5</v>
      </c>
      <c r="B69" s="397"/>
      <c r="C69" s="117"/>
      <c r="D69" s="215"/>
      <c r="E69" s="212"/>
      <c r="F69" s="398"/>
      <c r="G69" s="390"/>
      <c r="H69" s="390"/>
      <c r="I69" s="390"/>
      <c r="J69" s="390"/>
      <c r="K69" s="390"/>
      <c r="L69" s="390"/>
      <c r="M69" s="51"/>
      <c r="N69" s="401"/>
      <c r="O69" s="401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6</v>
      </c>
      <c r="B70" s="397"/>
      <c r="C70" s="117"/>
      <c r="D70" s="215"/>
      <c r="E70" s="212"/>
      <c r="F70" s="398"/>
      <c r="G70" s="390"/>
      <c r="H70" s="390"/>
      <c r="I70" s="390"/>
      <c r="J70" s="390"/>
      <c r="K70" s="390"/>
      <c r="L70" s="390"/>
      <c r="M70" s="51"/>
      <c r="N70" s="390"/>
      <c r="O70" s="390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5.5" customHeight="1">
      <c r="A71" s="396">
        <v>7</v>
      </c>
      <c r="B71" s="397"/>
      <c r="C71" s="117"/>
      <c r="D71" s="215"/>
      <c r="E71" s="212"/>
      <c r="F71" s="398"/>
      <c r="G71" s="390"/>
      <c r="H71" s="390"/>
      <c r="I71" s="390"/>
      <c r="J71" s="390"/>
      <c r="K71" s="390"/>
      <c r="L71" s="390"/>
      <c r="M71" s="51"/>
      <c r="N71" s="401"/>
      <c r="O71" s="401"/>
      <c r="P71" s="399"/>
      <c r="Q71" s="399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390"/>
      <c r="AC71" s="390"/>
      <c r="AD71" s="391"/>
      <c r="AF71" s="50"/>
    </row>
    <row r="72" spans="1:32" ht="25.5" customHeight="1">
      <c r="A72" s="396">
        <v>8</v>
      </c>
      <c r="B72" s="397"/>
      <c r="C72" s="117"/>
      <c r="D72" s="215"/>
      <c r="E72" s="212"/>
      <c r="F72" s="398"/>
      <c r="G72" s="390"/>
      <c r="H72" s="390"/>
      <c r="I72" s="390"/>
      <c r="J72" s="390"/>
      <c r="K72" s="390"/>
      <c r="L72" s="390"/>
      <c r="M72" s="51"/>
      <c r="N72" s="390"/>
      <c r="O72" s="390"/>
      <c r="P72" s="399"/>
      <c r="Q72" s="399"/>
      <c r="R72" s="400"/>
      <c r="S72" s="400"/>
      <c r="T72" s="400"/>
      <c r="U72" s="400"/>
      <c r="V72" s="400"/>
      <c r="W72" s="400"/>
      <c r="X72" s="400"/>
      <c r="Y72" s="400"/>
      <c r="Z72" s="400"/>
      <c r="AA72" s="400"/>
      <c r="AB72" s="390"/>
      <c r="AC72" s="390"/>
      <c r="AD72" s="391"/>
      <c r="AF72" s="50"/>
    </row>
    <row r="73" spans="1:32" ht="26.25" customHeight="1" thickBot="1">
      <c r="A73" s="370" t="s">
        <v>357</v>
      </c>
      <c r="B73" s="370"/>
      <c r="C73" s="370"/>
      <c r="D73" s="370"/>
      <c r="E73" s="370"/>
      <c r="F73" s="37"/>
      <c r="G73" s="37"/>
      <c r="H73" s="38"/>
      <c r="I73" s="38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F73" s="50"/>
    </row>
    <row r="74" spans="1:32" ht="23.25" thickBot="1">
      <c r="A74" s="371" t="s">
        <v>113</v>
      </c>
      <c r="B74" s="372"/>
      <c r="C74" s="214" t="s">
        <v>2</v>
      </c>
      <c r="D74" s="214" t="s">
        <v>37</v>
      </c>
      <c r="E74" s="214" t="s">
        <v>3</v>
      </c>
      <c r="F74" s="372" t="s">
        <v>38</v>
      </c>
      <c r="G74" s="372"/>
      <c r="H74" s="372"/>
      <c r="I74" s="372"/>
      <c r="J74" s="372"/>
      <c r="K74" s="392" t="s">
        <v>58</v>
      </c>
      <c r="L74" s="393"/>
      <c r="M74" s="393"/>
      <c r="N74" s="393"/>
      <c r="O74" s="393"/>
      <c r="P74" s="393"/>
      <c r="Q74" s="393"/>
      <c r="R74" s="393"/>
      <c r="S74" s="394"/>
      <c r="T74" s="372" t="s">
        <v>49</v>
      </c>
      <c r="U74" s="372"/>
      <c r="V74" s="392" t="s">
        <v>50</v>
      </c>
      <c r="W74" s="394"/>
      <c r="X74" s="393" t="s">
        <v>51</v>
      </c>
      <c r="Y74" s="393"/>
      <c r="Z74" s="393"/>
      <c r="AA74" s="393"/>
      <c r="AB74" s="393"/>
      <c r="AC74" s="393"/>
      <c r="AD74" s="395"/>
      <c r="AF74" s="50"/>
    </row>
    <row r="75" spans="1:32" ht="33.75" customHeight="1">
      <c r="A75" s="364">
        <v>1</v>
      </c>
      <c r="B75" s="365"/>
      <c r="C75" s="216" t="s">
        <v>114</v>
      </c>
      <c r="D75" s="216"/>
      <c r="E75" s="65" t="s">
        <v>119</v>
      </c>
      <c r="F75" s="379" t="s">
        <v>118</v>
      </c>
      <c r="G75" s="380"/>
      <c r="H75" s="380"/>
      <c r="I75" s="380"/>
      <c r="J75" s="381"/>
      <c r="K75" s="382" t="s">
        <v>156</v>
      </c>
      <c r="L75" s="383"/>
      <c r="M75" s="383"/>
      <c r="N75" s="383"/>
      <c r="O75" s="383"/>
      <c r="P75" s="383"/>
      <c r="Q75" s="383"/>
      <c r="R75" s="383"/>
      <c r="S75" s="384"/>
      <c r="T75" s="385">
        <v>43675</v>
      </c>
      <c r="U75" s="386"/>
      <c r="V75" s="387"/>
      <c r="W75" s="387"/>
      <c r="X75" s="388"/>
      <c r="Y75" s="388"/>
      <c r="Z75" s="388"/>
      <c r="AA75" s="388"/>
      <c r="AB75" s="388"/>
      <c r="AC75" s="388"/>
      <c r="AD75" s="389"/>
      <c r="AF75" s="50"/>
    </row>
    <row r="76" spans="1:32" ht="30" customHeight="1">
      <c r="A76" s="357">
        <f>A75+1</f>
        <v>2</v>
      </c>
      <c r="B76" s="358"/>
      <c r="C76" s="215"/>
      <c r="D76" s="215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ref="A77:A83" si="21">A76+1</f>
        <v>3</v>
      </c>
      <c r="B77" s="358"/>
      <c r="C77" s="215"/>
      <c r="D77" s="215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21"/>
        <v>4</v>
      </c>
      <c r="B78" s="358"/>
      <c r="C78" s="215"/>
      <c r="D78" s="215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21"/>
        <v>5</v>
      </c>
      <c r="B79" s="358"/>
      <c r="C79" s="215"/>
      <c r="D79" s="215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21"/>
        <v>6</v>
      </c>
      <c r="B80" s="358"/>
      <c r="C80" s="215"/>
      <c r="D80" s="215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21"/>
        <v>7</v>
      </c>
      <c r="B81" s="358"/>
      <c r="C81" s="215"/>
      <c r="D81" s="215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0" customHeight="1">
      <c r="A82" s="357">
        <f t="shared" si="21"/>
        <v>8</v>
      </c>
      <c r="B82" s="358"/>
      <c r="C82" s="215"/>
      <c r="D82" s="215"/>
      <c r="E82" s="32"/>
      <c r="F82" s="358"/>
      <c r="G82" s="358"/>
      <c r="H82" s="358"/>
      <c r="I82" s="358"/>
      <c r="J82" s="358"/>
      <c r="K82" s="373"/>
      <c r="L82" s="374"/>
      <c r="M82" s="374"/>
      <c r="N82" s="374"/>
      <c r="O82" s="374"/>
      <c r="P82" s="374"/>
      <c r="Q82" s="374"/>
      <c r="R82" s="374"/>
      <c r="S82" s="375"/>
      <c r="T82" s="376"/>
      <c r="U82" s="376"/>
      <c r="V82" s="376"/>
      <c r="W82" s="376"/>
      <c r="X82" s="377"/>
      <c r="Y82" s="377"/>
      <c r="Z82" s="377"/>
      <c r="AA82" s="377"/>
      <c r="AB82" s="377"/>
      <c r="AC82" s="377"/>
      <c r="AD82" s="378"/>
      <c r="AF82" s="50"/>
    </row>
    <row r="83" spans="1:32" ht="30" customHeight="1">
      <c r="A83" s="357">
        <f t="shared" si="21"/>
        <v>9</v>
      </c>
      <c r="B83" s="358"/>
      <c r="C83" s="215"/>
      <c r="D83" s="215"/>
      <c r="E83" s="32"/>
      <c r="F83" s="358"/>
      <c r="G83" s="358"/>
      <c r="H83" s="358"/>
      <c r="I83" s="358"/>
      <c r="J83" s="358"/>
      <c r="K83" s="373"/>
      <c r="L83" s="374"/>
      <c r="M83" s="374"/>
      <c r="N83" s="374"/>
      <c r="O83" s="374"/>
      <c r="P83" s="374"/>
      <c r="Q83" s="374"/>
      <c r="R83" s="374"/>
      <c r="S83" s="375"/>
      <c r="T83" s="376"/>
      <c r="U83" s="376"/>
      <c r="V83" s="376"/>
      <c r="W83" s="376"/>
      <c r="X83" s="377"/>
      <c r="Y83" s="377"/>
      <c r="Z83" s="377"/>
      <c r="AA83" s="377"/>
      <c r="AB83" s="377"/>
      <c r="AC83" s="377"/>
      <c r="AD83" s="378"/>
      <c r="AF83" s="50"/>
    </row>
    <row r="84" spans="1:32" ht="36" thickBot="1">
      <c r="A84" s="370" t="s">
        <v>358</v>
      </c>
      <c r="B84" s="370"/>
      <c r="C84" s="370"/>
      <c r="D84" s="370"/>
      <c r="E84" s="370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F84" s="50"/>
    </row>
    <row r="85" spans="1:32" ht="30.75" customHeight="1" thickBot="1">
      <c r="A85" s="371" t="s">
        <v>113</v>
      </c>
      <c r="B85" s="372"/>
      <c r="C85" s="362" t="s">
        <v>52</v>
      </c>
      <c r="D85" s="362"/>
      <c r="E85" s="362" t="s">
        <v>53</v>
      </c>
      <c r="F85" s="362"/>
      <c r="G85" s="362"/>
      <c r="H85" s="362"/>
      <c r="I85" s="362"/>
      <c r="J85" s="362"/>
      <c r="K85" s="362" t="s">
        <v>54</v>
      </c>
      <c r="L85" s="362"/>
      <c r="M85" s="362"/>
      <c r="N85" s="362"/>
      <c r="O85" s="362"/>
      <c r="P85" s="362"/>
      <c r="Q85" s="362"/>
      <c r="R85" s="362"/>
      <c r="S85" s="362"/>
      <c r="T85" s="362" t="s">
        <v>55</v>
      </c>
      <c r="U85" s="362"/>
      <c r="V85" s="362" t="s">
        <v>56</v>
      </c>
      <c r="W85" s="362"/>
      <c r="X85" s="362"/>
      <c r="Y85" s="362" t="s">
        <v>51</v>
      </c>
      <c r="Z85" s="362"/>
      <c r="AA85" s="362"/>
      <c r="AB85" s="362"/>
      <c r="AC85" s="362"/>
      <c r="AD85" s="363"/>
      <c r="AF85" s="50"/>
    </row>
    <row r="86" spans="1:32" ht="30.75" customHeight="1">
      <c r="A86" s="364">
        <v>1</v>
      </c>
      <c r="B86" s="365"/>
      <c r="C86" s="366"/>
      <c r="D86" s="366"/>
      <c r="E86" s="366"/>
      <c r="F86" s="366"/>
      <c r="G86" s="366"/>
      <c r="H86" s="366"/>
      <c r="I86" s="366"/>
      <c r="J86" s="366"/>
      <c r="K86" s="366"/>
      <c r="L86" s="366"/>
      <c r="M86" s="366"/>
      <c r="N86" s="366"/>
      <c r="O86" s="366"/>
      <c r="P86" s="366"/>
      <c r="Q86" s="366"/>
      <c r="R86" s="366"/>
      <c r="S86" s="366"/>
      <c r="T86" s="366"/>
      <c r="U86" s="366"/>
      <c r="V86" s="367"/>
      <c r="W86" s="367"/>
      <c r="X86" s="367"/>
      <c r="Y86" s="368"/>
      <c r="Z86" s="368"/>
      <c r="AA86" s="368"/>
      <c r="AB86" s="368"/>
      <c r="AC86" s="368"/>
      <c r="AD86" s="369"/>
      <c r="AF86" s="50"/>
    </row>
    <row r="87" spans="1:32" ht="30.75" customHeight="1">
      <c r="A87" s="357">
        <v>2</v>
      </c>
      <c r="B87" s="358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59"/>
      <c r="P87" s="359"/>
      <c r="Q87" s="359"/>
      <c r="R87" s="359"/>
      <c r="S87" s="359"/>
      <c r="T87" s="360"/>
      <c r="U87" s="360"/>
      <c r="V87" s="361"/>
      <c r="W87" s="361"/>
      <c r="X87" s="361"/>
      <c r="Y87" s="350"/>
      <c r="Z87" s="350"/>
      <c r="AA87" s="350"/>
      <c r="AB87" s="350"/>
      <c r="AC87" s="350"/>
      <c r="AD87" s="351"/>
      <c r="AF87" s="50"/>
    </row>
    <row r="88" spans="1:32" ht="30.75" customHeight="1" thickBot="1">
      <c r="A88" s="352">
        <v>3</v>
      </c>
      <c r="B88" s="353"/>
      <c r="C88" s="354"/>
      <c r="D88" s="354"/>
      <c r="E88" s="354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354"/>
      <c r="W88" s="354"/>
      <c r="X88" s="354"/>
      <c r="Y88" s="355"/>
      <c r="Z88" s="355"/>
      <c r="AA88" s="355"/>
      <c r="AB88" s="355"/>
      <c r="AC88" s="355"/>
      <c r="AD88" s="356"/>
      <c r="AF88" s="50"/>
    </row>
  </sheetData>
  <mergeCells count="230"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8" max="29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06FD-3B52-4542-94B1-D77B01CD1AA3}">
  <sheetPr codeName="Sheet11"/>
  <dimension ref="A1:AF87"/>
  <sheetViews>
    <sheetView zoomScale="72" zoomScaleNormal="72" zoomScaleSheetLayoutView="70" workbookViewId="0">
      <selection activeCell="F69" sqref="F69:J69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359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227" t="s">
        <v>17</v>
      </c>
      <c r="L5" s="227" t="s">
        <v>18</v>
      </c>
      <c r="M5" s="227" t="s">
        <v>19</v>
      </c>
      <c r="N5" s="22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0.2722222222222222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0.2722222222222222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15000</v>
      </c>
      <c r="J8" s="14">
        <v>1236</v>
      </c>
      <c r="K8" s="15">
        <f>L8+3610+4566+4051+4702+4613+1236</f>
        <v>22778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0.2722222222222222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361</v>
      </c>
      <c r="E9" s="53" t="s">
        <v>360</v>
      </c>
      <c r="F9" s="30" t="s">
        <v>199</v>
      </c>
      <c r="G9" s="33">
        <v>1</v>
      </c>
      <c r="H9" s="35">
        <v>24</v>
      </c>
      <c r="I9" s="7">
        <v>100</v>
      </c>
      <c r="J9" s="14">
        <v>600</v>
      </c>
      <c r="K9" s="15">
        <f>L9</f>
        <v>600</v>
      </c>
      <c r="L9" s="15">
        <v>600</v>
      </c>
      <c r="M9" s="15">
        <f t="shared" si="1"/>
        <v>600</v>
      </c>
      <c r="N9" s="15">
        <v>0</v>
      </c>
      <c r="O9" s="58">
        <f t="shared" si="2"/>
        <v>0</v>
      </c>
      <c r="P9" s="39">
        <f t="shared" si="3"/>
        <v>4</v>
      </c>
      <c r="Q9" s="40">
        <f t="shared" si="4"/>
        <v>20</v>
      </c>
      <c r="R9" s="7"/>
      <c r="S9" s="6"/>
      <c r="T9" s="16"/>
      <c r="U9" s="16"/>
      <c r="V9" s="17"/>
      <c r="W9" s="5">
        <v>20</v>
      </c>
      <c r="X9" s="16"/>
      <c r="Y9" s="16"/>
      <c r="Z9" s="16"/>
      <c r="AA9" s="18"/>
      <c r="AB9" s="8">
        <f t="shared" si="5"/>
        <v>1</v>
      </c>
      <c r="AC9" s="9">
        <f t="shared" si="6"/>
        <v>0.16666666666666666</v>
      </c>
      <c r="AD9" s="10">
        <f t="shared" si="7"/>
        <v>0.16666666666666666</v>
      </c>
      <c r="AE9" s="36">
        <f t="shared" si="8"/>
        <v>0.2722222222222222</v>
      </c>
      <c r="AF9" s="87">
        <f t="shared" si="9"/>
        <v>4</v>
      </c>
    </row>
    <row r="10" spans="1:32" ht="27" customHeight="1">
      <c r="A10" s="103">
        <v>4</v>
      </c>
      <c r="B10" s="11" t="s">
        <v>57</v>
      </c>
      <c r="C10" s="11" t="s">
        <v>140</v>
      </c>
      <c r="D10" s="52" t="s">
        <v>362</v>
      </c>
      <c r="E10" s="53" t="s">
        <v>363</v>
      </c>
      <c r="F10" s="30" t="s">
        <v>364</v>
      </c>
      <c r="G10" s="33">
        <v>2</v>
      </c>
      <c r="H10" s="35">
        <v>24</v>
      </c>
      <c r="I10" s="7">
        <v>3000</v>
      </c>
      <c r="J10" s="14">
        <v>3300</v>
      </c>
      <c r="K10" s="15">
        <f>L10</f>
        <v>3300</v>
      </c>
      <c r="L10" s="15">
        <f>1650*2</f>
        <v>3300</v>
      </c>
      <c r="M10" s="15">
        <f t="shared" ref="M10" si="10">L10-N10</f>
        <v>3300</v>
      </c>
      <c r="N10" s="15">
        <v>0</v>
      </c>
      <c r="O10" s="58">
        <f t="shared" ref="O10" si="11">IF(L10=0,"0",N10/L10)</f>
        <v>0</v>
      </c>
      <c r="P10" s="39">
        <f t="shared" ref="P10" si="12">IF(L10=0,"0",(24-Q10))</f>
        <v>16</v>
      </c>
      <c r="Q10" s="40">
        <f t="shared" ref="Q10" si="13">SUM(R10:AA10)</f>
        <v>8</v>
      </c>
      <c r="R10" s="7"/>
      <c r="S10" s="6"/>
      <c r="T10" s="16">
        <v>8</v>
      </c>
      <c r="U10" s="16"/>
      <c r="V10" s="17"/>
      <c r="W10" s="5"/>
      <c r="X10" s="16"/>
      <c r="Y10" s="16"/>
      <c r="Z10" s="16"/>
      <c r="AA10" s="18"/>
      <c r="AB10" s="8">
        <f t="shared" ref="AB10" si="14">IF(J10=0,"0",(L10/J10))</f>
        <v>1</v>
      </c>
      <c r="AC10" s="9">
        <f t="shared" ref="AC10" si="15">IF(P10=0,"0",(P10/24))</f>
        <v>0.66666666666666663</v>
      </c>
      <c r="AD10" s="10">
        <f t="shared" ref="AD10" si="16">AC10*AB10*(1-O10)</f>
        <v>0.66666666666666663</v>
      </c>
      <c r="AE10" s="36">
        <f t="shared" si="8"/>
        <v>0.2722222222222222</v>
      </c>
      <c r="AF10" s="87">
        <f t="shared" ref="AF10" si="17">A10</f>
        <v>4</v>
      </c>
    </row>
    <row r="11" spans="1:32" ht="27" customHeight="1">
      <c r="A11" s="103">
        <v>5</v>
      </c>
      <c r="B11" s="11" t="s">
        <v>57</v>
      </c>
      <c r="C11" s="34" t="s">
        <v>142</v>
      </c>
      <c r="D11" s="52" t="s">
        <v>152</v>
      </c>
      <c r="E11" s="53" t="s">
        <v>150</v>
      </c>
      <c r="F11" s="30" t="s">
        <v>121</v>
      </c>
      <c r="G11" s="33">
        <v>2</v>
      </c>
      <c r="H11" s="35">
        <v>24</v>
      </c>
      <c r="I11" s="7">
        <v>90000</v>
      </c>
      <c r="J11" s="5">
        <v>14620</v>
      </c>
      <c r="K11" s="15">
        <f>L11+1714+13656+15988+16420+5830+12022+8590+10992+16158+15754+14620</f>
        <v>131744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>AC11*AB11*(1-O11)</f>
        <v>0</v>
      </c>
      <c r="AE11" s="36">
        <f t="shared" si="8"/>
        <v>0.2722222222222222</v>
      </c>
      <c r="AF11" s="87">
        <f t="shared" si="9"/>
        <v>5</v>
      </c>
    </row>
    <row r="12" spans="1:32" ht="27" customHeight="1">
      <c r="A12" s="103">
        <v>6</v>
      </c>
      <c r="B12" s="11" t="s">
        <v>57</v>
      </c>
      <c r="C12" s="11" t="s">
        <v>124</v>
      </c>
      <c r="D12" s="52" t="s">
        <v>299</v>
      </c>
      <c r="E12" s="53" t="s">
        <v>300</v>
      </c>
      <c r="F12" s="30" t="s">
        <v>131</v>
      </c>
      <c r="G12" s="33">
        <v>1</v>
      </c>
      <c r="H12" s="35">
        <v>20</v>
      </c>
      <c r="I12" s="7">
        <v>5000</v>
      </c>
      <c r="J12" s="14">
        <v>5453</v>
      </c>
      <c r="K12" s="15">
        <f>L12+2380+5658+5453</f>
        <v>13491</v>
      </c>
      <c r="L12" s="15"/>
      <c r="M12" s="15">
        <f t="shared" si="1"/>
        <v>0</v>
      </c>
      <c r="N12" s="15">
        <v>0</v>
      </c>
      <c r="O12" s="58" t="str">
        <f t="shared" si="2"/>
        <v>0</v>
      </c>
      <c r="P12" s="39" t="str">
        <f t="shared" si="3"/>
        <v>0</v>
      </c>
      <c r="Q12" s="40">
        <f t="shared" si="4"/>
        <v>24</v>
      </c>
      <c r="R12" s="7"/>
      <c r="S12" s="6"/>
      <c r="T12" s="16"/>
      <c r="U12" s="16"/>
      <c r="V12" s="17"/>
      <c r="W12" s="5">
        <v>24</v>
      </c>
      <c r="X12" s="16"/>
      <c r="Y12" s="16"/>
      <c r="Z12" s="16"/>
      <c r="AA12" s="18"/>
      <c r="AB12" s="8">
        <f t="shared" si="5"/>
        <v>0</v>
      </c>
      <c r="AC12" s="9">
        <f t="shared" si="6"/>
        <v>0</v>
      </c>
      <c r="AD12" s="10">
        <f t="shared" ref="AD12" si="18">AC12*AB12*(1-O12)</f>
        <v>0</v>
      </c>
      <c r="AE12" s="36">
        <f t="shared" si="8"/>
        <v>0.2722222222222222</v>
      </c>
      <c r="AF12" s="87">
        <f t="shared" si="9"/>
        <v>6</v>
      </c>
    </row>
    <row r="13" spans="1:32" ht="27" customHeight="1">
      <c r="A13" s="103">
        <v>7</v>
      </c>
      <c r="B13" s="11" t="s">
        <v>57</v>
      </c>
      <c r="C13" s="11" t="s">
        <v>124</v>
      </c>
      <c r="D13" s="52" t="s">
        <v>117</v>
      </c>
      <c r="E13" s="53" t="s">
        <v>158</v>
      </c>
      <c r="F13" s="30" t="s">
        <v>132</v>
      </c>
      <c r="G13" s="33">
        <v>1</v>
      </c>
      <c r="H13" s="35">
        <v>20</v>
      </c>
      <c r="I13" s="7">
        <v>50000</v>
      </c>
      <c r="J13" s="14">
        <v>4831</v>
      </c>
      <c r="K13" s="15">
        <f>L13+4551</f>
        <v>9382</v>
      </c>
      <c r="L13" s="15">
        <f>2593+2238</f>
        <v>4831</v>
      </c>
      <c r="M13" s="15">
        <f t="shared" si="1"/>
        <v>4831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7"/>
        <v>1</v>
      </c>
      <c r="AE13" s="36">
        <f t="shared" si="8"/>
        <v>0.2722222222222222</v>
      </c>
      <c r="AF13" s="87">
        <f t="shared" si="9"/>
        <v>7</v>
      </c>
    </row>
    <row r="14" spans="1:32" ht="27" customHeight="1">
      <c r="A14" s="103">
        <v>8</v>
      </c>
      <c r="B14" s="11" t="s">
        <v>57</v>
      </c>
      <c r="C14" s="11" t="s">
        <v>140</v>
      </c>
      <c r="D14" s="52" t="s">
        <v>117</v>
      </c>
      <c r="E14" s="53" t="s">
        <v>340</v>
      </c>
      <c r="F14" s="30" t="s">
        <v>216</v>
      </c>
      <c r="G14" s="33">
        <v>2</v>
      </c>
      <c r="H14" s="35">
        <v>24</v>
      </c>
      <c r="I14" s="7">
        <v>10000</v>
      </c>
      <c r="J14" s="14">
        <v>4828</v>
      </c>
      <c r="K14" s="15">
        <f>L14+4828</f>
        <v>4828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0.2722222222222222</v>
      </c>
      <c r="AF14" s="87">
        <f t="shared" si="9"/>
        <v>8</v>
      </c>
    </row>
    <row r="15" spans="1:32" ht="27" customHeight="1">
      <c r="A15" s="118">
        <v>9</v>
      </c>
      <c r="B15" s="11" t="s">
        <v>57</v>
      </c>
      <c r="C15" s="34" t="s">
        <v>140</v>
      </c>
      <c r="D15" s="52" t="s">
        <v>223</v>
      </c>
      <c r="E15" s="53" t="s">
        <v>224</v>
      </c>
      <c r="F15" s="30" t="s">
        <v>216</v>
      </c>
      <c r="G15" s="12">
        <v>1</v>
      </c>
      <c r="H15" s="13">
        <v>28</v>
      </c>
      <c r="I15" s="7">
        <v>1000</v>
      </c>
      <c r="J15" s="5">
        <v>1620</v>
      </c>
      <c r="K15" s="15">
        <f>L15+1620</f>
        <v>1620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0.2722222222222222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140</v>
      </c>
      <c r="D16" s="52" t="s">
        <v>129</v>
      </c>
      <c r="E16" s="53" t="s">
        <v>331</v>
      </c>
      <c r="F16" s="12" t="s">
        <v>332</v>
      </c>
      <c r="G16" s="12">
        <v>2</v>
      </c>
      <c r="H16" s="13">
        <v>24</v>
      </c>
      <c r="I16" s="31">
        <v>10000</v>
      </c>
      <c r="J16" s="14">
        <v>7088</v>
      </c>
      <c r="K16" s="15">
        <f>L16+4862</f>
        <v>11950</v>
      </c>
      <c r="L16" s="15">
        <f>1337*2+2207*2</f>
        <v>7088</v>
      </c>
      <c r="M16" s="15">
        <f t="shared" si="1"/>
        <v>7088</v>
      </c>
      <c r="N16" s="15">
        <v>0</v>
      </c>
      <c r="O16" s="58">
        <f t="shared" si="2"/>
        <v>0</v>
      </c>
      <c r="P16" s="39">
        <f t="shared" si="3"/>
        <v>20</v>
      </c>
      <c r="Q16" s="40">
        <f t="shared" si="4"/>
        <v>4</v>
      </c>
      <c r="R16" s="7"/>
      <c r="S16" s="6"/>
      <c r="T16" s="16"/>
      <c r="U16" s="16"/>
      <c r="V16" s="17"/>
      <c r="W16" s="5">
        <v>4</v>
      </c>
      <c r="X16" s="16"/>
      <c r="Y16" s="16"/>
      <c r="Z16" s="16"/>
      <c r="AA16" s="18"/>
      <c r="AB16" s="8">
        <f t="shared" si="5"/>
        <v>1</v>
      </c>
      <c r="AC16" s="9">
        <f t="shared" si="6"/>
        <v>0.83333333333333337</v>
      </c>
      <c r="AD16" s="10">
        <f t="shared" si="7"/>
        <v>0.83333333333333337</v>
      </c>
      <c r="AE16" s="36">
        <f t="shared" si="8"/>
        <v>0.2722222222222222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34" t="s">
        <v>124</v>
      </c>
      <c r="D17" s="52" t="s">
        <v>129</v>
      </c>
      <c r="E17" s="53" t="s">
        <v>259</v>
      </c>
      <c r="F17" s="30" t="s">
        <v>130</v>
      </c>
      <c r="G17" s="12">
        <v>1</v>
      </c>
      <c r="H17" s="13">
        <v>28</v>
      </c>
      <c r="I17" s="7">
        <v>9000</v>
      </c>
      <c r="J17" s="14">
        <v>4928</v>
      </c>
      <c r="K17" s="15">
        <f>L17+5027+5503+5566+4928</f>
        <v>21024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>
        <v>24</v>
      </c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0.2722222222222222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11" t="s">
        <v>140</v>
      </c>
      <c r="D18" s="52" t="s">
        <v>221</v>
      </c>
      <c r="E18" s="53" t="s">
        <v>343</v>
      </c>
      <c r="F18" s="30" t="s">
        <v>332</v>
      </c>
      <c r="G18" s="33">
        <v>2</v>
      </c>
      <c r="H18" s="35">
        <v>20</v>
      </c>
      <c r="I18" s="7">
        <v>10000</v>
      </c>
      <c r="J18" s="14">
        <v>4090</v>
      </c>
      <c r="K18" s="15">
        <f>L18+7044</f>
        <v>11134</v>
      </c>
      <c r="L18" s="15">
        <f>2045*2</f>
        <v>4090</v>
      </c>
      <c r="M18" s="15">
        <f t="shared" si="1"/>
        <v>4090</v>
      </c>
      <c r="N18" s="15">
        <v>0</v>
      </c>
      <c r="O18" s="58">
        <f t="shared" si="2"/>
        <v>0</v>
      </c>
      <c r="P18" s="39">
        <f t="shared" si="3"/>
        <v>11</v>
      </c>
      <c r="Q18" s="40">
        <f t="shared" si="4"/>
        <v>13</v>
      </c>
      <c r="R18" s="7"/>
      <c r="S18" s="6"/>
      <c r="T18" s="16"/>
      <c r="U18" s="16"/>
      <c r="V18" s="17"/>
      <c r="W18" s="5">
        <v>13</v>
      </c>
      <c r="X18" s="16"/>
      <c r="Y18" s="16"/>
      <c r="Z18" s="16"/>
      <c r="AA18" s="18"/>
      <c r="AB18" s="8">
        <f t="shared" si="5"/>
        <v>1</v>
      </c>
      <c r="AC18" s="9">
        <f t="shared" si="6"/>
        <v>0.45833333333333331</v>
      </c>
      <c r="AD18" s="10">
        <f t="shared" si="7"/>
        <v>0.45833333333333331</v>
      </c>
      <c r="AE18" s="36">
        <f t="shared" si="8"/>
        <v>0.2722222222222222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323</v>
      </c>
      <c r="D19" s="52" t="s">
        <v>129</v>
      </c>
      <c r="E19" s="53" t="s">
        <v>344</v>
      </c>
      <c r="F19" s="30" t="s">
        <v>132</v>
      </c>
      <c r="G19" s="33">
        <v>1</v>
      </c>
      <c r="H19" s="35">
        <v>24</v>
      </c>
      <c r="I19" s="7">
        <v>1000</v>
      </c>
      <c r="J19" s="5">
        <v>1035</v>
      </c>
      <c r="K19" s="15">
        <f>L19</f>
        <v>1035</v>
      </c>
      <c r="L19" s="15">
        <v>1035</v>
      </c>
      <c r="M19" s="15">
        <f t="shared" si="1"/>
        <v>1035</v>
      </c>
      <c r="N19" s="15">
        <v>0</v>
      </c>
      <c r="O19" s="58">
        <f t="shared" si="2"/>
        <v>0</v>
      </c>
      <c r="P19" s="39">
        <f t="shared" si="3"/>
        <v>10</v>
      </c>
      <c r="Q19" s="40">
        <f t="shared" si="4"/>
        <v>14</v>
      </c>
      <c r="R19" s="7"/>
      <c r="S19" s="6"/>
      <c r="T19" s="16"/>
      <c r="U19" s="16"/>
      <c r="V19" s="17"/>
      <c r="W19" s="5">
        <v>14</v>
      </c>
      <c r="X19" s="16"/>
      <c r="Y19" s="16"/>
      <c r="Z19" s="16"/>
      <c r="AA19" s="18"/>
      <c r="AB19" s="8">
        <f t="shared" si="5"/>
        <v>1</v>
      </c>
      <c r="AC19" s="9">
        <f t="shared" si="6"/>
        <v>0.41666666666666669</v>
      </c>
      <c r="AD19" s="10">
        <f>AC19*AB19*(1-O19)</f>
        <v>0.41666666666666669</v>
      </c>
      <c r="AE19" s="36">
        <f t="shared" si="8"/>
        <v>0.2722222222222222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114</v>
      </c>
      <c r="D20" s="52" t="s">
        <v>117</v>
      </c>
      <c r="E20" s="53" t="s">
        <v>310</v>
      </c>
      <c r="F20" s="30" t="s">
        <v>123</v>
      </c>
      <c r="G20" s="33">
        <v>1</v>
      </c>
      <c r="H20" s="35">
        <v>24</v>
      </c>
      <c r="I20" s="7">
        <v>8000</v>
      </c>
      <c r="J20" s="5">
        <v>4579</v>
      </c>
      <c r="K20" s="15">
        <f>L20+3113+5646+4579</f>
        <v>13338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/>
      <c r="W20" s="5">
        <v>24</v>
      </c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ref="AD20" si="19">AC20*AB20*(1-O20)</f>
        <v>0</v>
      </c>
      <c r="AE20" s="36">
        <f t="shared" si="8"/>
        <v>0.2722222222222222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333</v>
      </c>
      <c r="F21" s="12" t="s">
        <v>116</v>
      </c>
      <c r="G21" s="12">
        <v>3</v>
      </c>
      <c r="H21" s="35">
        <v>20</v>
      </c>
      <c r="I21" s="7">
        <v>300000</v>
      </c>
      <c r="J21" s="14">
        <v>68919</v>
      </c>
      <c r="K21" s="15">
        <f>L21+29373</f>
        <v>98292</v>
      </c>
      <c r="L21" s="15">
        <f>10948*3+12025*3</f>
        <v>68919</v>
      </c>
      <c r="M21" s="15">
        <f t="shared" si="1"/>
        <v>68919</v>
      </c>
      <c r="N21" s="15">
        <v>0</v>
      </c>
      <c r="O21" s="58">
        <f t="shared" si="2"/>
        <v>0</v>
      </c>
      <c r="P21" s="39">
        <f t="shared" si="3"/>
        <v>13</v>
      </c>
      <c r="Q21" s="40">
        <f t="shared" si="4"/>
        <v>11</v>
      </c>
      <c r="R21" s="7"/>
      <c r="S21" s="6">
        <v>11</v>
      </c>
      <c r="T21" s="16"/>
      <c r="U21" s="16"/>
      <c r="V21" s="17"/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0.54166666666666663</v>
      </c>
      <c r="AD21" s="10">
        <f t="shared" si="7"/>
        <v>0.54166666666666663</v>
      </c>
      <c r="AE21" s="36">
        <f t="shared" si="8"/>
        <v>0.2722222222222222</v>
      </c>
      <c r="AF21" s="87">
        <f t="shared" si="9"/>
        <v>15</v>
      </c>
    </row>
    <row r="22" spans="1:32" ht="31.5" customHeight="1" thickBot="1">
      <c r="A22" s="427" t="s">
        <v>34</v>
      </c>
      <c r="B22" s="428"/>
      <c r="C22" s="428"/>
      <c r="D22" s="428"/>
      <c r="E22" s="428"/>
      <c r="F22" s="428"/>
      <c r="G22" s="428"/>
      <c r="H22" s="429"/>
      <c r="I22" s="22">
        <f t="shared" ref="I22:N22" si="20">SUM(I6:I21)</f>
        <v>533100</v>
      </c>
      <c r="J22" s="19">
        <f t="shared" si="20"/>
        <v>129188</v>
      </c>
      <c r="K22" s="20">
        <f t="shared" si="20"/>
        <v>356064</v>
      </c>
      <c r="L22" s="21">
        <f t="shared" si="20"/>
        <v>89863</v>
      </c>
      <c r="M22" s="20">
        <f t="shared" si="20"/>
        <v>89863</v>
      </c>
      <c r="N22" s="21">
        <f t="shared" si="20"/>
        <v>0</v>
      </c>
      <c r="O22" s="41">
        <f t="shared" si="2"/>
        <v>0</v>
      </c>
      <c r="P22" s="42">
        <f t="shared" ref="P22:AA22" si="21">SUM(P6:P21)</f>
        <v>98</v>
      </c>
      <c r="Q22" s="43">
        <f t="shared" si="21"/>
        <v>286</v>
      </c>
      <c r="R22" s="23">
        <f t="shared" si="21"/>
        <v>48</v>
      </c>
      <c r="S22" s="24">
        <f t="shared" si="21"/>
        <v>83</v>
      </c>
      <c r="T22" s="24">
        <f t="shared" si="21"/>
        <v>8</v>
      </c>
      <c r="U22" s="24">
        <f t="shared" si="21"/>
        <v>0</v>
      </c>
      <c r="V22" s="25">
        <f t="shared" si="21"/>
        <v>24</v>
      </c>
      <c r="W22" s="26">
        <f t="shared" si="21"/>
        <v>123</v>
      </c>
      <c r="X22" s="27">
        <f t="shared" si="21"/>
        <v>0</v>
      </c>
      <c r="Y22" s="27">
        <f t="shared" si="21"/>
        <v>0</v>
      </c>
      <c r="Z22" s="27">
        <f t="shared" si="21"/>
        <v>0</v>
      </c>
      <c r="AA22" s="27">
        <f t="shared" si="21"/>
        <v>0</v>
      </c>
      <c r="AB22" s="28">
        <f>SUM(AB6:AB21)/15</f>
        <v>0.46666666666666667</v>
      </c>
      <c r="AC22" s="4">
        <f>SUM(AC6:AC21)/15</f>
        <v>0.2722222222222222</v>
      </c>
      <c r="AD22" s="4">
        <f>SUM(AD6:AD21)/15</f>
        <v>0.2722222222222222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430" t="s">
        <v>45</v>
      </c>
      <c r="B49" s="430"/>
      <c r="C49" s="430"/>
      <c r="D49" s="430"/>
      <c r="E49" s="43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431" t="s">
        <v>365</v>
      </c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3"/>
      <c r="N50" s="434" t="s">
        <v>367</v>
      </c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6"/>
    </row>
    <row r="51" spans="1:32" ht="27" customHeight="1">
      <c r="A51" s="437" t="s">
        <v>2</v>
      </c>
      <c r="B51" s="438"/>
      <c r="C51" s="226" t="s">
        <v>46</v>
      </c>
      <c r="D51" s="226" t="s">
        <v>47</v>
      </c>
      <c r="E51" s="226" t="s">
        <v>108</v>
      </c>
      <c r="F51" s="438" t="s">
        <v>107</v>
      </c>
      <c r="G51" s="438"/>
      <c r="H51" s="438"/>
      <c r="I51" s="438"/>
      <c r="J51" s="438"/>
      <c r="K51" s="438"/>
      <c r="L51" s="438"/>
      <c r="M51" s="439"/>
      <c r="N51" s="67" t="s">
        <v>112</v>
      </c>
      <c r="O51" s="226" t="s">
        <v>46</v>
      </c>
      <c r="P51" s="440" t="s">
        <v>47</v>
      </c>
      <c r="Q51" s="441"/>
      <c r="R51" s="440" t="s">
        <v>38</v>
      </c>
      <c r="S51" s="442"/>
      <c r="T51" s="442"/>
      <c r="U51" s="441"/>
      <c r="V51" s="440" t="s">
        <v>48</v>
      </c>
      <c r="W51" s="442"/>
      <c r="X51" s="442"/>
      <c r="Y51" s="442"/>
      <c r="Z51" s="442"/>
      <c r="AA51" s="442"/>
      <c r="AB51" s="442"/>
      <c r="AC51" s="442"/>
      <c r="AD51" s="443"/>
    </row>
    <row r="52" spans="1:32" ht="27" customHeight="1">
      <c r="A52" s="409" t="s">
        <v>114</v>
      </c>
      <c r="B52" s="410"/>
      <c r="C52" s="224" t="s">
        <v>189</v>
      </c>
      <c r="D52" s="224" t="s">
        <v>361</v>
      </c>
      <c r="E52" s="224" t="s">
        <v>366</v>
      </c>
      <c r="F52" s="411" t="s">
        <v>120</v>
      </c>
      <c r="G52" s="412"/>
      <c r="H52" s="412"/>
      <c r="I52" s="412"/>
      <c r="J52" s="412"/>
      <c r="K52" s="412"/>
      <c r="L52" s="412"/>
      <c r="M52" s="413"/>
      <c r="N52" s="223" t="s">
        <v>124</v>
      </c>
      <c r="O52" s="221" t="s">
        <v>176</v>
      </c>
      <c r="P52" s="423" t="s">
        <v>117</v>
      </c>
      <c r="Q52" s="424"/>
      <c r="R52" s="410" t="s">
        <v>158</v>
      </c>
      <c r="S52" s="410"/>
      <c r="T52" s="410"/>
      <c r="U52" s="410"/>
      <c r="V52" s="400" t="s">
        <v>306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140</v>
      </c>
      <c r="B53" s="410"/>
      <c r="C53" s="224" t="s">
        <v>189</v>
      </c>
      <c r="D53" s="224" t="s">
        <v>362</v>
      </c>
      <c r="E53" s="224" t="s">
        <v>363</v>
      </c>
      <c r="F53" s="411" t="s">
        <v>120</v>
      </c>
      <c r="G53" s="412"/>
      <c r="H53" s="412"/>
      <c r="I53" s="412"/>
      <c r="J53" s="412"/>
      <c r="K53" s="412"/>
      <c r="L53" s="412"/>
      <c r="M53" s="413"/>
      <c r="N53" s="223" t="s">
        <v>140</v>
      </c>
      <c r="O53" s="221" t="s">
        <v>136</v>
      </c>
      <c r="P53" s="423"/>
      <c r="Q53" s="424"/>
      <c r="R53" s="410" t="s">
        <v>162</v>
      </c>
      <c r="S53" s="410"/>
      <c r="T53" s="410"/>
      <c r="U53" s="410"/>
      <c r="V53" s="400" t="s">
        <v>120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323</v>
      </c>
      <c r="B54" s="410"/>
      <c r="C54" s="224" t="s">
        <v>128</v>
      </c>
      <c r="D54" s="224" t="s">
        <v>129</v>
      </c>
      <c r="E54" s="224" t="s">
        <v>344</v>
      </c>
      <c r="F54" s="411" t="s">
        <v>120</v>
      </c>
      <c r="G54" s="412"/>
      <c r="H54" s="412"/>
      <c r="I54" s="412"/>
      <c r="J54" s="412"/>
      <c r="K54" s="412"/>
      <c r="L54" s="412"/>
      <c r="M54" s="413"/>
      <c r="N54" s="223" t="s">
        <v>114</v>
      </c>
      <c r="O54" s="221" t="s">
        <v>204</v>
      </c>
      <c r="P54" s="423" t="s">
        <v>369</v>
      </c>
      <c r="Q54" s="424"/>
      <c r="R54" s="410" t="s">
        <v>368</v>
      </c>
      <c r="S54" s="410"/>
      <c r="T54" s="410"/>
      <c r="U54" s="410"/>
      <c r="V54" s="400" t="s">
        <v>120</v>
      </c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/>
      <c r="B55" s="410"/>
      <c r="C55" s="224"/>
      <c r="D55" s="224"/>
      <c r="E55" s="224"/>
      <c r="F55" s="411"/>
      <c r="G55" s="412"/>
      <c r="H55" s="412"/>
      <c r="I55" s="412"/>
      <c r="J55" s="412"/>
      <c r="K55" s="412"/>
      <c r="L55" s="412"/>
      <c r="M55" s="413"/>
      <c r="N55" s="223" t="s">
        <v>114</v>
      </c>
      <c r="O55" s="221" t="s">
        <v>189</v>
      </c>
      <c r="P55" s="423" t="s">
        <v>371</v>
      </c>
      <c r="Q55" s="424"/>
      <c r="R55" s="410" t="s">
        <v>370</v>
      </c>
      <c r="S55" s="410"/>
      <c r="T55" s="410"/>
      <c r="U55" s="410"/>
      <c r="V55" s="400" t="s">
        <v>120</v>
      </c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/>
      <c r="B56" s="410"/>
      <c r="C56" s="224"/>
      <c r="D56" s="224"/>
      <c r="E56" s="224"/>
      <c r="F56" s="411"/>
      <c r="G56" s="412"/>
      <c r="H56" s="412"/>
      <c r="I56" s="412"/>
      <c r="J56" s="412"/>
      <c r="K56" s="412"/>
      <c r="L56" s="412"/>
      <c r="M56" s="413"/>
      <c r="N56" s="223"/>
      <c r="O56" s="221"/>
      <c r="P56" s="423"/>
      <c r="Q56" s="424"/>
      <c r="R56" s="410"/>
      <c r="S56" s="410"/>
      <c r="T56" s="410"/>
      <c r="U56" s="410"/>
      <c r="V56" s="400"/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/>
      <c r="B57" s="410"/>
      <c r="C57" s="224"/>
      <c r="D57" s="224"/>
      <c r="E57" s="224"/>
      <c r="F57" s="411"/>
      <c r="G57" s="412"/>
      <c r="H57" s="412"/>
      <c r="I57" s="412"/>
      <c r="J57" s="412"/>
      <c r="K57" s="412"/>
      <c r="L57" s="412"/>
      <c r="M57" s="413"/>
      <c r="N57" s="223"/>
      <c r="O57" s="221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/>
      <c r="B58" s="410"/>
      <c r="C58" s="224"/>
      <c r="D58" s="224"/>
      <c r="E58" s="224"/>
      <c r="F58" s="411"/>
      <c r="G58" s="412"/>
      <c r="H58" s="412"/>
      <c r="I58" s="412"/>
      <c r="J58" s="412"/>
      <c r="K58" s="412"/>
      <c r="L58" s="412"/>
      <c r="M58" s="413"/>
      <c r="N58" s="223"/>
      <c r="O58" s="221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224"/>
      <c r="D59" s="224"/>
      <c r="E59" s="224"/>
      <c r="F59" s="411"/>
      <c r="G59" s="412"/>
      <c r="H59" s="412"/>
      <c r="I59" s="412"/>
      <c r="J59" s="412"/>
      <c r="K59" s="412"/>
      <c r="L59" s="412"/>
      <c r="M59" s="413"/>
      <c r="N59" s="223"/>
      <c r="O59" s="221"/>
      <c r="P59" s="423"/>
      <c r="Q59" s="424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</row>
    <row r="60" spans="1:32" ht="27" customHeight="1">
      <c r="A60" s="409"/>
      <c r="B60" s="410"/>
      <c r="C60" s="224"/>
      <c r="D60" s="224"/>
      <c r="E60" s="224"/>
      <c r="F60" s="411"/>
      <c r="G60" s="412"/>
      <c r="H60" s="412"/>
      <c r="I60" s="412"/>
      <c r="J60" s="412"/>
      <c r="K60" s="412"/>
      <c r="L60" s="412"/>
      <c r="M60" s="413"/>
      <c r="N60" s="223"/>
      <c r="O60" s="221"/>
      <c r="P60" s="410"/>
      <c r="Q60" s="410"/>
      <c r="R60" s="410"/>
      <c r="S60" s="410"/>
      <c r="T60" s="410"/>
      <c r="U60" s="410"/>
      <c r="V60" s="400"/>
      <c r="W60" s="400"/>
      <c r="X60" s="400"/>
      <c r="Y60" s="400"/>
      <c r="Z60" s="400"/>
      <c r="AA60" s="400"/>
      <c r="AB60" s="400"/>
      <c r="AC60" s="400"/>
      <c r="AD60" s="414"/>
      <c r="AF60" s="87">
        <f>8*3000</f>
        <v>24000</v>
      </c>
    </row>
    <row r="61" spans="1:32" ht="27" customHeight="1" thickBot="1">
      <c r="A61" s="415"/>
      <c r="B61" s="416"/>
      <c r="C61" s="225"/>
      <c r="D61" s="225"/>
      <c r="E61" s="225"/>
      <c r="F61" s="417"/>
      <c r="G61" s="418"/>
      <c r="H61" s="418"/>
      <c r="I61" s="418"/>
      <c r="J61" s="418"/>
      <c r="K61" s="418"/>
      <c r="L61" s="418"/>
      <c r="M61" s="419"/>
      <c r="N61" s="124"/>
      <c r="O61" s="114"/>
      <c r="P61" s="420"/>
      <c r="Q61" s="420"/>
      <c r="R61" s="420"/>
      <c r="S61" s="420"/>
      <c r="T61" s="420"/>
      <c r="U61" s="420"/>
      <c r="V61" s="421"/>
      <c r="W61" s="421"/>
      <c r="X61" s="421"/>
      <c r="Y61" s="421"/>
      <c r="Z61" s="421"/>
      <c r="AA61" s="421"/>
      <c r="AB61" s="421"/>
      <c r="AC61" s="421"/>
      <c r="AD61" s="422"/>
      <c r="AF61" s="87">
        <f>16*3000</f>
        <v>48000</v>
      </c>
    </row>
    <row r="62" spans="1:32" ht="27.75" thickBot="1">
      <c r="A62" s="407" t="s">
        <v>372</v>
      </c>
      <c r="B62" s="407"/>
      <c r="C62" s="407"/>
      <c r="D62" s="407"/>
      <c r="E62" s="407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408" t="s">
        <v>113</v>
      </c>
      <c r="B63" s="405"/>
      <c r="C63" s="222" t="s">
        <v>2</v>
      </c>
      <c r="D63" s="222" t="s">
        <v>37</v>
      </c>
      <c r="E63" s="222" t="s">
        <v>3</v>
      </c>
      <c r="F63" s="405" t="s">
        <v>110</v>
      </c>
      <c r="G63" s="405"/>
      <c r="H63" s="405"/>
      <c r="I63" s="405"/>
      <c r="J63" s="405"/>
      <c r="K63" s="405" t="s">
        <v>39</v>
      </c>
      <c r="L63" s="405"/>
      <c r="M63" s="222" t="s">
        <v>40</v>
      </c>
      <c r="N63" s="405" t="s">
        <v>41</v>
      </c>
      <c r="O63" s="405"/>
      <c r="P63" s="402" t="s">
        <v>42</v>
      </c>
      <c r="Q63" s="404"/>
      <c r="R63" s="402" t="s">
        <v>43</v>
      </c>
      <c r="S63" s="403"/>
      <c r="T63" s="403"/>
      <c r="U63" s="403"/>
      <c r="V63" s="403"/>
      <c r="W63" s="403"/>
      <c r="X63" s="403"/>
      <c r="Y63" s="403"/>
      <c r="Z63" s="403"/>
      <c r="AA63" s="404"/>
      <c r="AB63" s="405" t="s">
        <v>44</v>
      </c>
      <c r="AC63" s="405"/>
      <c r="AD63" s="406"/>
      <c r="AF63" s="87">
        <f>SUM(AF60:AF62)</f>
        <v>96000</v>
      </c>
    </row>
    <row r="64" spans="1:32" ht="25.5" customHeight="1">
      <c r="A64" s="396">
        <v>1</v>
      </c>
      <c r="B64" s="397"/>
      <c r="C64" s="117" t="s">
        <v>140</v>
      </c>
      <c r="D64" s="217"/>
      <c r="E64" s="220" t="s">
        <v>117</v>
      </c>
      <c r="F64" s="398" t="s">
        <v>373</v>
      </c>
      <c r="G64" s="390"/>
      <c r="H64" s="390"/>
      <c r="I64" s="390"/>
      <c r="J64" s="390"/>
      <c r="K64" s="390" t="s">
        <v>216</v>
      </c>
      <c r="L64" s="390"/>
      <c r="M64" s="51" t="s">
        <v>207</v>
      </c>
      <c r="N64" s="401" t="s">
        <v>217</v>
      </c>
      <c r="O64" s="401"/>
      <c r="P64" s="399">
        <v>100</v>
      </c>
      <c r="Q64" s="399"/>
      <c r="R64" s="400" t="s">
        <v>376</v>
      </c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2</v>
      </c>
      <c r="B65" s="397"/>
      <c r="C65" s="117" t="s">
        <v>140</v>
      </c>
      <c r="D65" s="217"/>
      <c r="E65" s="220" t="s">
        <v>221</v>
      </c>
      <c r="F65" s="398" t="s">
        <v>374</v>
      </c>
      <c r="G65" s="390"/>
      <c r="H65" s="390"/>
      <c r="I65" s="390"/>
      <c r="J65" s="390"/>
      <c r="K65" s="390" t="s">
        <v>332</v>
      </c>
      <c r="L65" s="390"/>
      <c r="M65" s="51" t="s">
        <v>207</v>
      </c>
      <c r="N65" s="401" t="s">
        <v>143</v>
      </c>
      <c r="O65" s="401"/>
      <c r="P65" s="399">
        <v>100</v>
      </c>
      <c r="Q65" s="399"/>
      <c r="R65" s="400" t="s">
        <v>376</v>
      </c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3</v>
      </c>
      <c r="B66" s="397"/>
      <c r="C66" s="117" t="s">
        <v>140</v>
      </c>
      <c r="D66" s="217"/>
      <c r="E66" s="220" t="s">
        <v>122</v>
      </c>
      <c r="F66" s="398" t="s">
        <v>375</v>
      </c>
      <c r="G66" s="390"/>
      <c r="H66" s="390"/>
      <c r="I66" s="390"/>
      <c r="J66" s="390"/>
      <c r="K66" s="390" t="s">
        <v>216</v>
      </c>
      <c r="L66" s="390"/>
      <c r="M66" s="51" t="s">
        <v>207</v>
      </c>
      <c r="N66" s="401" t="s">
        <v>217</v>
      </c>
      <c r="O66" s="401"/>
      <c r="P66" s="399">
        <v>100</v>
      </c>
      <c r="Q66" s="399"/>
      <c r="R66" s="400" t="s">
        <v>376</v>
      </c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4</v>
      </c>
      <c r="B67" s="397"/>
      <c r="C67" s="117"/>
      <c r="D67" s="217"/>
      <c r="E67" s="220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5</v>
      </c>
      <c r="B68" s="397"/>
      <c r="C68" s="117"/>
      <c r="D68" s="217"/>
      <c r="E68" s="220"/>
      <c r="F68" s="398"/>
      <c r="G68" s="390"/>
      <c r="H68" s="390"/>
      <c r="I68" s="390"/>
      <c r="J68" s="390"/>
      <c r="K68" s="390"/>
      <c r="L68" s="390"/>
      <c r="M68" s="51"/>
      <c r="N68" s="401"/>
      <c r="O68" s="401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6</v>
      </c>
      <c r="B69" s="397"/>
      <c r="C69" s="117"/>
      <c r="D69" s="217"/>
      <c r="E69" s="220"/>
      <c r="F69" s="398"/>
      <c r="G69" s="390"/>
      <c r="H69" s="390"/>
      <c r="I69" s="390"/>
      <c r="J69" s="390"/>
      <c r="K69" s="390"/>
      <c r="L69" s="390"/>
      <c r="M69" s="51"/>
      <c r="N69" s="390"/>
      <c r="O69" s="390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7</v>
      </c>
      <c r="B70" s="397"/>
      <c r="C70" s="117"/>
      <c r="D70" s="217"/>
      <c r="E70" s="220"/>
      <c r="F70" s="398"/>
      <c r="G70" s="390"/>
      <c r="H70" s="390"/>
      <c r="I70" s="390"/>
      <c r="J70" s="390"/>
      <c r="K70" s="390"/>
      <c r="L70" s="390"/>
      <c r="M70" s="51"/>
      <c r="N70" s="401"/>
      <c r="O70" s="401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5.5" customHeight="1">
      <c r="A71" s="396">
        <v>8</v>
      </c>
      <c r="B71" s="397"/>
      <c r="C71" s="117"/>
      <c r="D71" s="217"/>
      <c r="E71" s="220"/>
      <c r="F71" s="398"/>
      <c r="G71" s="390"/>
      <c r="H71" s="390"/>
      <c r="I71" s="390"/>
      <c r="J71" s="390"/>
      <c r="K71" s="390"/>
      <c r="L71" s="390"/>
      <c r="M71" s="51"/>
      <c r="N71" s="390"/>
      <c r="O71" s="390"/>
      <c r="P71" s="399"/>
      <c r="Q71" s="399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390"/>
      <c r="AC71" s="390"/>
      <c r="AD71" s="391"/>
      <c r="AF71" s="50"/>
    </row>
    <row r="72" spans="1:32" ht="26.25" customHeight="1" thickBot="1">
      <c r="A72" s="370" t="s">
        <v>377</v>
      </c>
      <c r="B72" s="370"/>
      <c r="C72" s="370"/>
      <c r="D72" s="370"/>
      <c r="E72" s="370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371" t="s">
        <v>113</v>
      </c>
      <c r="B73" s="372"/>
      <c r="C73" s="219" t="s">
        <v>2</v>
      </c>
      <c r="D73" s="219" t="s">
        <v>37</v>
      </c>
      <c r="E73" s="219" t="s">
        <v>3</v>
      </c>
      <c r="F73" s="372" t="s">
        <v>38</v>
      </c>
      <c r="G73" s="372"/>
      <c r="H73" s="372"/>
      <c r="I73" s="372"/>
      <c r="J73" s="372"/>
      <c r="K73" s="392" t="s">
        <v>58</v>
      </c>
      <c r="L73" s="393"/>
      <c r="M73" s="393"/>
      <c r="N73" s="393"/>
      <c r="O73" s="393"/>
      <c r="P73" s="393"/>
      <c r="Q73" s="393"/>
      <c r="R73" s="393"/>
      <c r="S73" s="394"/>
      <c r="T73" s="372" t="s">
        <v>49</v>
      </c>
      <c r="U73" s="372"/>
      <c r="V73" s="392" t="s">
        <v>50</v>
      </c>
      <c r="W73" s="394"/>
      <c r="X73" s="393" t="s">
        <v>51</v>
      </c>
      <c r="Y73" s="393"/>
      <c r="Z73" s="393"/>
      <c r="AA73" s="393"/>
      <c r="AB73" s="393"/>
      <c r="AC73" s="393"/>
      <c r="AD73" s="395"/>
      <c r="AF73" s="50"/>
    </row>
    <row r="74" spans="1:32" ht="33.75" customHeight="1">
      <c r="A74" s="364">
        <v>1</v>
      </c>
      <c r="B74" s="365"/>
      <c r="C74" s="218" t="s">
        <v>114</v>
      </c>
      <c r="D74" s="218"/>
      <c r="E74" s="65" t="s">
        <v>119</v>
      </c>
      <c r="F74" s="379" t="s">
        <v>118</v>
      </c>
      <c r="G74" s="380"/>
      <c r="H74" s="380"/>
      <c r="I74" s="380"/>
      <c r="J74" s="381"/>
      <c r="K74" s="382" t="s">
        <v>156</v>
      </c>
      <c r="L74" s="383"/>
      <c r="M74" s="383"/>
      <c r="N74" s="383"/>
      <c r="O74" s="383"/>
      <c r="P74" s="383"/>
      <c r="Q74" s="383"/>
      <c r="R74" s="383"/>
      <c r="S74" s="384"/>
      <c r="T74" s="385">
        <v>43675</v>
      </c>
      <c r="U74" s="386"/>
      <c r="V74" s="387"/>
      <c r="W74" s="387"/>
      <c r="X74" s="388"/>
      <c r="Y74" s="388"/>
      <c r="Z74" s="388"/>
      <c r="AA74" s="388"/>
      <c r="AB74" s="388"/>
      <c r="AC74" s="388"/>
      <c r="AD74" s="389"/>
      <c r="AF74" s="50"/>
    </row>
    <row r="75" spans="1:32" ht="30" customHeight="1">
      <c r="A75" s="357">
        <f>A74+1</f>
        <v>2</v>
      </c>
      <c r="B75" s="358"/>
      <c r="C75" s="217"/>
      <c r="D75" s="217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ref="A76:A82" si="22">A75+1</f>
        <v>3</v>
      </c>
      <c r="B76" s="358"/>
      <c r="C76" s="217"/>
      <c r="D76" s="217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22"/>
        <v>4</v>
      </c>
      <c r="B77" s="358"/>
      <c r="C77" s="217"/>
      <c r="D77" s="217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22"/>
        <v>5</v>
      </c>
      <c r="B78" s="358"/>
      <c r="C78" s="217"/>
      <c r="D78" s="217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22"/>
        <v>6</v>
      </c>
      <c r="B79" s="358"/>
      <c r="C79" s="217"/>
      <c r="D79" s="217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22"/>
        <v>7</v>
      </c>
      <c r="B80" s="358"/>
      <c r="C80" s="217"/>
      <c r="D80" s="217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22"/>
        <v>8</v>
      </c>
      <c r="B81" s="358"/>
      <c r="C81" s="217"/>
      <c r="D81" s="217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0" customHeight="1">
      <c r="A82" s="357">
        <f t="shared" si="22"/>
        <v>9</v>
      </c>
      <c r="B82" s="358"/>
      <c r="C82" s="217"/>
      <c r="D82" s="217"/>
      <c r="E82" s="32"/>
      <c r="F82" s="358"/>
      <c r="G82" s="358"/>
      <c r="H82" s="358"/>
      <c r="I82" s="358"/>
      <c r="J82" s="358"/>
      <c r="K82" s="373"/>
      <c r="L82" s="374"/>
      <c r="M82" s="374"/>
      <c r="N82" s="374"/>
      <c r="O82" s="374"/>
      <c r="P82" s="374"/>
      <c r="Q82" s="374"/>
      <c r="R82" s="374"/>
      <c r="S82" s="375"/>
      <c r="T82" s="376"/>
      <c r="U82" s="376"/>
      <c r="V82" s="376"/>
      <c r="W82" s="376"/>
      <c r="X82" s="377"/>
      <c r="Y82" s="377"/>
      <c r="Z82" s="377"/>
      <c r="AA82" s="377"/>
      <c r="AB82" s="377"/>
      <c r="AC82" s="377"/>
      <c r="AD82" s="378"/>
      <c r="AF82" s="50"/>
    </row>
    <row r="83" spans="1:32" ht="36" thickBot="1">
      <c r="A83" s="370" t="s">
        <v>378</v>
      </c>
      <c r="B83" s="370"/>
      <c r="C83" s="370"/>
      <c r="D83" s="370"/>
      <c r="E83" s="370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371" t="s">
        <v>113</v>
      </c>
      <c r="B84" s="372"/>
      <c r="C84" s="362" t="s">
        <v>52</v>
      </c>
      <c r="D84" s="362"/>
      <c r="E84" s="362" t="s">
        <v>53</v>
      </c>
      <c r="F84" s="362"/>
      <c r="G84" s="362"/>
      <c r="H84" s="362"/>
      <c r="I84" s="362"/>
      <c r="J84" s="362"/>
      <c r="K84" s="362" t="s">
        <v>54</v>
      </c>
      <c r="L84" s="362"/>
      <c r="M84" s="362"/>
      <c r="N84" s="362"/>
      <c r="O84" s="362"/>
      <c r="P84" s="362"/>
      <c r="Q84" s="362"/>
      <c r="R84" s="362"/>
      <c r="S84" s="362"/>
      <c r="T84" s="362" t="s">
        <v>55</v>
      </c>
      <c r="U84" s="362"/>
      <c r="V84" s="362" t="s">
        <v>56</v>
      </c>
      <c r="W84" s="362"/>
      <c r="X84" s="362"/>
      <c r="Y84" s="362" t="s">
        <v>51</v>
      </c>
      <c r="Z84" s="362"/>
      <c r="AA84" s="362"/>
      <c r="AB84" s="362"/>
      <c r="AC84" s="362"/>
      <c r="AD84" s="363"/>
      <c r="AF84" s="50"/>
    </row>
    <row r="85" spans="1:32" ht="30.75" customHeight="1">
      <c r="A85" s="364">
        <v>1</v>
      </c>
      <c r="B85" s="365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7"/>
      <c r="W85" s="367"/>
      <c r="X85" s="367"/>
      <c r="Y85" s="368"/>
      <c r="Z85" s="368"/>
      <c r="AA85" s="368"/>
      <c r="AB85" s="368"/>
      <c r="AC85" s="368"/>
      <c r="AD85" s="369"/>
      <c r="AF85" s="50"/>
    </row>
    <row r="86" spans="1:32" ht="30.75" customHeight="1">
      <c r="A86" s="357">
        <v>2</v>
      </c>
      <c r="B86" s="358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60"/>
      <c r="U86" s="360"/>
      <c r="V86" s="361"/>
      <c r="W86" s="361"/>
      <c r="X86" s="361"/>
      <c r="Y86" s="350"/>
      <c r="Z86" s="350"/>
      <c r="AA86" s="350"/>
      <c r="AB86" s="350"/>
      <c r="AC86" s="350"/>
      <c r="AD86" s="351"/>
      <c r="AF86" s="50"/>
    </row>
    <row r="87" spans="1:32" ht="30.75" customHeight="1" thickBot="1">
      <c r="A87" s="352">
        <v>3</v>
      </c>
      <c r="B87" s="353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55"/>
      <c r="Z87" s="355"/>
      <c r="AA87" s="355"/>
      <c r="AB87" s="355"/>
      <c r="AC87" s="355"/>
      <c r="AD87" s="356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D1B40-0290-46CD-BC19-8160CD475993}"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379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228" t="s">
        <v>17</v>
      </c>
      <c r="L5" s="228" t="s">
        <v>18</v>
      </c>
      <c r="M5" s="228" t="s">
        <v>19</v>
      </c>
      <c r="N5" s="22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0.16666666666666666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0.16666666666666666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15000</v>
      </c>
      <c r="J8" s="14">
        <v>1236</v>
      </c>
      <c r="K8" s="15">
        <f>L8+3610+4566+4051+4702+4613+1236</f>
        <v>22778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0.16666666666666666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371</v>
      </c>
      <c r="E9" s="53" t="s">
        <v>380</v>
      </c>
      <c r="F9" s="30" t="s">
        <v>132</v>
      </c>
      <c r="G9" s="33">
        <v>1</v>
      </c>
      <c r="H9" s="35">
        <v>24</v>
      </c>
      <c r="I9" s="7">
        <v>500</v>
      </c>
      <c r="J9" s="14">
        <v>601</v>
      </c>
      <c r="K9" s="15">
        <f>L9</f>
        <v>601</v>
      </c>
      <c r="L9" s="15">
        <v>601</v>
      </c>
      <c r="M9" s="15">
        <f t="shared" si="1"/>
        <v>601</v>
      </c>
      <c r="N9" s="15">
        <v>0</v>
      </c>
      <c r="O9" s="58">
        <f t="shared" si="2"/>
        <v>0</v>
      </c>
      <c r="P9" s="39">
        <f t="shared" si="3"/>
        <v>4</v>
      </c>
      <c r="Q9" s="40">
        <f t="shared" si="4"/>
        <v>20</v>
      </c>
      <c r="R9" s="7"/>
      <c r="S9" s="6"/>
      <c r="T9" s="16"/>
      <c r="U9" s="16"/>
      <c r="V9" s="17"/>
      <c r="W9" s="5">
        <v>20</v>
      </c>
      <c r="X9" s="16"/>
      <c r="Y9" s="16"/>
      <c r="Z9" s="16"/>
      <c r="AA9" s="18"/>
      <c r="AB9" s="8">
        <f t="shared" si="5"/>
        <v>1</v>
      </c>
      <c r="AC9" s="9">
        <f t="shared" si="6"/>
        <v>0.16666666666666666</v>
      </c>
      <c r="AD9" s="10">
        <f t="shared" si="7"/>
        <v>0.16666666666666666</v>
      </c>
      <c r="AE9" s="36">
        <f t="shared" si="8"/>
        <v>0.16666666666666666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140</v>
      </c>
      <c r="D10" s="52" t="s">
        <v>162</v>
      </c>
      <c r="E10" s="53" t="s">
        <v>381</v>
      </c>
      <c r="F10" s="30" t="s">
        <v>364</v>
      </c>
      <c r="G10" s="33">
        <v>3</v>
      </c>
      <c r="H10" s="35">
        <v>24</v>
      </c>
      <c r="I10" s="7">
        <v>100000</v>
      </c>
      <c r="J10" s="5">
        <v>4623</v>
      </c>
      <c r="K10" s="15">
        <f>L10</f>
        <v>4623</v>
      </c>
      <c r="L10" s="15">
        <f>1541*3</f>
        <v>4623</v>
      </c>
      <c r="M10" s="15">
        <f t="shared" si="1"/>
        <v>4623</v>
      </c>
      <c r="N10" s="15">
        <v>0</v>
      </c>
      <c r="O10" s="58">
        <f t="shared" si="2"/>
        <v>0</v>
      </c>
      <c r="P10" s="39">
        <f t="shared" si="3"/>
        <v>8</v>
      </c>
      <c r="Q10" s="40">
        <f t="shared" si="4"/>
        <v>16</v>
      </c>
      <c r="R10" s="7"/>
      <c r="S10" s="6">
        <v>2</v>
      </c>
      <c r="T10" s="16"/>
      <c r="U10" s="16"/>
      <c r="V10" s="17">
        <v>14</v>
      </c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0.33333333333333331</v>
      </c>
      <c r="AD10" s="10">
        <f>AC10*AB10*(1-O10)</f>
        <v>0.33333333333333331</v>
      </c>
      <c r="AE10" s="36">
        <f t="shared" si="8"/>
        <v>0.16666666666666666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142</v>
      </c>
      <c r="D11" s="52" t="s">
        <v>117</v>
      </c>
      <c r="E11" s="53" t="s">
        <v>202</v>
      </c>
      <c r="F11" s="30" t="s">
        <v>199</v>
      </c>
      <c r="G11" s="33">
        <v>2</v>
      </c>
      <c r="H11" s="35">
        <v>20</v>
      </c>
      <c r="I11" s="7">
        <v>300</v>
      </c>
      <c r="J11" s="14">
        <v>300</v>
      </c>
      <c r="K11" s="15">
        <f>L11</f>
        <v>300</v>
      </c>
      <c r="L11" s="15">
        <v>300</v>
      </c>
      <c r="M11" s="15">
        <f t="shared" si="1"/>
        <v>300</v>
      </c>
      <c r="N11" s="15">
        <v>0</v>
      </c>
      <c r="O11" s="58">
        <f t="shared" si="2"/>
        <v>0</v>
      </c>
      <c r="P11" s="39">
        <f t="shared" si="3"/>
        <v>4</v>
      </c>
      <c r="Q11" s="40">
        <f t="shared" si="4"/>
        <v>20</v>
      </c>
      <c r="R11" s="7"/>
      <c r="S11" s="6"/>
      <c r="T11" s="16"/>
      <c r="U11" s="16"/>
      <c r="V11" s="17"/>
      <c r="W11" s="5">
        <v>20</v>
      </c>
      <c r="X11" s="16"/>
      <c r="Y11" s="16"/>
      <c r="Z11" s="16"/>
      <c r="AA11" s="18"/>
      <c r="AB11" s="8">
        <f t="shared" si="5"/>
        <v>1</v>
      </c>
      <c r="AC11" s="9">
        <f t="shared" si="6"/>
        <v>0.16666666666666666</v>
      </c>
      <c r="AD11" s="10">
        <f t="shared" ref="AD11" si="10">AC11*AB11*(1-O11)</f>
        <v>0.16666666666666666</v>
      </c>
      <c r="AE11" s="36">
        <f t="shared" si="8"/>
        <v>0.16666666666666666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158</v>
      </c>
      <c r="F12" s="30" t="s">
        <v>132</v>
      </c>
      <c r="G12" s="33">
        <v>1</v>
      </c>
      <c r="H12" s="35">
        <v>20</v>
      </c>
      <c r="I12" s="7">
        <v>50000</v>
      </c>
      <c r="J12" s="14">
        <v>484</v>
      </c>
      <c r="K12" s="15">
        <f>L12+4551+4831</f>
        <v>9866</v>
      </c>
      <c r="L12" s="15">
        <v>484</v>
      </c>
      <c r="M12" s="15">
        <f t="shared" si="1"/>
        <v>484</v>
      </c>
      <c r="N12" s="15">
        <v>0</v>
      </c>
      <c r="O12" s="58">
        <f t="shared" si="2"/>
        <v>0</v>
      </c>
      <c r="P12" s="39">
        <f t="shared" si="3"/>
        <v>3</v>
      </c>
      <c r="Q12" s="40">
        <f t="shared" si="4"/>
        <v>21</v>
      </c>
      <c r="R12" s="7"/>
      <c r="S12" s="6">
        <v>7</v>
      </c>
      <c r="T12" s="16"/>
      <c r="U12" s="16"/>
      <c r="V12" s="17">
        <v>14</v>
      </c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0.125</v>
      </c>
      <c r="AD12" s="10">
        <f t="shared" si="7"/>
        <v>0.125</v>
      </c>
      <c r="AE12" s="36">
        <f t="shared" si="8"/>
        <v>0.16666666666666666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117</v>
      </c>
      <c r="E13" s="53" t="s">
        <v>368</v>
      </c>
      <c r="F13" s="30" t="s">
        <v>123</v>
      </c>
      <c r="G13" s="33">
        <v>1</v>
      </c>
      <c r="H13" s="35">
        <v>24</v>
      </c>
      <c r="I13" s="7">
        <v>100</v>
      </c>
      <c r="J13" s="14">
        <v>185</v>
      </c>
      <c r="K13" s="15">
        <f>L13</f>
        <v>185</v>
      </c>
      <c r="L13" s="15">
        <v>185</v>
      </c>
      <c r="M13" s="15">
        <f t="shared" si="1"/>
        <v>185</v>
      </c>
      <c r="N13" s="15">
        <v>0</v>
      </c>
      <c r="O13" s="58">
        <f t="shared" si="2"/>
        <v>0</v>
      </c>
      <c r="P13" s="39">
        <f t="shared" si="3"/>
        <v>5</v>
      </c>
      <c r="Q13" s="40">
        <f t="shared" si="4"/>
        <v>19</v>
      </c>
      <c r="R13" s="7"/>
      <c r="S13" s="6">
        <v>5</v>
      </c>
      <c r="T13" s="16"/>
      <c r="U13" s="16"/>
      <c r="V13" s="17">
        <v>14</v>
      </c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0.20833333333333334</v>
      </c>
      <c r="AD13" s="10">
        <f t="shared" si="7"/>
        <v>0.20833333333333334</v>
      </c>
      <c r="AE13" s="36">
        <f t="shared" si="8"/>
        <v>0.16666666666666666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140</v>
      </c>
      <c r="D14" s="52" t="s">
        <v>223</v>
      </c>
      <c r="E14" s="53" t="s">
        <v>224</v>
      </c>
      <c r="F14" s="30" t="s">
        <v>216</v>
      </c>
      <c r="G14" s="12">
        <v>1</v>
      </c>
      <c r="H14" s="13">
        <v>28</v>
      </c>
      <c r="I14" s="7">
        <v>1000</v>
      </c>
      <c r="J14" s="5">
        <v>1620</v>
      </c>
      <c r="K14" s="15">
        <f>L14+1620</f>
        <v>1620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0.16666666666666666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140</v>
      </c>
      <c r="D15" s="52" t="s">
        <v>129</v>
      </c>
      <c r="E15" s="53" t="s">
        <v>331</v>
      </c>
      <c r="F15" s="12" t="s">
        <v>332</v>
      </c>
      <c r="G15" s="12">
        <v>2</v>
      </c>
      <c r="H15" s="13">
        <v>24</v>
      </c>
      <c r="I15" s="31">
        <v>10000</v>
      </c>
      <c r="J15" s="14">
        <v>7088</v>
      </c>
      <c r="K15" s="15">
        <f>L15+4862+7088</f>
        <v>11950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0.16666666666666666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129</v>
      </c>
      <c r="E16" s="53" t="s">
        <v>259</v>
      </c>
      <c r="F16" s="30" t="s">
        <v>130</v>
      </c>
      <c r="G16" s="12">
        <v>1</v>
      </c>
      <c r="H16" s="13">
        <v>28</v>
      </c>
      <c r="I16" s="7">
        <v>9000</v>
      </c>
      <c r="J16" s="14">
        <v>4928</v>
      </c>
      <c r="K16" s="15">
        <f>L16+5027+5503+5566+4928</f>
        <v>21024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0.16666666666666666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142</v>
      </c>
      <c r="D17" s="52" t="s">
        <v>135</v>
      </c>
      <c r="E17" s="53" t="s">
        <v>208</v>
      </c>
      <c r="F17" s="30" t="s">
        <v>209</v>
      </c>
      <c r="G17" s="33">
        <v>2</v>
      </c>
      <c r="H17" s="35">
        <v>20</v>
      </c>
      <c r="I17" s="7">
        <v>300</v>
      </c>
      <c r="J17" s="14">
        <v>300</v>
      </c>
      <c r="K17" s="15">
        <f>L17</f>
        <v>300</v>
      </c>
      <c r="L17" s="15">
        <v>300</v>
      </c>
      <c r="M17" s="15">
        <f t="shared" si="1"/>
        <v>300</v>
      </c>
      <c r="N17" s="15">
        <v>0</v>
      </c>
      <c r="O17" s="58">
        <f t="shared" si="2"/>
        <v>0</v>
      </c>
      <c r="P17" s="39">
        <f t="shared" si="3"/>
        <v>4</v>
      </c>
      <c r="Q17" s="40">
        <f t="shared" si="4"/>
        <v>20</v>
      </c>
      <c r="R17" s="7"/>
      <c r="S17" s="6"/>
      <c r="T17" s="16"/>
      <c r="U17" s="16"/>
      <c r="V17" s="17"/>
      <c r="W17" s="5">
        <v>20</v>
      </c>
      <c r="X17" s="16"/>
      <c r="Y17" s="16"/>
      <c r="Z17" s="16"/>
      <c r="AA17" s="18"/>
      <c r="AB17" s="8">
        <f t="shared" si="5"/>
        <v>1</v>
      </c>
      <c r="AC17" s="9">
        <f t="shared" si="6"/>
        <v>0.16666666666666666</v>
      </c>
      <c r="AD17" s="10">
        <f t="shared" si="7"/>
        <v>0.16666666666666666</v>
      </c>
      <c r="AE17" s="36">
        <f t="shared" si="8"/>
        <v>0.16666666666666666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221</v>
      </c>
      <c r="E18" s="53" t="s">
        <v>382</v>
      </c>
      <c r="F18" s="30" t="s">
        <v>127</v>
      </c>
      <c r="G18" s="33">
        <v>1</v>
      </c>
      <c r="H18" s="35">
        <v>24</v>
      </c>
      <c r="I18" s="7">
        <v>1000</v>
      </c>
      <c r="J18" s="5">
        <v>1304</v>
      </c>
      <c r="K18" s="15">
        <f>L18</f>
        <v>1304</v>
      </c>
      <c r="L18" s="15">
        <f>1304</f>
        <v>1304</v>
      </c>
      <c r="M18" s="15">
        <f t="shared" si="1"/>
        <v>1304</v>
      </c>
      <c r="N18" s="15">
        <v>0</v>
      </c>
      <c r="O18" s="58">
        <f t="shared" si="2"/>
        <v>0</v>
      </c>
      <c r="P18" s="39">
        <f t="shared" si="3"/>
        <v>7</v>
      </c>
      <c r="Q18" s="40">
        <f t="shared" si="4"/>
        <v>17</v>
      </c>
      <c r="R18" s="7"/>
      <c r="S18" s="6">
        <v>3</v>
      </c>
      <c r="T18" s="16"/>
      <c r="U18" s="16"/>
      <c r="V18" s="17">
        <v>14</v>
      </c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0.29166666666666669</v>
      </c>
      <c r="AD18" s="10">
        <f>AC18*AB18*(1-O18)</f>
        <v>0.29166666666666669</v>
      </c>
      <c r="AE18" s="36">
        <f t="shared" si="8"/>
        <v>0.16666666666666666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142</v>
      </c>
      <c r="D19" s="52" t="s">
        <v>125</v>
      </c>
      <c r="E19" s="53" t="s">
        <v>202</v>
      </c>
      <c r="F19" s="30" t="s">
        <v>216</v>
      </c>
      <c r="G19" s="33">
        <v>1</v>
      </c>
      <c r="H19" s="35">
        <v>24</v>
      </c>
      <c r="I19" s="7">
        <v>300</v>
      </c>
      <c r="J19" s="14">
        <v>300</v>
      </c>
      <c r="K19" s="15">
        <f>L19</f>
        <v>300</v>
      </c>
      <c r="L19" s="15">
        <v>300</v>
      </c>
      <c r="M19" s="15">
        <f t="shared" si="1"/>
        <v>300</v>
      </c>
      <c r="N19" s="15">
        <v>0</v>
      </c>
      <c r="O19" s="58">
        <f t="shared" si="2"/>
        <v>0</v>
      </c>
      <c r="P19" s="39">
        <f t="shared" si="3"/>
        <v>4</v>
      </c>
      <c r="Q19" s="40">
        <f t="shared" si="4"/>
        <v>20</v>
      </c>
      <c r="R19" s="7"/>
      <c r="S19" s="6"/>
      <c r="T19" s="16"/>
      <c r="U19" s="16"/>
      <c r="V19" s="17"/>
      <c r="W19" s="5">
        <v>20</v>
      </c>
      <c r="X19" s="16"/>
      <c r="Y19" s="16"/>
      <c r="Z19" s="16"/>
      <c r="AA19" s="18"/>
      <c r="AB19" s="8">
        <f t="shared" si="5"/>
        <v>1</v>
      </c>
      <c r="AC19" s="9">
        <f t="shared" si="6"/>
        <v>0.16666666666666666</v>
      </c>
      <c r="AD19" s="10">
        <f t="shared" ref="AD19:AD20" si="11">AC19*AB19*(1-O19)</f>
        <v>0.16666666666666666</v>
      </c>
      <c r="AE19" s="36">
        <f t="shared" si="8"/>
        <v>0.16666666666666666</v>
      </c>
      <c r="AF19" s="87">
        <f t="shared" si="9"/>
        <v>14</v>
      </c>
    </row>
    <row r="20" spans="1:32" ht="27" customHeight="1">
      <c r="A20" s="103">
        <v>15</v>
      </c>
      <c r="B20" s="11" t="s">
        <v>57</v>
      </c>
      <c r="C20" s="11" t="s">
        <v>115</v>
      </c>
      <c r="D20" s="52"/>
      <c r="E20" s="53" t="s">
        <v>333</v>
      </c>
      <c r="F20" s="12" t="s">
        <v>116</v>
      </c>
      <c r="G20" s="12">
        <v>3</v>
      </c>
      <c r="H20" s="35">
        <v>20</v>
      </c>
      <c r="I20" s="7">
        <v>300000</v>
      </c>
      <c r="J20" s="14">
        <v>23628</v>
      </c>
      <c r="K20" s="15">
        <f>L20+29373+68919</f>
        <v>121920</v>
      </c>
      <c r="L20" s="15">
        <f>7876*3</f>
        <v>23628</v>
      </c>
      <c r="M20" s="15">
        <f t="shared" ref="M20" si="12">L20-N20</f>
        <v>23628</v>
      </c>
      <c r="N20" s="15">
        <v>0</v>
      </c>
      <c r="O20" s="58">
        <f t="shared" ref="O20" si="13">IF(L20=0,"0",N20/L20)</f>
        <v>0</v>
      </c>
      <c r="P20" s="39">
        <f t="shared" ref="P20" si="14">IF(L20=0,"0",(24-Q20))</f>
        <v>5</v>
      </c>
      <c r="Q20" s="40">
        <f t="shared" ref="Q20" si="15">SUM(R20:AA20)</f>
        <v>19</v>
      </c>
      <c r="R20" s="7"/>
      <c r="S20" s="6"/>
      <c r="T20" s="16"/>
      <c r="U20" s="16"/>
      <c r="V20" s="17">
        <v>19</v>
      </c>
      <c r="W20" s="5"/>
      <c r="X20" s="16"/>
      <c r="Y20" s="16"/>
      <c r="Z20" s="16"/>
      <c r="AA20" s="18"/>
      <c r="AB20" s="8">
        <f t="shared" ref="AB20" si="16">IF(J20=0,"0",(L20/J20))</f>
        <v>1</v>
      </c>
      <c r="AC20" s="9">
        <f t="shared" ref="AC20" si="17">IF(P20=0,"0",(P20/24))</f>
        <v>0.20833333333333334</v>
      </c>
      <c r="AD20" s="10">
        <f t="shared" si="11"/>
        <v>0.20833333333333334</v>
      </c>
      <c r="AE20" s="36">
        <f t="shared" si="8"/>
        <v>0.16666666666666666</v>
      </c>
      <c r="AF20" s="87">
        <f t="shared" ref="AF20" si="18">A20</f>
        <v>15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383</v>
      </c>
      <c r="F21" s="12" t="s">
        <v>116</v>
      </c>
      <c r="G21" s="12">
        <v>4</v>
      </c>
      <c r="H21" s="35">
        <v>20</v>
      </c>
      <c r="I21" s="7">
        <v>20000</v>
      </c>
      <c r="J21" s="14">
        <v>60884</v>
      </c>
      <c r="K21" s="15">
        <f>L21</f>
        <v>60884</v>
      </c>
      <c r="L21" s="15">
        <f>15221*4</f>
        <v>60884</v>
      </c>
      <c r="M21" s="15">
        <f t="shared" si="1"/>
        <v>60884</v>
      </c>
      <c r="N21" s="15">
        <v>0</v>
      </c>
      <c r="O21" s="58">
        <f t="shared" si="2"/>
        <v>0</v>
      </c>
      <c r="P21" s="39">
        <f t="shared" si="3"/>
        <v>16</v>
      </c>
      <c r="Q21" s="40">
        <f t="shared" si="4"/>
        <v>8</v>
      </c>
      <c r="R21" s="7"/>
      <c r="S21" s="6"/>
      <c r="T21" s="16">
        <v>8</v>
      </c>
      <c r="U21" s="16"/>
      <c r="V21" s="17"/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0.66666666666666663</v>
      </c>
      <c r="AD21" s="10">
        <f t="shared" si="7"/>
        <v>0.66666666666666663</v>
      </c>
      <c r="AE21" s="36">
        <f t="shared" si="8"/>
        <v>0.16666666666666666</v>
      </c>
      <c r="AF21" s="87">
        <f t="shared" si="9"/>
        <v>15</v>
      </c>
    </row>
    <row r="22" spans="1:32" ht="31.5" customHeight="1" thickBot="1">
      <c r="A22" s="427" t="s">
        <v>34</v>
      </c>
      <c r="B22" s="428"/>
      <c r="C22" s="428"/>
      <c r="D22" s="428"/>
      <c r="E22" s="428"/>
      <c r="F22" s="428"/>
      <c r="G22" s="428"/>
      <c r="H22" s="429"/>
      <c r="I22" s="22">
        <f t="shared" ref="I22:N22" si="19">SUM(I6:I21)</f>
        <v>528500</v>
      </c>
      <c r="J22" s="19">
        <f t="shared" si="19"/>
        <v>109542</v>
      </c>
      <c r="K22" s="20">
        <f t="shared" si="19"/>
        <v>269203</v>
      </c>
      <c r="L22" s="21">
        <f t="shared" si="19"/>
        <v>92609</v>
      </c>
      <c r="M22" s="20">
        <f t="shared" si="19"/>
        <v>92609</v>
      </c>
      <c r="N22" s="21">
        <f t="shared" si="19"/>
        <v>0</v>
      </c>
      <c r="O22" s="41">
        <f t="shared" si="2"/>
        <v>0</v>
      </c>
      <c r="P22" s="42">
        <f t="shared" ref="P22:AA22" si="20">SUM(P6:P21)</f>
        <v>60</v>
      </c>
      <c r="Q22" s="43">
        <f t="shared" si="20"/>
        <v>324</v>
      </c>
      <c r="R22" s="23">
        <f t="shared" si="20"/>
        <v>48</v>
      </c>
      <c r="S22" s="24">
        <f t="shared" si="20"/>
        <v>41</v>
      </c>
      <c r="T22" s="24">
        <f t="shared" si="20"/>
        <v>8</v>
      </c>
      <c r="U22" s="24">
        <f t="shared" si="20"/>
        <v>0</v>
      </c>
      <c r="V22" s="25">
        <f t="shared" si="20"/>
        <v>99</v>
      </c>
      <c r="W22" s="26">
        <f t="shared" si="20"/>
        <v>128</v>
      </c>
      <c r="X22" s="27">
        <f t="shared" si="20"/>
        <v>0</v>
      </c>
      <c r="Y22" s="27">
        <f t="shared" si="20"/>
        <v>0</v>
      </c>
      <c r="Z22" s="27">
        <f t="shared" si="20"/>
        <v>0</v>
      </c>
      <c r="AA22" s="27">
        <f t="shared" si="20"/>
        <v>0</v>
      </c>
      <c r="AB22" s="28">
        <f>SUM(AB6:AB21)/15</f>
        <v>0.66666666666666663</v>
      </c>
      <c r="AC22" s="4">
        <f>SUM(AC6:AC21)/15</f>
        <v>0.16666666666666666</v>
      </c>
      <c r="AD22" s="4">
        <f>SUM(AD6:AD21)/15</f>
        <v>0.16666666666666666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430" t="s">
        <v>45</v>
      </c>
      <c r="B49" s="430"/>
      <c r="C49" s="430"/>
      <c r="D49" s="430"/>
      <c r="E49" s="43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431" t="s">
        <v>384</v>
      </c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3"/>
      <c r="N50" s="434" t="s">
        <v>386</v>
      </c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6"/>
    </row>
    <row r="51" spans="1:32" ht="27" customHeight="1">
      <c r="A51" s="437" t="s">
        <v>2</v>
      </c>
      <c r="B51" s="438"/>
      <c r="C51" s="229" t="s">
        <v>46</v>
      </c>
      <c r="D51" s="229" t="s">
        <v>47</v>
      </c>
      <c r="E51" s="229" t="s">
        <v>108</v>
      </c>
      <c r="F51" s="438" t="s">
        <v>107</v>
      </c>
      <c r="G51" s="438"/>
      <c r="H51" s="438"/>
      <c r="I51" s="438"/>
      <c r="J51" s="438"/>
      <c r="K51" s="438"/>
      <c r="L51" s="438"/>
      <c r="M51" s="439"/>
      <c r="N51" s="67" t="s">
        <v>112</v>
      </c>
      <c r="O51" s="229" t="s">
        <v>46</v>
      </c>
      <c r="P51" s="440" t="s">
        <v>47</v>
      </c>
      <c r="Q51" s="441"/>
      <c r="R51" s="440" t="s">
        <v>38</v>
      </c>
      <c r="S51" s="442"/>
      <c r="T51" s="442"/>
      <c r="U51" s="441"/>
      <c r="V51" s="440" t="s">
        <v>48</v>
      </c>
      <c r="W51" s="442"/>
      <c r="X51" s="442"/>
      <c r="Y51" s="442"/>
      <c r="Z51" s="442"/>
      <c r="AA51" s="442"/>
      <c r="AB51" s="442"/>
      <c r="AC51" s="442"/>
      <c r="AD51" s="443"/>
    </row>
    <row r="52" spans="1:32" ht="27" customHeight="1">
      <c r="A52" s="409" t="s">
        <v>114</v>
      </c>
      <c r="B52" s="410"/>
      <c r="C52" s="231" t="s">
        <v>189</v>
      </c>
      <c r="D52" s="231" t="s">
        <v>371</v>
      </c>
      <c r="E52" s="231" t="s">
        <v>380</v>
      </c>
      <c r="F52" s="411" t="s">
        <v>120</v>
      </c>
      <c r="G52" s="412"/>
      <c r="H52" s="412"/>
      <c r="I52" s="412"/>
      <c r="J52" s="412"/>
      <c r="K52" s="412"/>
      <c r="L52" s="412"/>
      <c r="M52" s="413"/>
      <c r="N52" s="230" t="s">
        <v>124</v>
      </c>
      <c r="O52" s="235" t="s">
        <v>145</v>
      </c>
      <c r="P52" s="423" t="s">
        <v>122</v>
      </c>
      <c r="Q52" s="424"/>
      <c r="R52" s="410" t="s">
        <v>175</v>
      </c>
      <c r="S52" s="410"/>
      <c r="T52" s="410"/>
      <c r="U52" s="410"/>
      <c r="V52" s="400" t="s">
        <v>126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140</v>
      </c>
      <c r="B53" s="410"/>
      <c r="C53" s="231" t="s">
        <v>136</v>
      </c>
      <c r="D53" s="231"/>
      <c r="E53" s="231" t="s">
        <v>162</v>
      </c>
      <c r="F53" s="411" t="s">
        <v>120</v>
      </c>
      <c r="G53" s="412"/>
      <c r="H53" s="412"/>
      <c r="I53" s="412"/>
      <c r="J53" s="412"/>
      <c r="K53" s="412"/>
      <c r="L53" s="412"/>
      <c r="M53" s="413"/>
      <c r="N53" s="230" t="s">
        <v>140</v>
      </c>
      <c r="O53" s="235" t="s">
        <v>204</v>
      </c>
      <c r="P53" s="423" t="s">
        <v>117</v>
      </c>
      <c r="Q53" s="424"/>
      <c r="R53" s="410" t="s">
        <v>340</v>
      </c>
      <c r="S53" s="410"/>
      <c r="T53" s="410"/>
      <c r="U53" s="410"/>
      <c r="V53" s="400" t="s">
        <v>387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124</v>
      </c>
      <c r="B54" s="410"/>
      <c r="C54" s="231" t="s">
        <v>176</v>
      </c>
      <c r="D54" s="231" t="s">
        <v>117</v>
      </c>
      <c r="E54" s="231" t="s">
        <v>158</v>
      </c>
      <c r="F54" s="411" t="s">
        <v>306</v>
      </c>
      <c r="G54" s="412"/>
      <c r="H54" s="412"/>
      <c r="I54" s="412"/>
      <c r="J54" s="412"/>
      <c r="K54" s="412"/>
      <c r="L54" s="412"/>
      <c r="M54" s="413"/>
      <c r="N54" s="230" t="s">
        <v>114</v>
      </c>
      <c r="O54" s="235" t="s">
        <v>189</v>
      </c>
      <c r="P54" s="423" t="s">
        <v>117</v>
      </c>
      <c r="Q54" s="424"/>
      <c r="R54" s="410" t="s">
        <v>388</v>
      </c>
      <c r="S54" s="410"/>
      <c r="T54" s="410"/>
      <c r="U54" s="410"/>
      <c r="V54" s="400" t="s">
        <v>120</v>
      </c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 t="s">
        <v>142</v>
      </c>
      <c r="B55" s="410"/>
      <c r="C55" s="231" t="s">
        <v>138</v>
      </c>
      <c r="D55" s="231" t="s">
        <v>117</v>
      </c>
      <c r="E55" s="231" t="s">
        <v>202</v>
      </c>
      <c r="F55" s="411" t="s">
        <v>385</v>
      </c>
      <c r="G55" s="412"/>
      <c r="H55" s="412"/>
      <c r="I55" s="412"/>
      <c r="J55" s="412"/>
      <c r="K55" s="412"/>
      <c r="L55" s="412"/>
      <c r="M55" s="413"/>
      <c r="N55" s="230" t="s">
        <v>114</v>
      </c>
      <c r="O55" s="235" t="s">
        <v>128</v>
      </c>
      <c r="P55" s="423" t="s">
        <v>129</v>
      </c>
      <c r="Q55" s="424"/>
      <c r="R55" s="410" t="s">
        <v>389</v>
      </c>
      <c r="S55" s="410"/>
      <c r="T55" s="410"/>
      <c r="U55" s="410"/>
      <c r="V55" s="400" t="s">
        <v>120</v>
      </c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 t="s">
        <v>142</v>
      </c>
      <c r="B56" s="410"/>
      <c r="C56" s="231" t="s">
        <v>217</v>
      </c>
      <c r="D56" s="231" t="s">
        <v>125</v>
      </c>
      <c r="E56" s="231" t="s">
        <v>214</v>
      </c>
      <c r="F56" s="411" t="s">
        <v>385</v>
      </c>
      <c r="G56" s="412"/>
      <c r="H56" s="412"/>
      <c r="I56" s="412"/>
      <c r="J56" s="412"/>
      <c r="K56" s="412"/>
      <c r="L56" s="412"/>
      <c r="M56" s="413"/>
      <c r="N56" s="230"/>
      <c r="O56" s="235"/>
      <c r="P56" s="423"/>
      <c r="Q56" s="424"/>
      <c r="R56" s="410"/>
      <c r="S56" s="410"/>
      <c r="T56" s="410"/>
      <c r="U56" s="410"/>
      <c r="V56" s="400"/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 t="s">
        <v>142</v>
      </c>
      <c r="B57" s="410"/>
      <c r="C57" s="231" t="s">
        <v>143</v>
      </c>
      <c r="D57" s="231" t="s">
        <v>135</v>
      </c>
      <c r="E57" s="231" t="s">
        <v>208</v>
      </c>
      <c r="F57" s="411" t="s">
        <v>385</v>
      </c>
      <c r="G57" s="412"/>
      <c r="H57" s="412"/>
      <c r="I57" s="412"/>
      <c r="J57" s="412"/>
      <c r="K57" s="412"/>
      <c r="L57" s="412"/>
      <c r="M57" s="413"/>
      <c r="N57" s="230"/>
      <c r="O57" s="235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 t="s">
        <v>114</v>
      </c>
      <c r="B58" s="410"/>
      <c r="C58" s="231" t="s">
        <v>204</v>
      </c>
      <c r="D58" s="231" t="s">
        <v>117</v>
      </c>
      <c r="E58" s="231" t="s">
        <v>368</v>
      </c>
      <c r="F58" s="411" t="s">
        <v>294</v>
      </c>
      <c r="G58" s="412"/>
      <c r="H58" s="412"/>
      <c r="I58" s="412"/>
      <c r="J58" s="412"/>
      <c r="K58" s="412"/>
      <c r="L58" s="412"/>
      <c r="M58" s="413"/>
      <c r="N58" s="230"/>
      <c r="O58" s="235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231"/>
      <c r="D59" s="231"/>
      <c r="E59" s="231"/>
      <c r="F59" s="411"/>
      <c r="G59" s="412"/>
      <c r="H59" s="412"/>
      <c r="I59" s="412"/>
      <c r="J59" s="412"/>
      <c r="K59" s="412"/>
      <c r="L59" s="412"/>
      <c r="M59" s="413"/>
      <c r="N59" s="230"/>
      <c r="O59" s="235"/>
      <c r="P59" s="423"/>
      <c r="Q59" s="424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</row>
    <row r="60" spans="1:32" ht="27" customHeight="1">
      <c r="A60" s="409"/>
      <c r="B60" s="410"/>
      <c r="C60" s="231"/>
      <c r="D60" s="231"/>
      <c r="E60" s="231"/>
      <c r="F60" s="411"/>
      <c r="G60" s="412"/>
      <c r="H60" s="412"/>
      <c r="I60" s="412"/>
      <c r="J60" s="412"/>
      <c r="K60" s="412"/>
      <c r="L60" s="412"/>
      <c r="M60" s="413"/>
      <c r="N60" s="230"/>
      <c r="O60" s="235"/>
      <c r="P60" s="410"/>
      <c r="Q60" s="410"/>
      <c r="R60" s="410"/>
      <c r="S60" s="410"/>
      <c r="T60" s="410"/>
      <c r="U60" s="410"/>
      <c r="V60" s="400"/>
      <c r="W60" s="400"/>
      <c r="X60" s="400"/>
      <c r="Y60" s="400"/>
      <c r="Z60" s="400"/>
      <c r="AA60" s="400"/>
      <c r="AB60" s="400"/>
      <c r="AC60" s="400"/>
      <c r="AD60" s="414"/>
      <c r="AF60" s="87">
        <f>8*3000</f>
        <v>24000</v>
      </c>
    </row>
    <row r="61" spans="1:32" ht="27" customHeight="1" thickBot="1">
      <c r="A61" s="415"/>
      <c r="B61" s="416"/>
      <c r="C61" s="232"/>
      <c r="D61" s="232"/>
      <c r="E61" s="232"/>
      <c r="F61" s="417"/>
      <c r="G61" s="418"/>
      <c r="H61" s="418"/>
      <c r="I61" s="418"/>
      <c r="J61" s="418"/>
      <c r="K61" s="418"/>
      <c r="L61" s="418"/>
      <c r="M61" s="419"/>
      <c r="N61" s="124"/>
      <c r="O61" s="114"/>
      <c r="P61" s="420"/>
      <c r="Q61" s="420"/>
      <c r="R61" s="420"/>
      <c r="S61" s="420"/>
      <c r="T61" s="420"/>
      <c r="U61" s="420"/>
      <c r="V61" s="421"/>
      <c r="W61" s="421"/>
      <c r="X61" s="421"/>
      <c r="Y61" s="421"/>
      <c r="Z61" s="421"/>
      <c r="AA61" s="421"/>
      <c r="AB61" s="421"/>
      <c r="AC61" s="421"/>
      <c r="AD61" s="422"/>
      <c r="AF61" s="87">
        <f>16*3000</f>
        <v>48000</v>
      </c>
    </row>
    <row r="62" spans="1:32" ht="27.75" thickBot="1">
      <c r="A62" s="407" t="s">
        <v>390</v>
      </c>
      <c r="B62" s="407"/>
      <c r="C62" s="407"/>
      <c r="D62" s="407"/>
      <c r="E62" s="407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408" t="s">
        <v>113</v>
      </c>
      <c r="B63" s="405"/>
      <c r="C63" s="233" t="s">
        <v>2</v>
      </c>
      <c r="D63" s="233" t="s">
        <v>37</v>
      </c>
      <c r="E63" s="233" t="s">
        <v>3</v>
      </c>
      <c r="F63" s="405" t="s">
        <v>110</v>
      </c>
      <c r="G63" s="405"/>
      <c r="H63" s="405"/>
      <c r="I63" s="405"/>
      <c r="J63" s="405"/>
      <c r="K63" s="405" t="s">
        <v>39</v>
      </c>
      <c r="L63" s="405"/>
      <c r="M63" s="233" t="s">
        <v>40</v>
      </c>
      <c r="N63" s="405" t="s">
        <v>41</v>
      </c>
      <c r="O63" s="405"/>
      <c r="P63" s="402" t="s">
        <v>42</v>
      </c>
      <c r="Q63" s="404"/>
      <c r="R63" s="402" t="s">
        <v>43</v>
      </c>
      <c r="S63" s="403"/>
      <c r="T63" s="403"/>
      <c r="U63" s="403"/>
      <c r="V63" s="403"/>
      <c r="W63" s="403"/>
      <c r="X63" s="403"/>
      <c r="Y63" s="403"/>
      <c r="Z63" s="403"/>
      <c r="AA63" s="404"/>
      <c r="AB63" s="405" t="s">
        <v>44</v>
      </c>
      <c r="AC63" s="405"/>
      <c r="AD63" s="406"/>
      <c r="AF63" s="87">
        <f>SUM(AF60:AF62)</f>
        <v>96000</v>
      </c>
    </row>
    <row r="64" spans="1:32" ht="25.5" customHeight="1">
      <c r="A64" s="396">
        <v>1</v>
      </c>
      <c r="B64" s="397"/>
      <c r="C64" s="117" t="s">
        <v>142</v>
      </c>
      <c r="D64" s="237"/>
      <c r="E64" s="234" t="s">
        <v>117</v>
      </c>
      <c r="F64" s="398" t="s">
        <v>202</v>
      </c>
      <c r="G64" s="390"/>
      <c r="H64" s="390"/>
      <c r="I64" s="390"/>
      <c r="J64" s="390"/>
      <c r="K64" s="390" t="s">
        <v>199</v>
      </c>
      <c r="L64" s="390"/>
      <c r="M64" s="51" t="s">
        <v>207</v>
      </c>
      <c r="N64" s="401" t="s">
        <v>138</v>
      </c>
      <c r="O64" s="401"/>
      <c r="P64" s="399">
        <v>100</v>
      </c>
      <c r="Q64" s="399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2</v>
      </c>
      <c r="B65" s="397"/>
      <c r="C65" s="117" t="s">
        <v>142</v>
      </c>
      <c r="D65" s="237"/>
      <c r="E65" s="234" t="s">
        <v>125</v>
      </c>
      <c r="F65" s="398" t="s">
        <v>214</v>
      </c>
      <c r="G65" s="390"/>
      <c r="H65" s="390"/>
      <c r="I65" s="390"/>
      <c r="J65" s="390"/>
      <c r="K65" s="390" t="s">
        <v>216</v>
      </c>
      <c r="L65" s="390"/>
      <c r="M65" s="51" t="s">
        <v>207</v>
      </c>
      <c r="N65" s="401" t="s">
        <v>217</v>
      </c>
      <c r="O65" s="401"/>
      <c r="P65" s="399">
        <v>100</v>
      </c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3</v>
      </c>
      <c r="B66" s="397"/>
      <c r="C66" s="117" t="s">
        <v>142</v>
      </c>
      <c r="D66" s="237"/>
      <c r="E66" s="234" t="s">
        <v>135</v>
      </c>
      <c r="F66" s="398" t="s">
        <v>208</v>
      </c>
      <c r="G66" s="390"/>
      <c r="H66" s="390"/>
      <c r="I66" s="390"/>
      <c r="J66" s="390"/>
      <c r="K66" s="390" t="s">
        <v>209</v>
      </c>
      <c r="L66" s="390"/>
      <c r="M66" s="51" t="s">
        <v>207</v>
      </c>
      <c r="N66" s="401" t="s">
        <v>143</v>
      </c>
      <c r="O66" s="401"/>
      <c r="P66" s="399">
        <v>100</v>
      </c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4</v>
      </c>
      <c r="B67" s="397"/>
      <c r="C67" s="117"/>
      <c r="D67" s="237"/>
      <c r="E67" s="234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5</v>
      </c>
      <c r="B68" s="397"/>
      <c r="C68" s="117"/>
      <c r="D68" s="237"/>
      <c r="E68" s="234"/>
      <c r="F68" s="398"/>
      <c r="G68" s="390"/>
      <c r="H68" s="390"/>
      <c r="I68" s="390"/>
      <c r="J68" s="390"/>
      <c r="K68" s="390"/>
      <c r="L68" s="390"/>
      <c r="M68" s="51"/>
      <c r="N68" s="401"/>
      <c r="O68" s="401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6</v>
      </c>
      <c r="B69" s="397"/>
      <c r="C69" s="117"/>
      <c r="D69" s="237"/>
      <c r="E69" s="234"/>
      <c r="F69" s="398"/>
      <c r="G69" s="390"/>
      <c r="H69" s="390"/>
      <c r="I69" s="390"/>
      <c r="J69" s="390"/>
      <c r="K69" s="390"/>
      <c r="L69" s="390"/>
      <c r="M69" s="51"/>
      <c r="N69" s="390"/>
      <c r="O69" s="390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7</v>
      </c>
      <c r="B70" s="397"/>
      <c r="C70" s="117"/>
      <c r="D70" s="237"/>
      <c r="E70" s="234"/>
      <c r="F70" s="398"/>
      <c r="G70" s="390"/>
      <c r="H70" s="390"/>
      <c r="I70" s="390"/>
      <c r="J70" s="390"/>
      <c r="K70" s="390"/>
      <c r="L70" s="390"/>
      <c r="M70" s="51"/>
      <c r="N70" s="401"/>
      <c r="O70" s="401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5.5" customHeight="1">
      <c r="A71" s="396">
        <v>8</v>
      </c>
      <c r="B71" s="397"/>
      <c r="C71" s="117"/>
      <c r="D71" s="237"/>
      <c r="E71" s="234"/>
      <c r="F71" s="398"/>
      <c r="G71" s="390"/>
      <c r="H71" s="390"/>
      <c r="I71" s="390"/>
      <c r="J71" s="390"/>
      <c r="K71" s="390"/>
      <c r="L71" s="390"/>
      <c r="M71" s="51"/>
      <c r="N71" s="390"/>
      <c r="O71" s="390"/>
      <c r="P71" s="399"/>
      <c r="Q71" s="399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390"/>
      <c r="AC71" s="390"/>
      <c r="AD71" s="391"/>
      <c r="AF71" s="50"/>
    </row>
    <row r="72" spans="1:32" ht="26.25" customHeight="1" thickBot="1">
      <c r="A72" s="370" t="s">
        <v>391</v>
      </c>
      <c r="B72" s="370"/>
      <c r="C72" s="370"/>
      <c r="D72" s="370"/>
      <c r="E72" s="370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371" t="s">
        <v>113</v>
      </c>
      <c r="B73" s="372"/>
      <c r="C73" s="236" t="s">
        <v>2</v>
      </c>
      <c r="D73" s="236" t="s">
        <v>37</v>
      </c>
      <c r="E73" s="236" t="s">
        <v>3</v>
      </c>
      <c r="F73" s="372" t="s">
        <v>38</v>
      </c>
      <c r="G73" s="372"/>
      <c r="H73" s="372"/>
      <c r="I73" s="372"/>
      <c r="J73" s="372"/>
      <c r="K73" s="392" t="s">
        <v>58</v>
      </c>
      <c r="L73" s="393"/>
      <c r="M73" s="393"/>
      <c r="N73" s="393"/>
      <c r="O73" s="393"/>
      <c r="P73" s="393"/>
      <c r="Q73" s="393"/>
      <c r="R73" s="393"/>
      <c r="S73" s="394"/>
      <c r="T73" s="372" t="s">
        <v>49</v>
      </c>
      <c r="U73" s="372"/>
      <c r="V73" s="392" t="s">
        <v>50</v>
      </c>
      <c r="W73" s="394"/>
      <c r="X73" s="393" t="s">
        <v>51</v>
      </c>
      <c r="Y73" s="393"/>
      <c r="Z73" s="393"/>
      <c r="AA73" s="393"/>
      <c r="AB73" s="393"/>
      <c r="AC73" s="393"/>
      <c r="AD73" s="395"/>
      <c r="AF73" s="50"/>
    </row>
    <row r="74" spans="1:32" ht="33.75" customHeight="1">
      <c r="A74" s="364">
        <v>1</v>
      </c>
      <c r="B74" s="365"/>
      <c r="C74" s="238" t="s">
        <v>114</v>
      </c>
      <c r="D74" s="238"/>
      <c r="E74" s="65" t="s">
        <v>119</v>
      </c>
      <c r="F74" s="379" t="s">
        <v>118</v>
      </c>
      <c r="G74" s="380"/>
      <c r="H74" s="380"/>
      <c r="I74" s="380"/>
      <c r="J74" s="381"/>
      <c r="K74" s="382" t="s">
        <v>156</v>
      </c>
      <c r="L74" s="383"/>
      <c r="M74" s="383"/>
      <c r="N74" s="383"/>
      <c r="O74" s="383"/>
      <c r="P74" s="383"/>
      <c r="Q74" s="383"/>
      <c r="R74" s="383"/>
      <c r="S74" s="384"/>
      <c r="T74" s="385">
        <v>43675</v>
      </c>
      <c r="U74" s="386"/>
      <c r="V74" s="387"/>
      <c r="W74" s="387"/>
      <c r="X74" s="388"/>
      <c r="Y74" s="388"/>
      <c r="Z74" s="388"/>
      <c r="AA74" s="388"/>
      <c r="AB74" s="388"/>
      <c r="AC74" s="388"/>
      <c r="AD74" s="389"/>
      <c r="AF74" s="50"/>
    </row>
    <row r="75" spans="1:32" ht="30" customHeight="1">
      <c r="A75" s="357">
        <f>A74+1</f>
        <v>2</v>
      </c>
      <c r="B75" s="358"/>
      <c r="C75" s="237"/>
      <c r="D75" s="237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ref="A76:A82" si="21">A75+1</f>
        <v>3</v>
      </c>
      <c r="B76" s="358"/>
      <c r="C76" s="237"/>
      <c r="D76" s="237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21"/>
        <v>4</v>
      </c>
      <c r="B77" s="358"/>
      <c r="C77" s="237"/>
      <c r="D77" s="237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21"/>
        <v>5</v>
      </c>
      <c r="B78" s="358"/>
      <c r="C78" s="237"/>
      <c r="D78" s="237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21"/>
        <v>6</v>
      </c>
      <c r="B79" s="358"/>
      <c r="C79" s="237"/>
      <c r="D79" s="237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21"/>
        <v>7</v>
      </c>
      <c r="B80" s="358"/>
      <c r="C80" s="237"/>
      <c r="D80" s="237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21"/>
        <v>8</v>
      </c>
      <c r="B81" s="358"/>
      <c r="C81" s="237"/>
      <c r="D81" s="237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0" customHeight="1">
      <c r="A82" s="357">
        <f t="shared" si="21"/>
        <v>9</v>
      </c>
      <c r="B82" s="358"/>
      <c r="C82" s="237"/>
      <c r="D82" s="237"/>
      <c r="E82" s="32"/>
      <c r="F82" s="358"/>
      <c r="G82" s="358"/>
      <c r="H82" s="358"/>
      <c r="I82" s="358"/>
      <c r="J82" s="358"/>
      <c r="K82" s="373"/>
      <c r="L82" s="374"/>
      <c r="M82" s="374"/>
      <c r="N82" s="374"/>
      <c r="O82" s="374"/>
      <c r="P82" s="374"/>
      <c r="Q82" s="374"/>
      <c r="R82" s="374"/>
      <c r="S82" s="375"/>
      <c r="T82" s="376"/>
      <c r="U82" s="376"/>
      <c r="V82" s="376"/>
      <c r="W82" s="376"/>
      <c r="X82" s="377"/>
      <c r="Y82" s="377"/>
      <c r="Z82" s="377"/>
      <c r="AA82" s="377"/>
      <c r="AB82" s="377"/>
      <c r="AC82" s="377"/>
      <c r="AD82" s="378"/>
      <c r="AF82" s="50"/>
    </row>
    <row r="83" spans="1:32" ht="36" thickBot="1">
      <c r="A83" s="370" t="s">
        <v>392</v>
      </c>
      <c r="B83" s="370"/>
      <c r="C83" s="370"/>
      <c r="D83" s="370"/>
      <c r="E83" s="370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371" t="s">
        <v>113</v>
      </c>
      <c r="B84" s="372"/>
      <c r="C84" s="362" t="s">
        <v>52</v>
      </c>
      <c r="D84" s="362"/>
      <c r="E84" s="362" t="s">
        <v>53</v>
      </c>
      <c r="F84" s="362"/>
      <c r="G84" s="362"/>
      <c r="H84" s="362"/>
      <c r="I84" s="362"/>
      <c r="J84" s="362"/>
      <c r="K84" s="362" t="s">
        <v>54</v>
      </c>
      <c r="L84" s="362"/>
      <c r="M84" s="362"/>
      <c r="N84" s="362"/>
      <c r="O84" s="362"/>
      <c r="P84" s="362"/>
      <c r="Q84" s="362"/>
      <c r="R84" s="362"/>
      <c r="S84" s="362"/>
      <c r="T84" s="362" t="s">
        <v>55</v>
      </c>
      <c r="U84" s="362"/>
      <c r="V84" s="362" t="s">
        <v>56</v>
      </c>
      <c r="W84" s="362"/>
      <c r="X84" s="362"/>
      <c r="Y84" s="362" t="s">
        <v>51</v>
      </c>
      <c r="Z84" s="362"/>
      <c r="AA84" s="362"/>
      <c r="AB84" s="362"/>
      <c r="AC84" s="362"/>
      <c r="AD84" s="363"/>
      <c r="AF84" s="50"/>
    </row>
    <row r="85" spans="1:32" ht="30.75" customHeight="1">
      <c r="A85" s="364">
        <v>1</v>
      </c>
      <c r="B85" s="365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7"/>
      <c r="W85" s="367"/>
      <c r="X85" s="367"/>
      <c r="Y85" s="368"/>
      <c r="Z85" s="368"/>
      <c r="AA85" s="368"/>
      <c r="AB85" s="368"/>
      <c r="AC85" s="368"/>
      <c r="AD85" s="369"/>
      <c r="AF85" s="50"/>
    </row>
    <row r="86" spans="1:32" ht="30.75" customHeight="1">
      <c r="A86" s="357">
        <v>2</v>
      </c>
      <c r="B86" s="358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60"/>
      <c r="U86" s="360"/>
      <c r="V86" s="361"/>
      <c r="W86" s="361"/>
      <c r="X86" s="361"/>
      <c r="Y86" s="350"/>
      <c r="Z86" s="350"/>
      <c r="AA86" s="350"/>
      <c r="AB86" s="350"/>
      <c r="AC86" s="350"/>
      <c r="AD86" s="351"/>
      <c r="AF86" s="50"/>
    </row>
    <row r="87" spans="1:32" ht="30.75" customHeight="1" thickBot="1">
      <c r="A87" s="352">
        <v>3</v>
      </c>
      <c r="B87" s="353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55"/>
      <c r="Z87" s="355"/>
      <c r="AA87" s="355"/>
      <c r="AB87" s="355"/>
      <c r="AC87" s="355"/>
      <c r="AD87" s="356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4CF9-D9BA-48D6-82FF-AEBA660D67A1}"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393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249" t="s">
        <v>17</v>
      </c>
      <c r="L5" s="249" t="s">
        <v>18</v>
      </c>
      <c r="M5" s="249" t="s">
        <v>19</v>
      </c>
      <c r="N5" s="24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18" si="7">AC6*AB6*(1-O6)</f>
        <v>0</v>
      </c>
      <c r="AE6" s="36">
        <f t="shared" ref="AE6:AE21" si="8">$AD$22</f>
        <v>0.34722222222222221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0.34722222222222221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15000</v>
      </c>
      <c r="J8" s="14">
        <v>1236</v>
      </c>
      <c r="K8" s="15">
        <f>L8+3610+4566+4051+4702+4613+1236</f>
        <v>22778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0.34722222222222221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119</v>
      </c>
      <c r="E9" s="53" t="s">
        <v>388</v>
      </c>
      <c r="F9" s="30" t="s">
        <v>127</v>
      </c>
      <c r="G9" s="33">
        <v>1</v>
      </c>
      <c r="H9" s="35">
        <v>24</v>
      </c>
      <c r="I9" s="7">
        <v>5000</v>
      </c>
      <c r="J9" s="14">
        <v>5164</v>
      </c>
      <c r="K9" s="15">
        <f>L9</f>
        <v>5164</v>
      </c>
      <c r="L9" s="15">
        <f>2174+2990</f>
        <v>5164</v>
      </c>
      <c r="M9" s="15">
        <f t="shared" si="1"/>
        <v>5164</v>
      </c>
      <c r="N9" s="15">
        <v>0</v>
      </c>
      <c r="O9" s="58">
        <f t="shared" si="2"/>
        <v>0</v>
      </c>
      <c r="P9" s="39">
        <f t="shared" si="3"/>
        <v>24</v>
      </c>
      <c r="Q9" s="40">
        <f t="shared" si="4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1</v>
      </c>
      <c r="AD9" s="10">
        <f t="shared" si="7"/>
        <v>1</v>
      </c>
      <c r="AE9" s="36">
        <f t="shared" si="8"/>
        <v>0.34722222222222221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140</v>
      </c>
      <c r="D10" s="52" t="s">
        <v>162</v>
      </c>
      <c r="E10" s="53" t="s">
        <v>381</v>
      </c>
      <c r="F10" s="30" t="s">
        <v>364</v>
      </c>
      <c r="G10" s="33">
        <v>3</v>
      </c>
      <c r="H10" s="35">
        <v>24</v>
      </c>
      <c r="I10" s="7">
        <v>100000</v>
      </c>
      <c r="J10" s="5">
        <v>10011</v>
      </c>
      <c r="K10" s="15">
        <f>L10+4623</f>
        <v>14634</v>
      </c>
      <c r="L10" s="15">
        <f>3337*3</f>
        <v>10011</v>
      </c>
      <c r="M10" s="15">
        <f t="shared" si="1"/>
        <v>10011</v>
      </c>
      <c r="N10" s="15">
        <v>0</v>
      </c>
      <c r="O10" s="58">
        <f t="shared" si="2"/>
        <v>0</v>
      </c>
      <c r="P10" s="39">
        <f t="shared" si="3"/>
        <v>14</v>
      </c>
      <c r="Q10" s="40">
        <f t="shared" si="4"/>
        <v>10</v>
      </c>
      <c r="R10" s="7"/>
      <c r="S10" s="6">
        <v>10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0.58333333333333337</v>
      </c>
      <c r="AD10" s="10">
        <f>AC10*AB10*(1-O10)</f>
        <v>0.58333333333333337</v>
      </c>
      <c r="AE10" s="36">
        <f t="shared" si="8"/>
        <v>0.34722222222222221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142</v>
      </c>
      <c r="D11" s="52" t="s">
        <v>117</v>
      </c>
      <c r="E11" s="53" t="s">
        <v>202</v>
      </c>
      <c r="F11" s="30" t="s">
        <v>199</v>
      </c>
      <c r="G11" s="33">
        <v>2</v>
      </c>
      <c r="H11" s="35">
        <v>20</v>
      </c>
      <c r="I11" s="7">
        <v>300</v>
      </c>
      <c r="J11" s="14">
        <v>300</v>
      </c>
      <c r="K11" s="15">
        <f>L11+300</f>
        <v>300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ref="AD11" si="10">AC11*AB11*(1-O11)</f>
        <v>0</v>
      </c>
      <c r="AE11" s="36">
        <f t="shared" si="8"/>
        <v>0.34722222222222221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158</v>
      </c>
      <c r="F12" s="30" t="s">
        <v>132</v>
      </c>
      <c r="G12" s="33">
        <v>1</v>
      </c>
      <c r="H12" s="35">
        <v>20</v>
      </c>
      <c r="I12" s="7">
        <v>50000</v>
      </c>
      <c r="J12" s="14">
        <v>4407</v>
      </c>
      <c r="K12" s="15">
        <f>L12+4551+4831+484</f>
        <v>14273</v>
      </c>
      <c r="L12" s="15">
        <f>2346+2061</f>
        <v>4407</v>
      </c>
      <c r="M12" s="15">
        <f t="shared" si="1"/>
        <v>4407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si="7"/>
        <v>1</v>
      </c>
      <c r="AE12" s="36">
        <f t="shared" si="8"/>
        <v>0.34722222222222221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394</v>
      </c>
      <c r="E13" s="53" t="s">
        <v>395</v>
      </c>
      <c r="F13" s="30" t="s">
        <v>130</v>
      </c>
      <c r="G13" s="33">
        <v>1</v>
      </c>
      <c r="H13" s="35">
        <v>24</v>
      </c>
      <c r="I13" s="7">
        <v>100</v>
      </c>
      <c r="J13" s="14">
        <v>406</v>
      </c>
      <c r="K13" s="15">
        <f>L13</f>
        <v>406</v>
      </c>
      <c r="L13" s="15">
        <v>406</v>
      </c>
      <c r="M13" s="15">
        <f t="shared" si="1"/>
        <v>406</v>
      </c>
      <c r="N13" s="15">
        <v>0</v>
      </c>
      <c r="O13" s="58">
        <f t="shared" si="2"/>
        <v>0</v>
      </c>
      <c r="P13" s="39">
        <f t="shared" si="3"/>
        <v>4</v>
      </c>
      <c r="Q13" s="40">
        <f t="shared" si="4"/>
        <v>20</v>
      </c>
      <c r="R13" s="7"/>
      <c r="S13" s="6"/>
      <c r="T13" s="16"/>
      <c r="U13" s="16"/>
      <c r="V13" s="17"/>
      <c r="W13" s="5">
        <v>20</v>
      </c>
      <c r="X13" s="16"/>
      <c r="Y13" s="16"/>
      <c r="Z13" s="16"/>
      <c r="AA13" s="18"/>
      <c r="AB13" s="8">
        <f t="shared" si="5"/>
        <v>1</v>
      </c>
      <c r="AC13" s="9">
        <f t="shared" si="6"/>
        <v>0.16666666666666666</v>
      </c>
      <c r="AD13" s="10">
        <f t="shared" si="7"/>
        <v>0.16666666666666666</v>
      </c>
      <c r="AE13" s="36">
        <f t="shared" si="8"/>
        <v>0.34722222222222221</v>
      </c>
      <c r="AF13" s="87">
        <f t="shared" si="9"/>
        <v>8</v>
      </c>
    </row>
    <row r="14" spans="1:32" ht="27" customHeight="1">
      <c r="A14" s="103">
        <v>8</v>
      </c>
      <c r="B14" s="11" t="s">
        <v>57</v>
      </c>
      <c r="C14" s="11" t="s">
        <v>140</v>
      </c>
      <c r="D14" s="52" t="s">
        <v>117</v>
      </c>
      <c r="E14" s="53" t="s">
        <v>340</v>
      </c>
      <c r="F14" s="30" t="s">
        <v>216</v>
      </c>
      <c r="G14" s="33">
        <v>1</v>
      </c>
      <c r="H14" s="35">
        <v>24</v>
      </c>
      <c r="I14" s="7">
        <v>10000</v>
      </c>
      <c r="J14" s="14">
        <v>2833</v>
      </c>
      <c r="K14" s="15">
        <f>L14</f>
        <v>2833</v>
      </c>
      <c r="L14" s="15">
        <f>2466+367</f>
        <v>2833</v>
      </c>
      <c r="M14" s="15">
        <f t="shared" ref="M14" si="11">L14-N14</f>
        <v>2833</v>
      </c>
      <c r="N14" s="15">
        <v>0</v>
      </c>
      <c r="O14" s="58">
        <f t="shared" ref="O14" si="12">IF(L14=0,"0",N14/L14)</f>
        <v>0</v>
      </c>
      <c r="P14" s="39">
        <f t="shared" ref="P14" si="13">IF(L14=0,"0",(24-Q14))</f>
        <v>13</v>
      </c>
      <c r="Q14" s="40">
        <f t="shared" ref="Q14" si="14">SUM(R14:AA14)</f>
        <v>11</v>
      </c>
      <c r="R14" s="7"/>
      <c r="S14" s="6"/>
      <c r="T14" s="16">
        <v>11</v>
      </c>
      <c r="U14" s="16"/>
      <c r="V14" s="17"/>
      <c r="W14" s="5"/>
      <c r="X14" s="16"/>
      <c r="Y14" s="16"/>
      <c r="Z14" s="16"/>
      <c r="AA14" s="18"/>
      <c r="AB14" s="8">
        <f t="shared" ref="AB14" si="15">IF(J14=0,"0",(L14/J14))</f>
        <v>1</v>
      </c>
      <c r="AC14" s="9">
        <f t="shared" ref="AC14" si="16">IF(P14=0,"0",(P14/24))</f>
        <v>0.54166666666666663</v>
      </c>
      <c r="AD14" s="10">
        <f t="shared" ref="AD14" si="17">AC14*AB14*(1-O14)</f>
        <v>0.54166666666666663</v>
      </c>
      <c r="AE14" s="36">
        <f t="shared" si="8"/>
        <v>0.34722222222222221</v>
      </c>
      <c r="AF14" s="87">
        <f t="shared" ref="AF14" si="18">A14</f>
        <v>8</v>
      </c>
    </row>
    <row r="15" spans="1:32" ht="27" customHeight="1">
      <c r="A15" s="118">
        <v>9</v>
      </c>
      <c r="B15" s="11" t="s">
        <v>57</v>
      </c>
      <c r="C15" s="34" t="s">
        <v>140</v>
      </c>
      <c r="D15" s="52" t="s">
        <v>223</v>
      </c>
      <c r="E15" s="53" t="s">
        <v>224</v>
      </c>
      <c r="F15" s="30" t="s">
        <v>216</v>
      </c>
      <c r="G15" s="12">
        <v>1</v>
      </c>
      <c r="H15" s="13">
        <v>28</v>
      </c>
      <c r="I15" s="7">
        <v>1000</v>
      </c>
      <c r="J15" s="5">
        <v>1620</v>
      </c>
      <c r="K15" s="15">
        <f>L15+1620</f>
        <v>1620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0.34722222222222221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140</v>
      </c>
      <c r="D16" s="52" t="s">
        <v>129</v>
      </c>
      <c r="E16" s="53" t="s">
        <v>331</v>
      </c>
      <c r="F16" s="12" t="s">
        <v>332</v>
      </c>
      <c r="G16" s="12">
        <v>2</v>
      </c>
      <c r="H16" s="13">
        <v>24</v>
      </c>
      <c r="I16" s="31">
        <v>10000</v>
      </c>
      <c r="J16" s="14">
        <v>7088</v>
      </c>
      <c r="K16" s="15">
        <f>L16+4862+7088</f>
        <v>11950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0.34722222222222221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34" t="s">
        <v>124</v>
      </c>
      <c r="D17" s="52" t="s">
        <v>129</v>
      </c>
      <c r="E17" s="53" t="s">
        <v>259</v>
      </c>
      <c r="F17" s="30" t="s">
        <v>130</v>
      </c>
      <c r="G17" s="12">
        <v>1</v>
      </c>
      <c r="H17" s="13">
        <v>28</v>
      </c>
      <c r="I17" s="7">
        <v>9000</v>
      </c>
      <c r="J17" s="14">
        <v>4928</v>
      </c>
      <c r="K17" s="15">
        <f>L17+5027+5503+5566+4928</f>
        <v>21024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>
        <v>24</v>
      </c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0.34722222222222221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11" t="s">
        <v>142</v>
      </c>
      <c r="D18" s="52" t="s">
        <v>135</v>
      </c>
      <c r="E18" s="53" t="s">
        <v>208</v>
      </c>
      <c r="F18" s="30" t="s">
        <v>209</v>
      </c>
      <c r="G18" s="33">
        <v>2</v>
      </c>
      <c r="H18" s="35">
        <v>20</v>
      </c>
      <c r="I18" s="7">
        <v>300</v>
      </c>
      <c r="J18" s="14">
        <v>300</v>
      </c>
      <c r="K18" s="15">
        <f>L18+300</f>
        <v>300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20</v>
      </c>
      <c r="R18" s="7"/>
      <c r="S18" s="6"/>
      <c r="T18" s="16"/>
      <c r="U18" s="16"/>
      <c r="V18" s="17"/>
      <c r="W18" s="5">
        <v>20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 t="shared" si="7"/>
        <v>0</v>
      </c>
      <c r="AE18" s="36">
        <f t="shared" si="8"/>
        <v>0.34722222222222221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114</v>
      </c>
      <c r="D19" s="52" t="s">
        <v>129</v>
      </c>
      <c r="E19" s="53" t="s">
        <v>389</v>
      </c>
      <c r="F19" s="30" t="s">
        <v>130</v>
      </c>
      <c r="G19" s="33">
        <v>1</v>
      </c>
      <c r="H19" s="35">
        <v>24</v>
      </c>
      <c r="I19" s="7">
        <v>5000</v>
      </c>
      <c r="J19" s="5">
        <v>2136</v>
      </c>
      <c r="K19" s="15">
        <f>L19</f>
        <v>2136</v>
      </c>
      <c r="L19" s="15">
        <f>2136</f>
        <v>2136</v>
      </c>
      <c r="M19" s="15">
        <f t="shared" si="1"/>
        <v>2136</v>
      </c>
      <c r="N19" s="15">
        <v>0</v>
      </c>
      <c r="O19" s="58">
        <f t="shared" si="2"/>
        <v>0</v>
      </c>
      <c r="P19" s="39">
        <f t="shared" si="3"/>
        <v>10</v>
      </c>
      <c r="Q19" s="40">
        <f t="shared" si="4"/>
        <v>14</v>
      </c>
      <c r="R19" s="7"/>
      <c r="S19" s="6">
        <v>14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0.41666666666666669</v>
      </c>
      <c r="AD19" s="10">
        <f>AC19*AB19*(1-O19)</f>
        <v>0.41666666666666669</v>
      </c>
      <c r="AE19" s="36">
        <f t="shared" si="8"/>
        <v>0.34722222222222221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114</v>
      </c>
      <c r="D20" s="52" t="s">
        <v>119</v>
      </c>
      <c r="E20" s="53" t="s">
        <v>396</v>
      </c>
      <c r="F20" s="30" t="s">
        <v>123</v>
      </c>
      <c r="G20" s="33">
        <v>1</v>
      </c>
      <c r="H20" s="35">
        <v>24</v>
      </c>
      <c r="I20" s="7">
        <v>1400</v>
      </c>
      <c r="J20" s="14">
        <v>2510</v>
      </c>
      <c r="K20" s="15">
        <f>L20</f>
        <v>2510</v>
      </c>
      <c r="L20" s="15">
        <f>490+2020</f>
        <v>2510</v>
      </c>
      <c r="M20" s="15">
        <f t="shared" si="1"/>
        <v>2510</v>
      </c>
      <c r="N20" s="15">
        <v>0</v>
      </c>
      <c r="O20" s="58">
        <f t="shared" si="2"/>
        <v>0</v>
      </c>
      <c r="P20" s="39">
        <f t="shared" si="3"/>
        <v>12</v>
      </c>
      <c r="Q20" s="40">
        <f t="shared" si="4"/>
        <v>12</v>
      </c>
      <c r="R20" s="7"/>
      <c r="S20" s="6">
        <v>12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0.5</v>
      </c>
      <c r="AD20" s="10">
        <f t="shared" ref="AD20:AD21" si="19">AC20*AB20*(1-O20)</f>
        <v>0.5</v>
      </c>
      <c r="AE20" s="36">
        <f t="shared" si="8"/>
        <v>0.34722222222222221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333</v>
      </c>
      <c r="F21" s="12" t="s">
        <v>116</v>
      </c>
      <c r="G21" s="12">
        <v>3</v>
      </c>
      <c r="H21" s="35">
        <v>20</v>
      </c>
      <c r="I21" s="7">
        <v>300000</v>
      </c>
      <c r="J21" s="14">
        <v>62706</v>
      </c>
      <c r="K21" s="15">
        <f>L21+29373+68919+23628</f>
        <v>184626</v>
      </c>
      <c r="L21" s="15">
        <f>8660*3+12242*3</f>
        <v>62706</v>
      </c>
      <c r="M21" s="15">
        <f t="shared" si="1"/>
        <v>62706</v>
      </c>
      <c r="N21" s="15">
        <v>0</v>
      </c>
      <c r="O21" s="58">
        <f t="shared" si="2"/>
        <v>0</v>
      </c>
      <c r="P21" s="39">
        <f t="shared" si="3"/>
        <v>24</v>
      </c>
      <c r="Q21" s="40">
        <f t="shared" si="4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1</v>
      </c>
      <c r="AD21" s="10">
        <f t="shared" si="19"/>
        <v>1</v>
      </c>
      <c r="AE21" s="36">
        <f t="shared" si="8"/>
        <v>0.34722222222222221</v>
      </c>
      <c r="AF21" s="87">
        <f t="shared" si="9"/>
        <v>15</v>
      </c>
    </row>
    <row r="22" spans="1:32" ht="31.5" customHeight="1" thickBot="1">
      <c r="A22" s="427" t="s">
        <v>34</v>
      </c>
      <c r="B22" s="428"/>
      <c r="C22" s="428"/>
      <c r="D22" s="428"/>
      <c r="E22" s="428"/>
      <c r="F22" s="428"/>
      <c r="G22" s="428"/>
      <c r="H22" s="429"/>
      <c r="I22" s="22">
        <f t="shared" ref="I22:N22" si="20">SUM(I6:I21)</f>
        <v>528100</v>
      </c>
      <c r="J22" s="19">
        <f t="shared" si="20"/>
        <v>107706</v>
      </c>
      <c r="K22" s="20">
        <f t="shared" si="20"/>
        <v>296102</v>
      </c>
      <c r="L22" s="21">
        <f t="shared" si="20"/>
        <v>90173</v>
      </c>
      <c r="M22" s="20">
        <f t="shared" si="20"/>
        <v>90173</v>
      </c>
      <c r="N22" s="21">
        <f t="shared" si="20"/>
        <v>0</v>
      </c>
      <c r="O22" s="41">
        <f t="shared" si="2"/>
        <v>0</v>
      </c>
      <c r="P22" s="42">
        <f t="shared" ref="P22:AA22" si="21">SUM(P6:P21)</f>
        <v>125</v>
      </c>
      <c r="Q22" s="43">
        <f t="shared" si="21"/>
        <v>255</v>
      </c>
      <c r="R22" s="23">
        <f t="shared" si="21"/>
        <v>48</v>
      </c>
      <c r="S22" s="24">
        <f t="shared" si="21"/>
        <v>60</v>
      </c>
      <c r="T22" s="24">
        <f t="shared" si="21"/>
        <v>11</v>
      </c>
      <c r="U22" s="24">
        <f t="shared" si="21"/>
        <v>0</v>
      </c>
      <c r="V22" s="25">
        <f t="shared" si="21"/>
        <v>24</v>
      </c>
      <c r="W22" s="26">
        <f t="shared" si="21"/>
        <v>112</v>
      </c>
      <c r="X22" s="27">
        <f t="shared" si="21"/>
        <v>0</v>
      </c>
      <c r="Y22" s="27">
        <f t="shared" si="21"/>
        <v>0</v>
      </c>
      <c r="Z22" s="27">
        <f t="shared" si="21"/>
        <v>0</v>
      </c>
      <c r="AA22" s="27">
        <f t="shared" si="21"/>
        <v>0</v>
      </c>
      <c r="AB22" s="28">
        <f>SUM(AB6:AB21)/15</f>
        <v>0.53333333333333333</v>
      </c>
      <c r="AC22" s="4">
        <f>SUM(AC6:AC21)/15</f>
        <v>0.34722222222222221</v>
      </c>
      <c r="AD22" s="4">
        <f>SUM(AD6:AD21)/15</f>
        <v>0.34722222222222221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430" t="s">
        <v>45</v>
      </c>
      <c r="B49" s="430"/>
      <c r="C49" s="430"/>
      <c r="D49" s="430"/>
      <c r="E49" s="43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431" t="s">
        <v>397</v>
      </c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3"/>
      <c r="N50" s="434" t="s">
        <v>401</v>
      </c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6"/>
    </row>
    <row r="51" spans="1:32" ht="27" customHeight="1">
      <c r="A51" s="437" t="s">
        <v>2</v>
      </c>
      <c r="B51" s="438"/>
      <c r="C51" s="248" t="s">
        <v>46</v>
      </c>
      <c r="D51" s="248" t="s">
        <v>47</v>
      </c>
      <c r="E51" s="248" t="s">
        <v>108</v>
      </c>
      <c r="F51" s="438" t="s">
        <v>107</v>
      </c>
      <c r="G51" s="438"/>
      <c r="H51" s="438"/>
      <c r="I51" s="438"/>
      <c r="J51" s="438"/>
      <c r="K51" s="438"/>
      <c r="L51" s="438"/>
      <c r="M51" s="439"/>
      <c r="N51" s="67" t="s">
        <v>112</v>
      </c>
      <c r="O51" s="248" t="s">
        <v>46</v>
      </c>
      <c r="P51" s="440" t="s">
        <v>47</v>
      </c>
      <c r="Q51" s="441"/>
      <c r="R51" s="440" t="s">
        <v>38</v>
      </c>
      <c r="S51" s="442"/>
      <c r="T51" s="442"/>
      <c r="U51" s="441"/>
      <c r="V51" s="440" t="s">
        <v>48</v>
      </c>
      <c r="W51" s="442"/>
      <c r="X51" s="442"/>
      <c r="Y51" s="442"/>
      <c r="Z51" s="442"/>
      <c r="AA51" s="442"/>
      <c r="AB51" s="442"/>
      <c r="AC51" s="442"/>
      <c r="AD51" s="443"/>
    </row>
    <row r="52" spans="1:32" ht="27" customHeight="1">
      <c r="A52" s="409" t="s">
        <v>114</v>
      </c>
      <c r="B52" s="410"/>
      <c r="C52" s="246" t="s">
        <v>189</v>
      </c>
      <c r="D52" s="246" t="s">
        <v>117</v>
      </c>
      <c r="E52" s="246" t="s">
        <v>388</v>
      </c>
      <c r="F52" s="411" t="s">
        <v>120</v>
      </c>
      <c r="G52" s="412"/>
      <c r="H52" s="412"/>
      <c r="I52" s="412"/>
      <c r="J52" s="412"/>
      <c r="K52" s="412"/>
      <c r="L52" s="412"/>
      <c r="M52" s="413"/>
      <c r="N52" s="245" t="s">
        <v>124</v>
      </c>
      <c r="O52" s="243" t="s">
        <v>145</v>
      </c>
      <c r="P52" s="423" t="s">
        <v>122</v>
      </c>
      <c r="Q52" s="424"/>
      <c r="R52" s="410" t="s">
        <v>175</v>
      </c>
      <c r="S52" s="410"/>
      <c r="T52" s="410"/>
      <c r="U52" s="410"/>
      <c r="V52" s="400" t="s">
        <v>126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114</v>
      </c>
      <c r="B53" s="410"/>
      <c r="C53" s="246" t="s">
        <v>128</v>
      </c>
      <c r="D53" s="246" t="s">
        <v>129</v>
      </c>
      <c r="E53" s="246" t="s">
        <v>389</v>
      </c>
      <c r="F53" s="411" t="s">
        <v>398</v>
      </c>
      <c r="G53" s="412"/>
      <c r="H53" s="412"/>
      <c r="I53" s="412"/>
      <c r="J53" s="412"/>
      <c r="K53" s="412"/>
      <c r="L53" s="412"/>
      <c r="M53" s="413"/>
      <c r="N53" s="245" t="s">
        <v>140</v>
      </c>
      <c r="O53" s="243" t="s">
        <v>204</v>
      </c>
      <c r="P53" s="423" t="s">
        <v>117</v>
      </c>
      <c r="Q53" s="424"/>
      <c r="R53" s="410" t="s">
        <v>340</v>
      </c>
      <c r="S53" s="410"/>
      <c r="T53" s="410"/>
      <c r="U53" s="410"/>
      <c r="V53" s="400" t="s">
        <v>126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114</v>
      </c>
      <c r="B54" s="410"/>
      <c r="C54" s="246" t="s">
        <v>217</v>
      </c>
      <c r="D54" s="246" t="s">
        <v>117</v>
      </c>
      <c r="E54" s="246" t="s">
        <v>396</v>
      </c>
      <c r="F54" s="411" t="s">
        <v>120</v>
      </c>
      <c r="G54" s="412"/>
      <c r="H54" s="412"/>
      <c r="I54" s="412"/>
      <c r="J54" s="412"/>
      <c r="K54" s="412"/>
      <c r="L54" s="412"/>
      <c r="M54" s="413"/>
      <c r="N54" s="245" t="s">
        <v>114</v>
      </c>
      <c r="O54" s="243" t="s">
        <v>128</v>
      </c>
      <c r="P54" s="423" t="s">
        <v>129</v>
      </c>
      <c r="Q54" s="424"/>
      <c r="R54" s="410" t="s">
        <v>389</v>
      </c>
      <c r="S54" s="410"/>
      <c r="T54" s="410"/>
      <c r="U54" s="410"/>
      <c r="V54" s="400" t="s">
        <v>126</v>
      </c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 t="s">
        <v>140</v>
      </c>
      <c r="B55" s="410"/>
      <c r="C55" s="246" t="s">
        <v>204</v>
      </c>
      <c r="D55" s="246" t="s">
        <v>117</v>
      </c>
      <c r="E55" s="246" t="s">
        <v>340</v>
      </c>
      <c r="F55" s="411" t="s">
        <v>399</v>
      </c>
      <c r="G55" s="412"/>
      <c r="H55" s="412"/>
      <c r="I55" s="412"/>
      <c r="J55" s="412"/>
      <c r="K55" s="412"/>
      <c r="L55" s="412"/>
      <c r="M55" s="413"/>
      <c r="N55" s="245" t="s">
        <v>140</v>
      </c>
      <c r="O55" s="243" t="s">
        <v>136</v>
      </c>
      <c r="P55" s="423"/>
      <c r="Q55" s="424"/>
      <c r="R55" s="410" t="s">
        <v>162</v>
      </c>
      <c r="S55" s="410"/>
      <c r="T55" s="410"/>
      <c r="U55" s="410"/>
      <c r="V55" s="400" t="s">
        <v>126</v>
      </c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 t="s">
        <v>114</v>
      </c>
      <c r="B56" s="410"/>
      <c r="C56" s="246" t="s">
        <v>204</v>
      </c>
      <c r="D56" s="246" t="s">
        <v>400</v>
      </c>
      <c r="E56" s="246" t="s">
        <v>395</v>
      </c>
      <c r="F56" s="411" t="s">
        <v>120</v>
      </c>
      <c r="G56" s="412"/>
      <c r="H56" s="412"/>
      <c r="I56" s="412"/>
      <c r="J56" s="412"/>
      <c r="K56" s="412"/>
      <c r="L56" s="412"/>
      <c r="M56" s="413"/>
      <c r="N56" s="245" t="s">
        <v>140</v>
      </c>
      <c r="O56" s="243" t="s">
        <v>176</v>
      </c>
      <c r="P56" s="423" t="s">
        <v>117</v>
      </c>
      <c r="Q56" s="424"/>
      <c r="R56" s="410" t="s">
        <v>402</v>
      </c>
      <c r="S56" s="410"/>
      <c r="T56" s="410"/>
      <c r="U56" s="410"/>
      <c r="V56" s="400" t="s">
        <v>126</v>
      </c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 t="s">
        <v>115</v>
      </c>
      <c r="B57" s="410"/>
      <c r="C57" s="246" t="s">
        <v>168</v>
      </c>
      <c r="D57" s="246"/>
      <c r="E57" s="246" t="s">
        <v>333</v>
      </c>
      <c r="F57" s="411" t="s">
        <v>120</v>
      </c>
      <c r="G57" s="412"/>
      <c r="H57" s="412"/>
      <c r="I57" s="412"/>
      <c r="J57" s="412"/>
      <c r="K57" s="412"/>
      <c r="L57" s="412"/>
      <c r="M57" s="413"/>
      <c r="N57" s="245"/>
      <c r="O57" s="243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 t="s">
        <v>140</v>
      </c>
      <c r="B58" s="410"/>
      <c r="C58" s="246" t="s">
        <v>136</v>
      </c>
      <c r="D58" s="246"/>
      <c r="E58" s="246" t="s">
        <v>162</v>
      </c>
      <c r="F58" s="411" t="s">
        <v>307</v>
      </c>
      <c r="G58" s="412"/>
      <c r="H58" s="412"/>
      <c r="I58" s="412"/>
      <c r="J58" s="412"/>
      <c r="K58" s="412"/>
      <c r="L58" s="412"/>
      <c r="M58" s="413"/>
      <c r="N58" s="245"/>
      <c r="O58" s="243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 t="s">
        <v>140</v>
      </c>
      <c r="B59" s="410"/>
      <c r="C59" s="246" t="s">
        <v>217</v>
      </c>
      <c r="D59" s="246" t="s">
        <v>117</v>
      </c>
      <c r="E59" s="246" t="s">
        <v>402</v>
      </c>
      <c r="F59" s="411" t="s">
        <v>403</v>
      </c>
      <c r="G59" s="412"/>
      <c r="H59" s="412"/>
      <c r="I59" s="412"/>
      <c r="J59" s="412"/>
      <c r="K59" s="412"/>
      <c r="L59" s="412"/>
      <c r="M59" s="413"/>
      <c r="N59" s="245"/>
      <c r="O59" s="243"/>
      <c r="P59" s="423"/>
      <c r="Q59" s="424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</row>
    <row r="60" spans="1:32" ht="27" customHeight="1">
      <c r="A60" s="409"/>
      <c r="B60" s="410"/>
      <c r="C60" s="246"/>
      <c r="D60" s="246"/>
      <c r="E60" s="246"/>
      <c r="F60" s="411"/>
      <c r="G60" s="412"/>
      <c r="H60" s="412"/>
      <c r="I60" s="412"/>
      <c r="J60" s="412"/>
      <c r="K60" s="412"/>
      <c r="L60" s="412"/>
      <c r="M60" s="413"/>
      <c r="N60" s="245"/>
      <c r="O60" s="243"/>
      <c r="P60" s="410"/>
      <c r="Q60" s="410"/>
      <c r="R60" s="410"/>
      <c r="S60" s="410"/>
      <c r="T60" s="410"/>
      <c r="U60" s="410"/>
      <c r="V60" s="400"/>
      <c r="W60" s="400"/>
      <c r="X60" s="400"/>
      <c r="Y60" s="400"/>
      <c r="Z60" s="400"/>
      <c r="AA60" s="400"/>
      <c r="AB60" s="400"/>
      <c r="AC60" s="400"/>
      <c r="AD60" s="414"/>
      <c r="AF60" s="87">
        <f>8*3000</f>
        <v>24000</v>
      </c>
    </row>
    <row r="61" spans="1:32" ht="27" customHeight="1" thickBot="1">
      <c r="A61" s="415"/>
      <c r="B61" s="416"/>
      <c r="C61" s="247"/>
      <c r="D61" s="247"/>
      <c r="E61" s="247"/>
      <c r="F61" s="417"/>
      <c r="G61" s="418"/>
      <c r="H61" s="418"/>
      <c r="I61" s="418"/>
      <c r="J61" s="418"/>
      <c r="K61" s="418"/>
      <c r="L61" s="418"/>
      <c r="M61" s="419"/>
      <c r="N61" s="124"/>
      <c r="O61" s="114"/>
      <c r="P61" s="420"/>
      <c r="Q61" s="420"/>
      <c r="R61" s="420"/>
      <c r="S61" s="420"/>
      <c r="T61" s="420"/>
      <c r="U61" s="420"/>
      <c r="V61" s="421"/>
      <c r="W61" s="421"/>
      <c r="X61" s="421"/>
      <c r="Y61" s="421"/>
      <c r="Z61" s="421"/>
      <c r="AA61" s="421"/>
      <c r="AB61" s="421"/>
      <c r="AC61" s="421"/>
      <c r="AD61" s="422"/>
      <c r="AF61" s="87">
        <f>16*3000</f>
        <v>48000</v>
      </c>
    </row>
    <row r="62" spans="1:32" ht="27.75" thickBot="1">
      <c r="A62" s="407" t="s">
        <v>404</v>
      </c>
      <c r="B62" s="407"/>
      <c r="C62" s="407"/>
      <c r="D62" s="407"/>
      <c r="E62" s="407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408" t="s">
        <v>113</v>
      </c>
      <c r="B63" s="405"/>
      <c r="C63" s="244" t="s">
        <v>2</v>
      </c>
      <c r="D63" s="244" t="s">
        <v>37</v>
      </c>
      <c r="E63" s="244" t="s">
        <v>3</v>
      </c>
      <c r="F63" s="405" t="s">
        <v>110</v>
      </c>
      <c r="G63" s="405"/>
      <c r="H63" s="405"/>
      <c r="I63" s="405"/>
      <c r="J63" s="405"/>
      <c r="K63" s="405" t="s">
        <v>39</v>
      </c>
      <c r="L63" s="405"/>
      <c r="M63" s="244" t="s">
        <v>40</v>
      </c>
      <c r="N63" s="405" t="s">
        <v>41</v>
      </c>
      <c r="O63" s="405"/>
      <c r="P63" s="402" t="s">
        <v>42</v>
      </c>
      <c r="Q63" s="404"/>
      <c r="R63" s="402" t="s">
        <v>43</v>
      </c>
      <c r="S63" s="403"/>
      <c r="T63" s="403"/>
      <c r="U63" s="403"/>
      <c r="V63" s="403"/>
      <c r="W63" s="403"/>
      <c r="X63" s="403"/>
      <c r="Y63" s="403"/>
      <c r="Z63" s="403"/>
      <c r="AA63" s="404"/>
      <c r="AB63" s="405" t="s">
        <v>44</v>
      </c>
      <c r="AC63" s="405"/>
      <c r="AD63" s="406"/>
      <c r="AF63" s="87">
        <f>SUM(AF60:AF62)</f>
        <v>96000</v>
      </c>
    </row>
    <row r="64" spans="1:32" ht="25.5" customHeight="1">
      <c r="A64" s="396">
        <v>1</v>
      </c>
      <c r="B64" s="397"/>
      <c r="C64" s="117" t="s">
        <v>142</v>
      </c>
      <c r="D64" s="239"/>
      <c r="E64" s="242" t="s">
        <v>135</v>
      </c>
      <c r="F64" s="398" t="s">
        <v>208</v>
      </c>
      <c r="G64" s="390"/>
      <c r="H64" s="390"/>
      <c r="I64" s="390"/>
      <c r="J64" s="390"/>
      <c r="K64" s="390" t="s">
        <v>209</v>
      </c>
      <c r="L64" s="390"/>
      <c r="M64" s="51" t="s">
        <v>207</v>
      </c>
      <c r="N64" s="401" t="s">
        <v>210</v>
      </c>
      <c r="O64" s="401"/>
      <c r="P64" s="399">
        <v>150</v>
      </c>
      <c r="Q64" s="399"/>
      <c r="R64" s="400" t="s">
        <v>405</v>
      </c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2</v>
      </c>
      <c r="B65" s="397"/>
      <c r="C65" s="117" t="s">
        <v>124</v>
      </c>
      <c r="D65" s="239"/>
      <c r="E65" s="242" t="s">
        <v>221</v>
      </c>
      <c r="F65" s="398" t="s">
        <v>406</v>
      </c>
      <c r="G65" s="390"/>
      <c r="H65" s="390"/>
      <c r="I65" s="390"/>
      <c r="J65" s="390"/>
      <c r="K65" s="390" t="s">
        <v>132</v>
      </c>
      <c r="L65" s="390"/>
      <c r="M65" s="51" t="s">
        <v>203</v>
      </c>
      <c r="N65" s="401" t="s">
        <v>138</v>
      </c>
      <c r="O65" s="401"/>
      <c r="P65" s="399"/>
      <c r="Q65" s="399"/>
      <c r="R65" s="400" t="s">
        <v>407</v>
      </c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3</v>
      </c>
      <c r="B66" s="397"/>
      <c r="C66" s="117" t="s">
        <v>124</v>
      </c>
      <c r="D66" s="239"/>
      <c r="E66" s="242" t="s">
        <v>135</v>
      </c>
      <c r="F66" s="398" t="s">
        <v>408</v>
      </c>
      <c r="G66" s="390"/>
      <c r="H66" s="390"/>
      <c r="I66" s="390"/>
      <c r="J66" s="390"/>
      <c r="K66" s="390" t="s">
        <v>134</v>
      </c>
      <c r="L66" s="390"/>
      <c r="M66" s="51" t="s">
        <v>203</v>
      </c>
      <c r="N66" s="401" t="s">
        <v>143</v>
      </c>
      <c r="O66" s="401"/>
      <c r="P66" s="399"/>
      <c r="Q66" s="399"/>
      <c r="R66" s="400" t="s">
        <v>409</v>
      </c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4</v>
      </c>
      <c r="B67" s="397"/>
      <c r="C67" s="117"/>
      <c r="D67" s="239"/>
      <c r="E67" s="242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5</v>
      </c>
      <c r="B68" s="397"/>
      <c r="C68" s="117"/>
      <c r="D68" s="239"/>
      <c r="E68" s="242"/>
      <c r="F68" s="398"/>
      <c r="G68" s="390"/>
      <c r="H68" s="390"/>
      <c r="I68" s="390"/>
      <c r="J68" s="390"/>
      <c r="K68" s="390"/>
      <c r="L68" s="390"/>
      <c r="M68" s="51"/>
      <c r="N68" s="401"/>
      <c r="O68" s="401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6</v>
      </c>
      <c r="B69" s="397"/>
      <c r="C69" s="117"/>
      <c r="D69" s="239"/>
      <c r="E69" s="242"/>
      <c r="F69" s="398"/>
      <c r="G69" s="390"/>
      <c r="H69" s="390"/>
      <c r="I69" s="390"/>
      <c r="J69" s="390"/>
      <c r="K69" s="390"/>
      <c r="L69" s="390"/>
      <c r="M69" s="51"/>
      <c r="N69" s="390"/>
      <c r="O69" s="390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7</v>
      </c>
      <c r="B70" s="397"/>
      <c r="C70" s="117"/>
      <c r="D70" s="239"/>
      <c r="E70" s="242"/>
      <c r="F70" s="398"/>
      <c r="G70" s="390"/>
      <c r="H70" s="390"/>
      <c r="I70" s="390"/>
      <c r="J70" s="390"/>
      <c r="K70" s="390"/>
      <c r="L70" s="390"/>
      <c r="M70" s="51"/>
      <c r="N70" s="401"/>
      <c r="O70" s="401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5.5" customHeight="1">
      <c r="A71" s="396">
        <v>8</v>
      </c>
      <c r="B71" s="397"/>
      <c r="C71" s="117"/>
      <c r="D71" s="239"/>
      <c r="E71" s="242"/>
      <c r="F71" s="398"/>
      <c r="G71" s="390"/>
      <c r="H71" s="390"/>
      <c r="I71" s="390"/>
      <c r="J71" s="390"/>
      <c r="K71" s="390"/>
      <c r="L71" s="390"/>
      <c r="M71" s="51"/>
      <c r="N71" s="390"/>
      <c r="O71" s="390"/>
      <c r="P71" s="399"/>
      <c r="Q71" s="399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390"/>
      <c r="AC71" s="390"/>
      <c r="AD71" s="391"/>
      <c r="AF71" s="50"/>
    </row>
    <row r="72" spans="1:32" ht="26.25" customHeight="1" thickBot="1">
      <c r="A72" s="370" t="s">
        <v>410</v>
      </c>
      <c r="B72" s="370"/>
      <c r="C72" s="370"/>
      <c r="D72" s="370"/>
      <c r="E72" s="370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371" t="s">
        <v>113</v>
      </c>
      <c r="B73" s="372"/>
      <c r="C73" s="241" t="s">
        <v>2</v>
      </c>
      <c r="D73" s="241" t="s">
        <v>37</v>
      </c>
      <c r="E73" s="241" t="s">
        <v>3</v>
      </c>
      <c r="F73" s="372" t="s">
        <v>38</v>
      </c>
      <c r="G73" s="372"/>
      <c r="H73" s="372"/>
      <c r="I73" s="372"/>
      <c r="J73" s="372"/>
      <c r="K73" s="392" t="s">
        <v>58</v>
      </c>
      <c r="L73" s="393"/>
      <c r="M73" s="393"/>
      <c r="N73" s="393"/>
      <c r="O73" s="393"/>
      <c r="P73" s="393"/>
      <c r="Q73" s="393"/>
      <c r="R73" s="393"/>
      <c r="S73" s="394"/>
      <c r="T73" s="372" t="s">
        <v>49</v>
      </c>
      <c r="U73" s="372"/>
      <c r="V73" s="392" t="s">
        <v>50</v>
      </c>
      <c r="W73" s="394"/>
      <c r="X73" s="393" t="s">
        <v>51</v>
      </c>
      <c r="Y73" s="393"/>
      <c r="Z73" s="393"/>
      <c r="AA73" s="393"/>
      <c r="AB73" s="393"/>
      <c r="AC73" s="393"/>
      <c r="AD73" s="395"/>
      <c r="AF73" s="50"/>
    </row>
    <row r="74" spans="1:32" ht="33.75" customHeight="1">
      <c r="A74" s="364">
        <v>1</v>
      </c>
      <c r="B74" s="365"/>
      <c r="C74" s="240" t="s">
        <v>114</v>
      </c>
      <c r="D74" s="240"/>
      <c r="E74" s="65" t="s">
        <v>119</v>
      </c>
      <c r="F74" s="379" t="s">
        <v>118</v>
      </c>
      <c r="G74" s="380"/>
      <c r="H74" s="380"/>
      <c r="I74" s="380"/>
      <c r="J74" s="381"/>
      <c r="K74" s="382" t="s">
        <v>156</v>
      </c>
      <c r="L74" s="383"/>
      <c r="M74" s="383"/>
      <c r="N74" s="383"/>
      <c r="O74" s="383"/>
      <c r="P74" s="383"/>
      <c r="Q74" s="383"/>
      <c r="R74" s="383"/>
      <c r="S74" s="384"/>
      <c r="T74" s="385">
        <v>43675</v>
      </c>
      <c r="U74" s="386"/>
      <c r="V74" s="387"/>
      <c r="W74" s="387"/>
      <c r="X74" s="388"/>
      <c r="Y74" s="388"/>
      <c r="Z74" s="388"/>
      <c r="AA74" s="388"/>
      <c r="AB74" s="388"/>
      <c r="AC74" s="388"/>
      <c r="AD74" s="389"/>
      <c r="AF74" s="50"/>
    </row>
    <row r="75" spans="1:32" ht="30" customHeight="1">
      <c r="A75" s="357">
        <f>A74+1</f>
        <v>2</v>
      </c>
      <c r="B75" s="358"/>
      <c r="C75" s="239"/>
      <c r="D75" s="239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ref="A76:A82" si="22">A75+1</f>
        <v>3</v>
      </c>
      <c r="B76" s="358"/>
      <c r="C76" s="239"/>
      <c r="D76" s="239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22"/>
        <v>4</v>
      </c>
      <c r="B77" s="358"/>
      <c r="C77" s="239"/>
      <c r="D77" s="239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22"/>
        <v>5</v>
      </c>
      <c r="B78" s="358"/>
      <c r="C78" s="239"/>
      <c r="D78" s="239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22"/>
        <v>6</v>
      </c>
      <c r="B79" s="358"/>
      <c r="C79" s="239"/>
      <c r="D79" s="239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22"/>
        <v>7</v>
      </c>
      <c r="B80" s="358"/>
      <c r="C80" s="239"/>
      <c r="D80" s="239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22"/>
        <v>8</v>
      </c>
      <c r="B81" s="358"/>
      <c r="C81" s="239"/>
      <c r="D81" s="239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0" customHeight="1">
      <c r="A82" s="357">
        <f t="shared" si="22"/>
        <v>9</v>
      </c>
      <c r="B82" s="358"/>
      <c r="C82" s="239"/>
      <c r="D82" s="239"/>
      <c r="E82" s="32"/>
      <c r="F82" s="358"/>
      <c r="G82" s="358"/>
      <c r="H82" s="358"/>
      <c r="I82" s="358"/>
      <c r="J82" s="358"/>
      <c r="K82" s="373"/>
      <c r="L82" s="374"/>
      <c r="M82" s="374"/>
      <c r="N82" s="374"/>
      <c r="O82" s="374"/>
      <c r="P82" s="374"/>
      <c r="Q82" s="374"/>
      <c r="R82" s="374"/>
      <c r="S82" s="375"/>
      <c r="T82" s="376"/>
      <c r="U82" s="376"/>
      <c r="V82" s="376"/>
      <c r="W82" s="376"/>
      <c r="X82" s="377"/>
      <c r="Y82" s="377"/>
      <c r="Z82" s="377"/>
      <c r="AA82" s="377"/>
      <c r="AB82" s="377"/>
      <c r="AC82" s="377"/>
      <c r="AD82" s="378"/>
      <c r="AF82" s="50"/>
    </row>
    <row r="83" spans="1:32" ht="36" thickBot="1">
      <c r="A83" s="370" t="s">
        <v>411</v>
      </c>
      <c r="B83" s="370"/>
      <c r="C83" s="370"/>
      <c r="D83" s="370"/>
      <c r="E83" s="370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371" t="s">
        <v>113</v>
      </c>
      <c r="B84" s="372"/>
      <c r="C84" s="362" t="s">
        <v>52</v>
      </c>
      <c r="D84" s="362"/>
      <c r="E84" s="362" t="s">
        <v>53</v>
      </c>
      <c r="F84" s="362"/>
      <c r="G84" s="362"/>
      <c r="H84" s="362"/>
      <c r="I84" s="362"/>
      <c r="J84" s="362"/>
      <c r="K84" s="362" t="s">
        <v>54</v>
      </c>
      <c r="L84" s="362"/>
      <c r="M84" s="362"/>
      <c r="N84" s="362"/>
      <c r="O84" s="362"/>
      <c r="P84" s="362"/>
      <c r="Q84" s="362"/>
      <c r="R84" s="362"/>
      <c r="S84" s="362"/>
      <c r="T84" s="362" t="s">
        <v>55</v>
      </c>
      <c r="U84" s="362"/>
      <c r="V84" s="362" t="s">
        <v>56</v>
      </c>
      <c r="W84" s="362"/>
      <c r="X84" s="362"/>
      <c r="Y84" s="362" t="s">
        <v>51</v>
      </c>
      <c r="Z84" s="362"/>
      <c r="AA84" s="362"/>
      <c r="AB84" s="362"/>
      <c r="AC84" s="362"/>
      <c r="AD84" s="363"/>
      <c r="AF84" s="50"/>
    </row>
    <row r="85" spans="1:32" ht="30.75" customHeight="1">
      <c r="A85" s="364">
        <v>1</v>
      </c>
      <c r="B85" s="365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7"/>
      <c r="W85" s="367"/>
      <c r="X85" s="367"/>
      <c r="Y85" s="368"/>
      <c r="Z85" s="368"/>
      <c r="AA85" s="368"/>
      <c r="AB85" s="368"/>
      <c r="AC85" s="368"/>
      <c r="AD85" s="369"/>
      <c r="AF85" s="50"/>
    </row>
    <row r="86" spans="1:32" ht="30.75" customHeight="1">
      <c r="A86" s="357">
        <v>2</v>
      </c>
      <c r="B86" s="358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60"/>
      <c r="U86" s="360"/>
      <c r="V86" s="361"/>
      <c r="W86" s="361"/>
      <c r="X86" s="361"/>
      <c r="Y86" s="350"/>
      <c r="Z86" s="350"/>
      <c r="AA86" s="350"/>
      <c r="AB86" s="350"/>
      <c r="AC86" s="350"/>
      <c r="AD86" s="351"/>
      <c r="AF86" s="50"/>
    </row>
    <row r="87" spans="1:32" ht="30.75" customHeight="1" thickBot="1">
      <c r="A87" s="352">
        <v>3</v>
      </c>
      <c r="B87" s="353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55"/>
      <c r="Z87" s="355"/>
      <c r="AA87" s="355"/>
      <c r="AB87" s="355"/>
      <c r="AC87" s="355"/>
      <c r="AD87" s="356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336D-BA2B-4CC6-92EE-99F09A6CC302}"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412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250" t="s">
        <v>17</v>
      </c>
      <c r="L5" s="250" t="s">
        <v>18</v>
      </c>
      <c r="M5" s="250" t="s">
        <v>19</v>
      </c>
      <c r="N5" s="25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17" si="7">AC6*AB6*(1-O6)</f>
        <v>0</v>
      </c>
      <c r="AE6" s="36">
        <f t="shared" ref="AE6:AE20" si="8">$AD$21</f>
        <v>0.23333333333333334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0.23333333333333334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15000</v>
      </c>
      <c r="J8" s="14">
        <v>1236</v>
      </c>
      <c r="K8" s="15">
        <f>L8+3610+4566+4051+4702+4613+1236</f>
        <v>22778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0.23333333333333334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119</v>
      </c>
      <c r="E9" s="53" t="s">
        <v>388</v>
      </c>
      <c r="F9" s="30" t="s">
        <v>127</v>
      </c>
      <c r="G9" s="33">
        <v>1</v>
      </c>
      <c r="H9" s="35">
        <v>24</v>
      </c>
      <c r="I9" s="7">
        <v>5000</v>
      </c>
      <c r="J9" s="14">
        <v>5164</v>
      </c>
      <c r="K9" s="15">
        <f>L9+5164</f>
        <v>5164</v>
      </c>
      <c r="L9" s="15"/>
      <c r="M9" s="15">
        <f t="shared" si="1"/>
        <v>0</v>
      </c>
      <c r="N9" s="15">
        <v>0</v>
      </c>
      <c r="O9" s="58" t="str">
        <f t="shared" si="2"/>
        <v>0</v>
      </c>
      <c r="P9" s="39" t="str">
        <f t="shared" si="3"/>
        <v>0</v>
      </c>
      <c r="Q9" s="40">
        <f t="shared" si="4"/>
        <v>24</v>
      </c>
      <c r="R9" s="7"/>
      <c r="S9" s="6"/>
      <c r="T9" s="16"/>
      <c r="U9" s="16"/>
      <c r="V9" s="17"/>
      <c r="W9" s="5">
        <v>24</v>
      </c>
      <c r="X9" s="16"/>
      <c r="Y9" s="16"/>
      <c r="Z9" s="16"/>
      <c r="AA9" s="18"/>
      <c r="AB9" s="8">
        <f t="shared" si="5"/>
        <v>0</v>
      </c>
      <c r="AC9" s="9">
        <f t="shared" si="6"/>
        <v>0</v>
      </c>
      <c r="AD9" s="10">
        <f t="shared" si="7"/>
        <v>0</v>
      </c>
      <c r="AE9" s="36">
        <f t="shared" si="8"/>
        <v>0.23333333333333334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140</v>
      </c>
      <c r="D10" s="52" t="s">
        <v>162</v>
      </c>
      <c r="E10" s="53" t="s">
        <v>381</v>
      </c>
      <c r="F10" s="30" t="s">
        <v>364</v>
      </c>
      <c r="G10" s="33">
        <v>3</v>
      </c>
      <c r="H10" s="35">
        <v>24</v>
      </c>
      <c r="I10" s="7">
        <v>100000</v>
      </c>
      <c r="J10" s="5">
        <v>10011</v>
      </c>
      <c r="K10" s="15">
        <f>L10+4623+10011</f>
        <v>14634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0.23333333333333334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142</v>
      </c>
      <c r="D11" s="52" t="s">
        <v>117</v>
      </c>
      <c r="E11" s="53" t="s">
        <v>202</v>
      </c>
      <c r="F11" s="30" t="s">
        <v>199</v>
      </c>
      <c r="G11" s="33">
        <v>2</v>
      </c>
      <c r="H11" s="35">
        <v>20</v>
      </c>
      <c r="I11" s="7">
        <v>300</v>
      </c>
      <c r="J11" s="14">
        <v>300</v>
      </c>
      <c r="K11" s="15">
        <f>L11+300</f>
        <v>300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ref="AD11" si="10">AC11*AB11*(1-O11)</f>
        <v>0</v>
      </c>
      <c r="AE11" s="36">
        <f t="shared" si="8"/>
        <v>0.23333333333333334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140</v>
      </c>
      <c r="D12" s="52" t="s">
        <v>117</v>
      </c>
      <c r="E12" s="53" t="s">
        <v>402</v>
      </c>
      <c r="F12" s="30" t="s">
        <v>121</v>
      </c>
      <c r="G12" s="33">
        <v>1</v>
      </c>
      <c r="H12" s="35">
        <v>20</v>
      </c>
      <c r="I12" s="7">
        <v>1000</v>
      </c>
      <c r="J12" s="14">
        <v>2455</v>
      </c>
      <c r="K12" s="15">
        <f>L12</f>
        <v>2455</v>
      </c>
      <c r="L12" s="15">
        <f>347+2108</f>
        <v>2455</v>
      </c>
      <c r="M12" s="15">
        <f t="shared" si="1"/>
        <v>2455</v>
      </c>
      <c r="N12" s="15">
        <v>0</v>
      </c>
      <c r="O12" s="58">
        <f t="shared" si="2"/>
        <v>0</v>
      </c>
      <c r="P12" s="39">
        <f t="shared" si="3"/>
        <v>14</v>
      </c>
      <c r="Q12" s="40">
        <f t="shared" si="4"/>
        <v>10</v>
      </c>
      <c r="R12" s="7"/>
      <c r="S12" s="6">
        <v>10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0.58333333333333337</v>
      </c>
      <c r="AD12" s="10">
        <f t="shared" si="7"/>
        <v>0.58333333333333337</v>
      </c>
      <c r="AE12" s="36">
        <f t="shared" si="8"/>
        <v>0.23333333333333334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140</v>
      </c>
      <c r="D13" s="52" t="s">
        <v>117</v>
      </c>
      <c r="E13" s="53" t="s">
        <v>340</v>
      </c>
      <c r="F13" s="30" t="s">
        <v>216</v>
      </c>
      <c r="G13" s="33">
        <v>1</v>
      </c>
      <c r="H13" s="35">
        <v>24</v>
      </c>
      <c r="I13" s="7">
        <v>10000</v>
      </c>
      <c r="J13" s="14">
        <v>6352</v>
      </c>
      <c r="K13" s="15">
        <f>L13+2833</f>
        <v>9185</v>
      </c>
      <c r="L13" s="15">
        <f>2479*2+697*2</f>
        <v>6352</v>
      </c>
      <c r="M13" s="15">
        <f t="shared" si="1"/>
        <v>6352</v>
      </c>
      <c r="N13" s="15">
        <v>0</v>
      </c>
      <c r="O13" s="58">
        <f t="shared" si="2"/>
        <v>0</v>
      </c>
      <c r="P13" s="39">
        <f t="shared" si="3"/>
        <v>18</v>
      </c>
      <c r="Q13" s="40">
        <f t="shared" si="4"/>
        <v>6</v>
      </c>
      <c r="R13" s="7"/>
      <c r="S13" s="6">
        <v>6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0.75</v>
      </c>
      <c r="AD13" s="10">
        <f t="shared" si="7"/>
        <v>0.75</v>
      </c>
      <c r="AE13" s="36">
        <f t="shared" si="8"/>
        <v>0.23333333333333334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140</v>
      </c>
      <c r="D14" s="52" t="s">
        <v>223</v>
      </c>
      <c r="E14" s="53" t="s">
        <v>224</v>
      </c>
      <c r="F14" s="30" t="s">
        <v>216</v>
      </c>
      <c r="G14" s="12">
        <v>1</v>
      </c>
      <c r="H14" s="13">
        <v>28</v>
      </c>
      <c r="I14" s="7">
        <v>1000</v>
      </c>
      <c r="J14" s="5">
        <v>1620</v>
      </c>
      <c r="K14" s="15">
        <f>L14+1620</f>
        <v>1620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0.23333333333333334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140</v>
      </c>
      <c r="D15" s="52" t="s">
        <v>129</v>
      </c>
      <c r="E15" s="53" t="s">
        <v>331</v>
      </c>
      <c r="F15" s="12" t="s">
        <v>332</v>
      </c>
      <c r="G15" s="12">
        <v>2</v>
      </c>
      <c r="H15" s="13">
        <v>24</v>
      </c>
      <c r="I15" s="31">
        <v>10000</v>
      </c>
      <c r="J15" s="14">
        <v>7088</v>
      </c>
      <c r="K15" s="15">
        <f>L15+4862+7088</f>
        <v>11950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0.23333333333333334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129</v>
      </c>
      <c r="E16" s="53" t="s">
        <v>259</v>
      </c>
      <c r="F16" s="30" t="s">
        <v>130</v>
      </c>
      <c r="G16" s="12">
        <v>1</v>
      </c>
      <c r="H16" s="13">
        <v>28</v>
      </c>
      <c r="I16" s="7">
        <v>9000</v>
      </c>
      <c r="J16" s="14">
        <v>4928</v>
      </c>
      <c r="K16" s="15">
        <f>L16+5027+5503+5566+4928</f>
        <v>21024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0.23333333333333334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142</v>
      </c>
      <c r="D17" s="52" t="s">
        <v>135</v>
      </c>
      <c r="E17" s="53" t="s">
        <v>208</v>
      </c>
      <c r="F17" s="30" t="s">
        <v>209</v>
      </c>
      <c r="G17" s="33">
        <v>2</v>
      </c>
      <c r="H17" s="35">
        <v>20</v>
      </c>
      <c r="I17" s="7">
        <v>300</v>
      </c>
      <c r="J17" s="14">
        <v>300</v>
      </c>
      <c r="K17" s="15">
        <f>L17+300</f>
        <v>300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20</v>
      </c>
      <c r="R17" s="7"/>
      <c r="S17" s="6"/>
      <c r="T17" s="16"/>
      <c r="U17" s="16"/>
      <c r="V17" s="17"/>
      <c r="W17" s="5">
        <v>20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0.23333333333333334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129</v>
      </c>
      <c r="E18" s="53" t="s">
        <v>389</v>
      </c>
      <c r="F18" s="30" t="s">
        <v>130</v>
      </c>
      <c r="G18" s="33">
        <v>1</v>
      </c>
      <c r="H18" s="35">
        <v>24</v>
      </c>
      <c r="I18" s="7">
        <v>5000</v>
      </c>
      <c r="J18" s="5">
        <v>1090</v>
      </c>
      <c r="K18" s="15">
        <f>L18+2136</f>
        <v>3226</v>
      </c>
      <c r="L18" s="15">
        <f>878+212</f>
        <v>1090</v>
      </c>
      <c r="M18" s="15">
        <f t="shared" si="1"/>
        <v>1090</v>
      </c>
      <c r="N18" s="15">
        <v>0</v>
      </c>
      <c r="O18" s="58">
        <f t="shared" si="2"/>
        <v>0</v>
      </c>
      <c r="P18" s="39">
        <f t="shared" si="3"/>
        <v>8</v>
      </c>
      <c r="Q18" s="40">
        <f t="shared" si="4"/>
        <v>16</v>
      </c>
      <c r="R18" s="7"/>
      <c r="S18" s="6">
        <v>16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0.33333333333333331</v>
      </c>
      <c r="AD18" s="10">
        <f>AC18*AB18*(1-O18)</f>
        <v>0.33333333333333331</v>
      </c>
      <c r="AE18" s="36">
        <f t="shared" si="8"/>
        <v>0.23333333333333334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114</v>
      </c>
      <c r="D19" s="52" t="s">
        <v>119</v>
      </c>
      <c r="E19" s="53" t="s">
        <v>396</v>
      </c>
      <c r="F19" s="30" t="s">
        <v>123</v>
      </c>
      <c r="G19" s="33">
        <v>1</v>
      </c>
      <c r="H19" s="35">
        <v>24</v>
      </c>
      <c r="I19" s="7">
        <v>1400</v>
      </c>
      <c r="J19" s="14">
        <v>3301</v>
      </c>
      <c r="K19" s="15">
        <f>L19+2510</f>
        <v>5811</v>
      </c>
      <c r="L19" s="15">
        <f>1400+1901</f>
        <v>3301</v>
      </c>
      <c r="M19" s="15">
        <f t="shared" si="1"/>
        <v>3301</v>
      </c>
      <c r="N19" s="15">
        <v>0</v>
      </c>
      <c r="O19" s="58">
        <f t="shared" si="2"/>
        <v>0</v>
      </c>
      <c r="P19" s="39">
        <f t="shared" si="3"/>
        <v>20</v>
      </c>
      <c r="Q19" s="40">
        <f t="shared" si="4"/>
        <v>4</v>
      </c>
      <c r="R19" s="7"/>
      <c r="S19" s="6"/>
      <c r="T19" s="16"/>
      <c r="U19" s="16"/>
      <c r="V19" s="17"/>
      <c r="W19" s="5">
        <v>4</v>
      </c>
      <c r="X19" s="16"/>
      <c r="Y19" s="16"/>
      <c r="Z19" s="16"/>
      <c r="AA19" s="18"/>
      <c r="AB19" s="8">
        <f t="shared" si="5"/>
        <v>1</v>
      </c>
      <c r="AC19" s="9">
        <f t="shared" si="6"/>
        <v>0.83333333333333337</v>
      </c>
      <c r="AD19" s="10">
        <f t="shared" ref="AD19:AD20" si="11">AC19*AB19*(1-O19)</f>
        <v>0.83333333333333337</v>
      </c>
      <c r="AE19" s="36">
        <f t="shared" si="8"/>
        <v>0.23333333333333334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333</v>
      </c>
      <c r="F20" s="12" t="s">
        <v>116</v>
      </c>
      <c r="G20" s="12">
        <v>3</v>
      </c>
      <c r="H20" s="35">
        <v>20</v>
      </c>
      <c r="I20" s="7">
        <v>300000</v>
      </c>
      <c r="J20" s="14">
        <v>67941</v>
      </c>
      <c r="K20" s="15">
        <f>L20+29373+68919+23628+62706</f>
        <v>252567</v>
      </c>
      <c r="L20" s="15">
        <f>10798*3+11849*3</f>
        <v>67941</v>
      </c>
      <c r="M20" s="15">
        <f t="shared" si="1"/>
        <v>67941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si="11"/>
        <v>1</v>
      </c>
      <c r="AE20" s="36">
        <f t="shared" si="8"/>
        <v>0.23333333333333334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2">SUM(I6:I20)</f>
        <v>479000</v>
      </c>
      <c r="J21" s="19">
        <f t="shared" si="12"/>
        <v>113847</v>
      </c>
      <c r="K21" s="20">
        <f t="shared" si="12"/>
        <v>362562</v>
      </c>
      <c r="L21" s="21">
        <f t="shared" si="12"/>
        <v>81139</v>
      </c>
      <c r="M21" s="20">
        <f t="shared" si="12"/>
        <v>81139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84</v>
      </c>
      <c r="Q21" s="43">
        <f t="shared" si="13"/>
        <v>272</v>
      </c>
      <c r="R21" s="23">
        <f t="shared" si="13"/>
        <v>48</v>
      </c>
      <c r="S21" s="24">
        <f t="shared" si="13"/>
        <v>80</v>
      </c>
      <c r="T21" s="24">
        <f t="shared" si="13"/>
        <v>0</v>
      </c>
      <c r="U21" s="24">
        <f t="shared" si="13"/>
        <v>0</v>
      </c>
      <c r="V21" s="25">
        <f t="shared" si="13"/>
        <v>24</v>
      </c>
      <c r="W21" s="26">
        <f t="shared" si="13"/>
        <v>120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0.33333333333333331</v>
      </c>
      <c r="AC21" s="4">
        <f>SUM(AC6:AC20)/15</f>
        <v>0.23333333333333334</v>
      </c>
      <c r="AD21" s="4">
        <f>SUM(AD6:AD20)/15</f>
        <v>0.23333333333333334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413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415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251" t="s">
        <v>46</v>
      </c>
      <c r="D50" s="251" t="s">
        <v>47</v>
      </c>
      <c r="E50" s="251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251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09" t="s">
        <v>114</v>
      </c>
      <c r="B51" s="410"/>
      <c r="C51" s="253" t="s">
        <v>128</v>
      </c>
      <c r="D51" s="253" t="s">
        <v>129</v>
      </c>
      <c r="E51" s="253" t="s">
        <v>389</v>
      </c>
      <c r="F51" s="411" t="s">
        <v>414</v>
      </c>
      <c r="G51" s="412"/>
      <c r="H51" s="412"/>
      <c r="I51" s="412"/>
      <c r="J51" s="412"/>
      <c r="K51" s="412"/>
      <c r="L51" s="412"/>
      <c r="M51" s="413"/>
      <c r="N51" s="252" t="s">
        <v>124</v>
      </c>
      <c r="O51" s="257" t="s">
        <v>145</v>
      </c>
      <c r="P51" s="423" t="s">
        <v>122</v>
      </c>
      <c r="Q51" s="424"/>
      <c r="R51" s="410" t="s">
        <v>175</v>
      </c>
      <c r="S51" s="410"/>
      <c r="T51" s="410"/>
      <c r="U51" s="410"/>
      <c r="V51" s="400" t="s">
        <v>126</v>
      </c>
      <c r="W51" s="400"/>
      <c r="X51" s="400"/>
      <c r="Y51" s="400"/>
      <c r="Z51" s="400"/>
      <c r="AA51" s="400"/>
      <c r="AB51" s="400"/>
      <c r="AC51" s="400"/>
      <c r="AD51" s="414"/>
    </row>
    <row r="52" spans="1:32" ht="27" customHeight="1">
      <c r="A52" s="409" t="s">
        <v>140</v>
      </c>
      <c r="B52" s="410"/>
      <c r="C52" s="253" t="s">
        <v>204</v>
      </c>
      <c r="D52" s="253" t="s">
        <v>117</v>
      </c>
      <c r="E52" s="253" t="s">
        <v>340</v>
      </c>
      <c r="F52" s="411" t="s">
        <v>126</v>
      </c>
      <c r="G52" s="412"/>
      <c r="H52" s="412"/>
      <c r="I52" s="412"/>
      <c r="J52" s="412"/>
      <c r="K52" s="412"/>
      <c r="L52" s="412"/>
      <c r="M52" s="413"/>
      <c r="N52" s="252" t="s">
        <v>114</v>
      </c>
      <c r="O52" s="257" t="s">
        <v>128</v>
      </c>
      <c r="P52" s="423" t="s">
        <v>129</v>
      </c>
      <c r="Q52" s="424"/>
      <c r="R52" s="410" t="s">
        <v>389</v>
      </c>
      <c r="S52" s="410"/>
      <c r="T52" s="410"/>
      <c r="U52" s="410"/>
      <c r="V52" s="400" t="s">
        <v>126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140</v>
      </c>
      <c r="B53" s="410"/>
      <c r="C53" s="253" t="s">
        <v>217</v>
      </c>
      <c r="D53" s="253" t="s">
        <v>117</v>
      </c>
      <c r="E53" s="253" t="s">
        <v>402</v>
      </c>
      <c r="F53" s="411" t="s">
        <v>126</v>
      </c>
      <c r="G53" s="412"/>
      <c r="H53" s="412"/>
      <c r="I53" s="412"/>
      <c r="J53" s="412"/>
      <c r="K53" s="412"/>
      <c r="L53" s="412"/>
      <c r="M53" s="413"/>
      <c r="N53" s="252" t="s">
        <v>114</v>
      </c>
      <c r="O53" s="257" t="s">
        <v>176</v>
      </c>
      <c r="P53" s="423" t="s">
        <v>117</v>
      </c>
      <c r="Q53" s="424"/>
      <c r="R53" s="410" t="s">
        <v>118</v>
      </c>
      <c r="S53" s="410"/>
      <c r="T53" s="410"/>
      <c r="U53" s="410"/>
      <c r="V53" s="400" t="s">
        <v>120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/>
      <c r="B54" s="410"/>
      <c r="C54" s="253"/>
      <c r="D54" s="253"/>
      <c r="E54" s="253"/>
      <c r="F54" s="411"/>
      <c r="G54" s="412"/>
      <c r="H54" s="412"/>
      <c r="I54" s="412"/>
      <c r="J54" s="412"/>
      <c r="K54" s="412"/>
      <c r="L54" s="412"/>
      <c r="M54" s="413"/>
      <c r="N54" s="252" t="s">
        <v>114</v>
      </c>
      <c r="O54" s="257" t="s">
        <v>128</v>
      </c>
      <c r="P54" s="423" t="s">
        <v>125</v>
      </c>
      <c r="Q54" s="424"/>
      <c r="R54" s="410" t="s">
        <v>137</v>
      </c>
      <c r="S54" s="410"/>
      <c r="T54" s="410"/>
      <c r="U54" s="410"/>
      <c r="V54" s="400" t="s">
        <v>120</v>
      </c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/>
      <c r="B55" s="410"/>
      <c r="C55" s="253"/>
      <c r="D55" s="253"/>
      <c r="E55" s="253"/>
      <c r="F55" s="411"/>
      <c r="G55" s="412"/>
      <c r="H55" s="412"/>
      <c r="I55" s="412"/>
      <c r="J55" s="412"/>
      <c r="K55" s="412"/>
      <c r="L55" s="412"/>
      <c r="M55" s="413"/>
      <c r="N55" s="252" t="s">
        <v>124</v>
      </c>
      <c r="O55" s="257" t="s">
        <v>189</v>
      </c>
      <c r="P55" s="423" t="s">
        <v>416</v>
      </c>
      <c r="Q55" s="424"/>
      <c r="R55" s="410" t="s">
        <v>417</v>
      </c>
      <c r="S55" s="410"/>
      <c r="T55" s="410"/>
      <c r="U55" s="410"/>
      <c r="V55" s="400" t="s">
        <v>120</v>
      </c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/>
      <c r="B56" s="410"/>
      <c r="C56" s="253"/>
      <c r="D56" s="253"/>
      <c r="E56" s="253"/>
      <c r="F56" s="411"/>
      <c r="G56" s="412"/>
      <c r="H56" s="412"/>
      <c r="I56" s="412"/>
      <c r="J56" s="412"/>
      <c r="K56" s="412"/>
      <c r="L56" s="412"/>
      <c r="M56" s="413"/>
      <c r="N56" s="252" t="s">
        <v>140</v>
      </c>
      <c r="O56" s="257" t="s">
        <v>210</v>
      </c>
      <c r="P56" s="423" t="s">
        <v>418</v>
      </c>
      <c r="Q56" s="424"/>
      <c r="R56" s="410"/>
      <c r="S56" s="410"/>
      <c r="T56" s="410"/>
      <c r="U56" s="410"/>
      <c r="V56" s="400" t="s">
        <v>120</v>
      </c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/>
      <c r="B57" s="410"/>
      <c r="C57" s="253"/>
      <c r="D57" s="253"/>
      <c r="E57" s="253"/>
      <c r="F57" s="411"/>
      <c r="G57" s="412"/>
      <c r="H57" s="412"/>
      <c r="I57" s="412"/>
      <c r="J57" s="412"/>
      <c r="K57" s="412"/>
      <c r="L57" s="412"/>
      <c r="M57" s="413"/>
      <c r="N57" s="252"/>
      <c r="O57" s="257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/>
      <c r="B58" s="410"/>
      <c r="C58" s="253"/>
      <c r="D58" s="253"/>
      <c r="E58" s="253"/>
      <c r="F58" s="411"/>
      <c r="G58" s="412"/>
      <c r="H58" s="412"/>
      <c r="I58" s="412"/>
      <c r="J58" s="412"/>
      <c r="K58" s="412"/>
      <c r="L58" s="412"/>
      <c r="M58" s="413"/>
      <c r="N58" s="252"/>
      <c r="O58" s="257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253"/>
      <c r="D59" s="253"/>
      <c r="E59" s="253"/>
      <c r="F59" s="411"/>
      <c r="G59" s="412"/>
      <c r="H59" s="412"/>
      <c r="I59" s="412"/>
      <c r="J59" s="412"/>
      <c r="K59" s="412"/>
      <c r="L59" s="412"/>
      <c r="M59" s="413"/>
      <c r="N59" s="252"/>
      <c r="O59" s="257"/>
      <c r="P59" s="410"/>
      <c r="Q59" s="410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  <c r="AF59" s="87">
        <f>8*3000</f>
        <v>24000</v>
      </c>
    </row>
    <row r="60" spans="1:32" ht="27" customHeight="1" thickBot="1">
      <c r="A60" s="415"/>
      <c r="B60" s="416"/>
      <c r="C60" s="254"/>
      <c r="D60" s="254"/>
      <c r="E60" s="254"/>
      <c r="F60" s="417"/>
      <c r="G60" s="418"/>
      <c r="H60" s="418"/>
      <c r="I60" s="418"/>
      <c r="J60" s="418"/>
      <c r="K60" s="418"/>
      <c r="L60" s="418"/>
      <c r="M60" s="419"/>
      <c r="N60" s="124"/>
      <c r="O60" s="114"/>
      <c r="P60" s="420"/>
      <c r="Q60" s="420"/>
      <c r="R60" s="420"/>
      <c r="S60" s="420"/>
      <c r="T60" s="420"/>
      <c r="U60" s="420"/>
      <c r="V60" s="421"/>
      <c r="W60" s="421"/>
      <c r="X60" s="421"/>
      <c r="Y60" s="421"/>
      <c r="Z60" s="421"/>
      <c r="AA60" s="421"/>
      <c r="AB60" s="421"/>
      <c r="AC60" s="421"/>
      <c r="AD60" s="422"/>
      <c r="AF60" s="87">
        <f>16*3000</f>
        <v>48000</v>
      </c>
    </row>
    <row r="61" spans="1:32" ht="27.75" thickBot="1">
      <c r="A61" s="407" t="s">
        <v>419</v>
      </c>
      <c r="B61" s="407"/>
      <c r="C61" s="407"/>
      <c r="D61" s="407"/>
      <c r="E61" s="40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08" t="s">
        <v>113</v>
      </c>
      <c r="B62" s="405"/>
      <c r="C62" s="255" t="s">
        <v>2</v>
      </c>
      <c r="D62" s="255" t="s">
        <v>37</v>
      </c>
      <c r="E62" s="255" t="s">
        <v>3</v>
      </c>
      <c r="F62" s="405" t="s">
        <v>110</v>
      </c>
      <c r="G62" s="405"/>
      <c r="H62" s="405"/>
      <c r="I62" s="405"/>
      <c r="J62" s="405"/>
      <c r="K62" s="405" t="s">
        <v>39</v>
      </c>
      <c r="L62" s="405"/>
      <c r="M62" s="255" t="s">
        <v>40</v>
      </c>
      <c r="N62" s="405" t="s">
        <v>41</v>
      </c>
      <c r="O62" s="405"/>
      <c r="P62" s="402" t="s">
        <v>42</v>
      </c>
      <c r="Q62" s="404"/>
      <c r="R62" s="402" t="s">
        <v>43</v>
      </c>
      <c r="S62" s="403"/>
      <c r="T62" s="403"/>
      <c r="U62" s="403"/>
      <c r="V62" s="403"/>
      <c r="W62" s="403"/>
      <c r="X62" s="403"/>
      <c r="Y62" s="403"/>
      <c r="Z62" s="403"/>
      <c r="AA62" s="404"/>
      <c r="AB62" s="405" t="s">
        <v>44</v>
      </c>
      <c r="AC62" s="405"/>
      <c r="AD62" s="406"/>
      <c r="AF62" s="87">
        <f>SUM(AF59:AF61)</f>
        <v>96000</v>
      </c>
    </row>
    <row r="63" spans="1:32" ht="25.5" customHeight="1">
      <c r="A63" s="396">
        <v>1</v>
      </c>
      <c r="B63" s="397"/>
      <c r="C63" s="117" t="s">
        <v>124</v>
      </c>
      <c r="D63" s="259"/>
      <c r="E63" s="256" t="s">
        <v>221</v>
      </c>
      <c r="F63" s="398" t="s">
        <v>406</v>
      </c>
      <c r="G63" s="390"/>
      <c r="H63" s="390"/>
      <c r="I63" s="390"/>
      <c r="J63" s="390"/>
      <c r="K63" s="390" t="s">
        <v>132</v>
      </c>
      <c r="L63" s="390"/>
      <c r="M63" s="51" t="s">
        <v>203</v>
      </c>
      <c r="N63" s="401" t="s">
        <v>138</v>
      </c>
      <c r="O63" s="401"/>
      <c r="P63" s="399">
        <v>20</v>
      </c>
      <c r="Q63" s="399"/>
      <c r="R63" s="400" t="s">
        <v>407</v>
      </c>
      <c r="S63" s="400"/>
      <c r="T63" s="400"/>
      <c r="U63" s="400"/>
      <c r="V63" s="400"/>
      <c r="W63" s="400"/>
      <c r="X63" s="400"/>
      <c r="Y63" s="400"/>
      <c r="Z63" s="400"/>
      <c r="AA63" s="400"/>
      <c r="AB63" s="390"/>
      <c r="AC63" s="390"/>
      <c r="AD63" s="391"/>
      <c r="AF63" s="50"/>
    </row>
    <row r="64" spans="1:32" ht="25.5" customHeight="1">
      <c r="A64" s="396">
        <v>2</v>
      </c>
      <c r="B64" s="397"/>
      <c r="C64" s="117" t="s">
        <v>124</v>
      </c>
      <c r="D64" s="259"/>
      <c r="E64" s="256" t="s">
        <v>135</v>
      </c>
      <c r="F64" s="398" t="s">
        <v>408</v>
      </c>
      <c r="G64" s="390"/>
      <c r="H64" s="390"/>
      <c r="I64" s="390"/>
      <c r="J64" s="390"/>
      <c r="K64" s="390" t="s">
        <v>134</v>
      </c>
      <c r="L64" s="390"/>
      <c r="M64" s="51" t="s">
        <v>203</v>
      </c>
      <c r="N64" s="401" t="s">
        <v>143</v>
      </c>
      <c r="O64" s="401"/>
      <c r="P64" s="399"/>
      <c r="Q64" s="399"/>
      <c r="R64" s="400" t="s">
        <v>409</v>
      </c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3</v>
      </c>
      <c r="B65" s="397"/>
      <c r="C65" s="117" t="s">
        <v>124</v>
      </c>
      <c r="D65" s="259"/>
      <c r="E65" s="256" t="s">
        <v>135</v>
      </c>
      <c r="F65" s="398" t="s">
        <v>420</v>
      </c>
      <c r="G65" s="390"/>
      <c r="H65" s="390"/>
      <c r="I65" s="390"/>
      <c r="J65" s="390"/>
      <c r="K65" s="390" t="s">
        <v>134</v>
      </c>
      <c r="L65" s="390"/>
      <c r="M65" s="51" t="s">
        <v>207</v>
      </c>
      <c r="N65" s="401" t="s">
        <v>210</v>
      </c>
      <c r="O65" s="401"/>
      <c r="P65" s="399">
        <v>40</v>
      </c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4</v>
      </c>
      <c r="B66" s="397"/>
      <c r="C66" s="117"/>
      <c r="D66" s="259"/>
      <c r="E66" s="256"/>
      <c r="F66" s="398"/>
      <c r="G66" s="390"/>
      <c r="H66" s="390"/>
      <c r="I66" s="390"/>
      <c r="J66" s="390"/>
      <c r="K66" s="390"/>
      <c r="L66" s="390"/>
      <c r="M66" s="51"/>
      <c r="N66" s="401"/>
      <c r="O66" s="401"/>
      <c r="P66" s="399"/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5</v>
      </c>
      <c r="B67" s="397"/>
      <c r="C67" s="117"/>
      <c r="D67" s="259"/>
      <c r="E67" s="256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6</v>
      </c>
      <c r="B68" s="397"/>
      <c r="C68" s="117"/>
      <c r="D68" s="259"/>
      <c r="E68" s="256"/>
      <c r="F68" s="398"/>
      <c r="G68" s="390"/>
      <c r="H68" s="390"/>
      <c r="I68" s="390"/>
      <c r="J68" s="390"/>
      <c r="K68" s="390"/>
      <c r="L68" s="390"/>
      <c r="M68" s="51"/>
      <c r="N68" s="390"/>
      <c r="O68" s="390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7</v>
      </c>
      <c r="B69" s="397"/>
      <c r="C69" s="117"/>
      <c r="D69" s="259"/>
      <c r="E69" s="256"/>
      <c r="F69" s="398"/>
      <c r="G69" s="390"/>
      <c r="H69" s="390"/>
      <c r="I69" s="390"/>
      <c r="J69" s="390"/>
      <c r="K69" s="390"/>
      <c r="L69" s="390"/>
      <c r="M69" s="51"/>
      <c r="N69" s="401"/>
      <c r="O69" s="401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8</v>
      </c>
      <c r="B70" s="397"/>
      <c r="C70" s="117"/>
      <c r="D70" s="259"/>
      <c r="E70" s="256"/>
      <c r="F70" s="398"/>
      <c r="G70" s="390"/>
      <c r="H70" s="390"/>
      <c r="I70" s="390"/>
      <c r="J70" s="390"/>
      <c r="K70" s="390"/>
      <c r="L70" s="390"/>
      <c r="M70" s="51"/>
      <c r="N70" s="390"/>
      <c r="O70" s="390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6.25" customHeight="1" thickBot="1">
      <c r="A71" s="370" t="s">
        <v>421</v>
      </c>
      <c r="B71" s="370"/>
      <c r="C71" s="370"/>
      <c r="D71" s="370"/>
      <c r="E71" s="370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371" t="s">
        <v>113</v>
      </c>
      <c r="B72" s="372"/>
      <c r="C72" s="258" t="s">
        <v>2</v>
      </c>
      <c r="D72" s="258" t="s">
        <v>37</v>
      </c>
      <c r="E72" s="258" t="s">
        <v>3</v>
      </c>
      <c r="F72" s="372" t="s">
        <v>38</v>
      </c>
      <c r="G72" s="372"/>
      <c r="H72" s="372"/>
      <c r="I72" s="372"/>
      <c r="J72" s="372"/>
      <c r="K72" s="392" t="s">
        <v>58</v>
      </c>
      <c r="L72" s="393"/>
      <c r="M72" s="393"/>
      <c r="N72" s="393"/>
      <c r="O72" s="393"/>
      <c r="P72" s="393"/>
      <c r="Q72" s="393"/>
      <c r="R72" s="393"/>
      <c r="S72" s="394"/>
      <c r="T72" s="372" t="s">
        <v>49</v>
      </c>
      <c r="U72" s="372"/>
      <c r="V72" s="392" t="s">
        <v>50</v>
      </c>
      <c r="W72" s="394"/>
      <c r="X72" s="393" t="s">
        <v>51</v>
      </c>
      <c r="Y72" s="393"/>
      <c r="Z72" s="393"/>
      <c r="AA72" s="393"/>
      <c r="AB72" s="393"/>
      <c r="AC72" s="393"/>
      <c r="AD72" s="395"/>
      <c r="AF72" s="50"/>
    </row>
    <row r="73" spans="1:32" ht="33.75" customHeight="1">
      <c r="A73" s="364">
        <v>1</v>
      </c>
      <c r="B73" s="365"/>
      <c r="C73" s="260" t="s">
        <v>114</v>
      </c>
      <c r="D73" s="260"/>
      <c r="E73" s="65" t="s">
        <v>119</v>
      </c>
      <c r="F73" s="379" t="s">
        <v>118</v>
      </c>
      <c r="G73" s="380"/>
      <c r="H73" s="380"/>
      <c r="I73" s="380"/>
      <c r="J73" s="381"/>
      <c r="K73" s="382" t="s">
        <v>156</v>
      </c>
      <c r="L73" s="383"/>
      <c r="M73" s="383"/>
      <c r="N73" s="383"/>
      <c r="O73" s="383"/>
      <c r="P73" s="383"/>
      <c r="Q73" s="383"/>
      <c r="R73" s="383"/>
      <c r="S73" s="384"/>
      <c r="T73" s="385">
        <v>43675</v>
      </c>
      <c r="U73" s="386"/>
      <c r="V73" s="387"/>
      <c r="W73" s="387"/>
      <c r="X73" s="388"/>
      <c r="Y73" s="388"/>
      <c r="Z73" s="388"/>
      <c r="AA73" s="388"/>
      <c r="AB73" s="388"/>
      <c r="AC73" s="388"/>
      <c r="AD73" s="389"/>
      <c r="AF73" s="50"/>
    </row>
    <row r="74" spans="1:32" ht="30" customHeight="1">
      <c r="A74" s="357">
        <f>A73+1</f>
        <v>2</v>
      </c>
      <c r="B74" s="358"/>
      <c r="C74" s="259"/>
      <c r="D74" s="259"/>
      <c r="E74" s="32"/>
      <c r="F74" s="358"/>
      <c r="G74" s="358"/>
      <c r="H74" s="358"/>
      <c r="I74" s="358"/>
      <c r="J74" s="358"/>
      <c r="K74" s="373"/>
      <c r="L74" s="374"/>
      <c r="M74" s="374"/>
      <c r="N74" s="374"/>
      <c r="O74" s="374"/>
      <c r="P74" s="374"/>
      <c r="Q74" s="374"/>
      <c r="R74" s="374"/>
      <c r="S74" s="375"/>
      <c r="T74" s="376"/>
      <c r="U74" s="376"/>
      <c r="V74" s="376"/>
      <c r="W74" s="376"/>
      <c r="X74" s="377"/>
      <c r="Y74" s="377"/>
      <c r="Z74" s="377"/>
      <c r="AA74" s="377"/>
      <c r="AB74" s="377"/>
      <c r="AC74" s="377"/>
      <c r="AD74" s="378"/>
      <c r="AF74" s="50"/>
    </row>
    <row r="75" spans="1:32" ht="30" customHeight="1">
      <c r="A75" s="357">
        <f t="shared" ref="A75:A81" si="14">A74+1</f>
        <v>3</v>
      </c>
      <c r="B75" s="358"/>
      <c r="C75" s="259"/>
      <c r="D75" s="259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si="14"/>
        <v>4</v>
      </c>
      <c r="B76" s="358"/>
      <c r="C76" s="259"/>
      <c r="D76" s="259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14"/>
        <v>5</v>
      </c>
      <c r="B77" s="358"/>
      <c r="C77" s="259"/>
      <c r="D77" s="259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14"/>
        <v>6</v>
      </c>
      <c r="B78" s="358"/>
      <c r="C78" s="259"/>
      <c r="D78" s="259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14"/>
        <v>7</v>
      </c>
      <c r="B79" s="358"/>
      <c r="C79" s="259"/>
      <c r="D79" s="259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14"/>
        <v>8</v>
      </c>
      <c r="B80" s="358"/>
      <c r="C80" s="259"/>
      <c r="D80" s="259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14"/>
        <v>9</v>
      </c>
      <c r="B81" s="358"/>
      <c r="C81" s="259"/>
      <c r="D81" s="259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6" thickBot="1">
      <c r="A82" s="370" t="s">
        <v>422</v>
      </c>
      <c r="B82" s="370"/>
      <c r="C82" s="370"/>
      <c r="D82" s="370"/>
      <c r="E82" s="370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371" t="s">
        <v>113</v>
      </c>
      <c r="B83" s="372"/>
      <c r="C83" s="362" t="s">
        <v>52</v>
      </c>
      <c r="D83" s="362"/>
      <c r="E83" s="362" t="s">
        <v>53</v>
      </c>
      <c r="F83" s="362"/>
      <c r="G83" s="362"/>
      <c r="H83" s="362"/>
      <c r="I83" s="362"/>
      <c r="J83" s="362"/>
      <c r="K83" s="362" t="s">
        <v>54</v>
      </c>
      <c r="L83" s="362"/>
      <c r="M83" s="362"/>
      <c r="N83" s="362"/>
      <c r="O83" s="362"/>
      <c r="P83" s="362"/>
      <c r="Q83" s="362"/>
      <c r="R83" s="362"/>
      <c r="S83" s="362"/>
      <c r="T83" s="362" t="s">
        <v>55</v>
      </c>
      <c r="U83" s="362"/>
      <c r="V83" s="362" t="s">
        <v>56</v>
      </c>
      <c r="W83" s="362"/>
      <c r="X83" s="362"/>
      <c r="Y83" s="362" t="s">
        <v>51</v>
      </c>
      <c r="Z83" s="362"/>
      <c r="AA83" s="362"/>
      <c r="AB83" s="362"/>
      <c r="AC83" s="362"/>
      <c r="AD83" s="363"/>
      <c r="AF83" s="50"/>
    </row>
    <row r="84" spans="1:32" ht="30.75" customHeight="1">
      <c r="A84" s="364">
        <v>1</v>
      </c>
      <c r="B84" s="365"/>
      <c r="C84" s="366"/>
      <c r="D84" s="366"/>
      <c r="E84" s="366"/>
      <c r="F84" s="366"/>
      <c r="G84" s="366"/>
      <c r="H84" s="366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  <c r="U84" s="366"/>
      <c r="V84" s="367"/>
      <c r="W84" s="367"/>
      <c r="X84" s="367"/>
      <c r="Y84" s="368"/>
      <c r="Z84" s="368"/>
      <c r="AA84" s="368"/>
      <c r="AB84" s="368"/>
      <c r="AC84" s="368"/>
      <c r="AD84" s="369"/>
      <c r="AF84" s="50"/>
    </row>
    <row r="85" spans="1:32" ht="30.75" customHeight="1">
      <c r="A85" s="357">
        <v>2</v>
      </c>
      <c r="B85" s="358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60"/>
      <c r="U85" s="360"/>
      <c r="V85" s="361"/>
      <c r="W85" s="361"/>
      <c r="X85" s="361"/>
      <c r="Y85" s="350"/>
      <c r="Z85" s="350"/>
      <c r="AA85" s="350"/>
      <c r="AB85" s="350"/>
      <c r="AC85" s="350"/>
      <c r="AD85" s="351"/>
      <c r="AF85" s="50"/>
    </row>
    <row r="86" spans="1:32" ht="30.75" customHeight="1" thickBot="1">
      <c r="A86" s="352">
        <v>3</v>
      </c>
      <c r="B86" s="353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5"/>
      <c r="Z86" s="355"/>
      <c r="AA86" s="355"/>
      <c r="AB86" s="355"/>
      <c r="AC86" s="355"/>
      <c r="AD86" s="356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FFA8-E77A-4FC0-A37A-75289A5CADC9}">
  <dimension ref="A1:AF86"/>
  <sheetViews>
    <sheetView zoomScale="72" zoomScaleNormal="72" zoomScaleSheetLayoutView="70" workbookViewId="0">
      <selection activeCell="E86" sqref="E86:J86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423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271" t="s">
        <v>17</v>
      </c>
      <c r="L5" s="271" t="s">
        <v>18</v>
      </c>
      <c r="M5" s="271" t="s">
        <v>19</v>
      </c>
      <c r="N5" s="27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17" si="7">AC6*AB6*(1-O6)</f>
        <v>0</v>
      </c>
      <c r="AE6" s="36">
        <f t="shared" ref="AE6:AE20" si="8">$AD$21</f>
        <v>0.45277777777777778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0.45277777777777778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40000</v>
      </c>
      <c r="J8" s="14">
        <v>2529</v>
      </c>
      <c r="K8" s="15">
        <f>L8</f>
        <v>2529</v>
      </c>
      <c r="L8" s="15">
        <f>863+1666</f>
        <v>2529</v>
      </c>
      <c r="M8" s="15">
        <f t="shared" si="1"/>
        <v>2529</v>
      </c>
      <c r="N8" s="15">
        <v>0</v>
      </c>
      <c r="O8" s="58">
        <f t="shared" si="2"/>
        <v>0</v>
      </c>
      <c r="P8" s="39">
        <f t="shared" si="3"/>
        <v>14</v>
      </c>
      <c r="Q8" s="40">
        <f t="shared" si="4"/>
        <v>10</v>
      </c>
      <c r="R8" s="7"/>
      <c r="S8" s="6">
        <v>10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0.58333333333333337</v>
      </c>
      <c r="AD8" s="10">
        <f t="shared" si="7"/>
        <v>0.58333333333333337</v>
      </c>
      <c r="AE8" s="36">
        <f t="shared" si="8"/>
        <v>0.45277777777777778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124</v>
      </c>
      <c r="D9" s="52" t="s">
        <v>416</v>
      </c>
      <c r="E9" s="53" t="s">
        <v>417</v>
      </c>
      <c r="F9" s="30" t="s">
        <v>130</v>
      </c>
      <c r="G9" s="33">
        <v>12</v>
      </c>
      <c r="H9" s="35">
        <v>24</v>
      </c>
      <c r="I9" s="7">
        <v>10000</v>
      </c>
      <c r="J9" s="14">
        <v>58896</v>
      </c>
      <c r="K9" s="15">
        <f>L9</f>
        <v>58896</v>
      </c>
      <c r="L9" s="15">
        <f>1974*12+2934*12</f>
        <v>58896</v>
      </c>
      <c r="M9" s="15">
        <f t="shared" si="1"/>
        <v>58896</v>
      </c>
      <c r="N9" s="15">
        <v>0</v>
      </c>
      <c r="O9" s="58">
        <f t="shared" si="2"/>
        <v>0</v>
      </c>
      <c r="P9" s="39">
        <f t="shared" si="3"/>
        <v>21</v>
      </c>
      <c r="Q9" s="40">
        <f t="shared" si="4"/>
        <v>3</v>
      </c>
      <c r="R9" s="7"/>
      <c r="S9" s="6"/>
      <c r="T9" s="16">
        <v>3</v>
      </c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0.875</v>
      </c>
      <c r="AD9" s="10">
        <f t="shared" si="7"/>
        <v>0.875</v>
      </c>
      <c r="AE9" s="36">
        <f t="shared" si="8"/>
        <v>0.45277777777777778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124</v>
      </c>
      <c r="D10" s="52" t="s">
        <v>129</v>
      </c>
      <c r="E10" s="53" t="s">
        <v>389</v>
      </c>
      <c r="F10" s="30" t="s">
        <v>130</v>
      </c>
      <c r="G10" s="33">
        <v>1</v>
      </c>
      <c r="H10" s="35">
        <v>24</v>
      </c>
      <c r="I10" s="7">
        <v>2500</v>
      </c>
      <c r="J10" s="5">
        <v>773</v>
      </c>
      <c r="K10" s="15">
        <f>L10</f>
        <v>773</v>
      </c>
      <c r="L10" s="15">
        <f>773</f>
        <v>773</v>
      </c>
      <c r="M10" s="15">
        <f t="shared" si="1"/>
        <v>773</v>
      </c>
      <c r="N10" s="15">
        <v>0</v>
      </c>
      <c r="O10" s="58">
        <f t="shared" si="2"/>
        <v>0</v>
      </c>
      <c r="P10" s="39">
        <f t="shared" si="3"/>
        <v>5</v>
      </c>
      <c r="Q10" s="40">
        <f t="shared" si="4"/>
        <v>19</v>
      </c>
      <c r="R10" s="7"/>
      <c r="S10" s="6">
        <v>19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0.20833333333333334</v>
      </c>
      <c r="AD10" s="10">
        <f>AC10*AB10*(1-O10)</f>
        <v>0.20833333333333334</v>
      </c>
      <c r="AE10" s="36">
        <f t="shared" si="8"/>
        <v>0.45277777777777778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142</v>
      </c>
      <c r="D11" s="52" t="s">
        <v>117</v>
      </c>
      <c r="E11" s="53" t="s">
        <v>202</v>
      </c>
      <c r="F11" s="30" t="s">
        <v>199</v>
      </c>
      <c r="G11" s="33">
        <v>2</v>
      </c>
      <c r="H11" s="35">
        <v>20</v>
      </c>
      <c r="I11" s="7">
        <v>300</v>
      </c>
      <c r="J11" s="14">
        <v>300</v>
      </c>
      <c r="K11" s="15">
        <f>L11+300</f>
        <v>300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ref="AD11" si="10">AC11*AB11*(1-O11)</f>
        <v>0</v>
      </c>
      <c r="AE11" s="36">
        <f t="shared" si="8"/>
        <v>0.45277777777777778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118</v>
      </c>
      <c r="F12" s="30" t="s">
        <v>121</v>
      </c>
      <c r="G12" s="33">
        <v>1</v>
      </c>
      <c r="H12" s="35">
        <v>20</v>
      </c>
      <c r="I12" s="7">
        <v>12000</v>
      </c>
      <c r="J12" s="14">
        <v>4787</v>
      </c>
      <c r="K12" s="15">
        <f>L12</f>
        <v>4787</v>
      </c>
      <c r="L12" s="15">
        <f>2091+2696</f>
        <v>4787</v>
      </c>
      <c r="M12" s="15">
        <f t="shared" si="1"/>
        <v>4787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si="7"/>
        <v>1</v>
      </c>
      <c r="AE12" s="36">
        <f t="shared" si="8"/>
        <v>0.45277777777777778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140</v>
      </c>
      <c r="D13" s="52" t="s">
        <v>122</v>
      </c>
      <c r="E13" s="53" t="s">
        <v>342</v>
      </c>
      <c r="F13" s="30" t="s">
        <v>216</v>
      </c>
      <c r="G13" s="33">
        <v>1</v>
      </c>
      <c r="H13" s="35">
        <v>24</v>
      </c>
      <c r="I13" s="7">
        <v>10000</v>
      </c>
      <c r="J13" s="14">
        <f>4734</f>
        <v>4734</v>
      </c>
      <c r="K13" s="15">
        <f>L13</f>
        <v>4734</v>
      </c>
      <c r="L13" s="15">
        <f>2367*2</f>
        <v>4734</v>
      </c>
      <c r="M13" s="15">
        <f t="shared" si="1"/>
        <v>4734</v>
      </c>
      <c r="N13" s="15">
        <v>0</v>
      </c>
      <c r="O13" s="58">
        <f t="shared" si="2"/>
        <v>0</v>
      </c>
      <c r="P13" s="39">
        <f t="shared" si="3"/>
        <v>13</v>
      </c>
      <c r="Q13" s="40">
        <f t="shared" si="4"/>
        <v>11</v>
      </c>
      <c r="R13" s="7"/>
      <c r="S13" s="6">
        <v>11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0.54166666666666663</v>
      </c>
      <c r="AD13" s="10">
        <f t="shared" si="7"/>
        <v>0.54166666666666663</v>
      </c>
      <c r="AE13" s="36">
        <f t="shared" si="8"/>
        <v>0.45277777777777778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424</v>
      </c>
      <c r="F14" s="30" t="s">
        <v>425</v>
      </c>
      <c r="G14" s="12">
        <v>1</v>
      </c>
      <c r="H14" s="13">
        <v>28</v>
      </c>
      <c r="I14" s="7">
        <v>1000</v>
      </c>
      <c r="J14" s="5">
        <v>464</v>
      </c>
      <c r="K14" s="15">
        <f>L14</f>
        <v>464</v>
      </c>
      <c r="L14" s="15">
        <f>464</f>
        <v>464</v>
      </c>
      <c r="M14" s="15">
        <f t="shared" si="1"/>
        <v>464</v>
      </c>
      <c r="N14" s="15">
        <v>0</v>
      </c>
      <c r="O14" s="58">
        <f t="shared" si="2"/>
        <v>0</v>
      </c>
      <c r="P14" s="39">
        <f t="shared" si="3"/>
        <v>8</v>
      </c>
      <c r="Q14" s="40">
        <f t="shared" si="4"/>
        <v>16</v>
      </c>
      <c r="R14" s="7"/>
      <c r="S14" s="6">
        <v>16</v>
      </c>
      <c r="T14" s="16"/>
      <c r="U14" s="16"/>
      <c r="V14" s="17"/>
      <c r="W14" s="5"/>
      <c r="X14" s="16"/>
      <c r="Y14" s="16"/>
      <c r="Z14" s="16"/>
      <c r="AA14" s="18"/>
      <c r="AB14" s="8">
        <f t="shared" si="5"/>
        <v>1</v>
      </c>
      <c r="AC14" s="9">
        <f t="shared" si="6"/>
        <v>0.33333333333333331</v>
      </c>
      <c r="AD14" s="10">
        <f t="shared" si="7"/>
        <v>0.33333333333333331</v>
      </c>
      <c r="AE14" s="36">
        <f t="shared" si="8"/>
        <v>0.45277777777777778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140</v>
      </c>
      <c r="D15" s="52" t="s">
        <v>418</v>
      </c>
      <c r="E15" s="53"/>
      <c r="F15" s="12" t="s">
        <v>426</v>
      </c>
      <c r="G15" s="12">
        <v>6</v>
      </c>
      <c r="H15" s="13">
        <v>24</v>
      </c>
      <c r="I15" s="31">
        <v>10000</v>
      </c>
      <c r="J15" s="14">
        <v>30348</v>
      </c>
      <c r="K15" s="15">
        <f>L15</f>
        <v>30348</v>
      </c>
      <c r="L15" s="15">
        <f>1915*6+3143*6</f>
        <v>30348</v>
      </c>
      <c r="M15" s="15">
        <f t="shared" si="1"/>
        <v>30348</v>
      </c>
      <c r="N15" s="15">
        <v>0</v>
      </c>
      <c r="O15" s="58">
        <f t="shared" si="2"/>
        <v>0</v>
      </c>
      <c r="P15" s="39">
        <f t="shared" si="3"/>
        <v>22</v>
      </c>
      <c r="Q15" s="40">
        <f t="shared" si="4"/>
        <v>2</v>
      </c>
      <c r="R15" s="7"/>
      <c r="S15" s="6"/>
      <c r="T15" s="16">
        <v>2</v>
      </c>
      <c r="U15" s="16"/>
      <c r="V15" s="17"/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0.91666666666666663</v>
      </c>
      <c r="AD15" s="10">
        <f t="shared" si="7"/>
        <v>0.91666666666666663</v>
      </c>
      <c r="AE15" s="36">
        <f t="shared" si="8"/>
        <v>0.45277777777777778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129</v>
      </c>
      <c r="E16" s="53" t="s">
        <v>259</v>
      </c>
      <c r="F16" s="30" t="s">
        <v>130</v>
      </c>
      <c r="G16" s="12">
        <v>1</v>
      </c>
      <c r="H16" s="13">
        <v>28</v>
      </c>
      <c r="I16" s="7">
        <v>9000</v>
      </c>
      <c r="J16" s="14">
        <v>4928</v>
      </c>
      <c r="K16" s="15">
        <f>L16+5027+5503+5566+4928</f>
        <v>21024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0.45277777777777778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142</v>
      </c>
      <c r="D17" s="52" t="s">
        <v>135</v>
      </c>
      <c r="E17" s="53" t="s">
        <v>208</v>
      </c>
      <c r="F17" s="30" t="s">
        <v>209</v>
      </c>
      <c r="G17" s="33">
        <v>2</v>
      </c>
      <c r="H17" s="35">
        <v>20</v>
      </c>
      <c r="I17" s="7">
        <v>300</v>
      </c>
      <c r="J17" s="14">
        <v>300</v>
      </c>
      <c r="K17" s="15">
        <f>L17+300</f>
        <v>300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0.45277777777777778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125</v>
      </c>
      <c r="E18" s="53" t="s">
        <v>137</v>
      </c>
      <c r="F18" s="30" t="s">
        <v>127</v>
      </c>
      <c r="G18" s="33">
        <v>1</v>
      </c>
      <c r="H18" s="35">
        <v>24</v>
      </c>
      <c r="I18" s="7">
        <v>12000</v>
      </c>
      <c r="J18" s="5">
        <v>1606</v>
      </c>
      <c r="K18" s="15">
        <f>L18</f>
        <v>1606</v>
      </c>
      <c r="L18" s="15">
        <f>827+779</f>
        <v>1606</v>
      </c>
      <c r="M18" s="15">
        <f t="shared" si="1"/>
        <v>1606</v>
      </c>
      <c r="N18" s="15">
        <v>0</v>
      </c>
      <c r="O18" s="58">
        <f t="shared" si="2"/>
        <v>0</v>
      </c>
      <c r="P18" s="39">
        <f t="shared" si="3"/>
        <v>8</v>
      </c>
      <c r="Q18" s="40">
        <f t="shared" si="4"/>
        <v>16</v>
      </c>
      <c r="R18" s="7"/>
      <c r="S18" s="6">
        <v>16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0.33333333333333331</v>
      </c>
      <c r="AD18" s="10">
        <f>AC18*AB18*(1-O18)</f>
        <v>0.33333333333333331</v>
      </c>
      <c r="AE18" s="36">
        <f t="shared" si="8"/>
        <v>0.45277777777777778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158</v>
      </c>
      <c r="F19" s="30" t="s">
        <v>121</v>
      </c>
      <c r="G19" s="33">
        <v>1</v>
      </c>
      <c r="H19" s="35">
        <v>24</v>
      </c>
      <c r="I19" s="7">
        <v>35000</v>
      </c>
      <c r="J19" s="14">
        <v>4868</v>
      </c>
      <c r="K19" s="15">
        <f>L19</f>
        <v>4868</v>
      </c>
      <c r="L19" s="15">
        <f>2155+2713</f>
        <v>4868</v>
      </c>
      <c r="M19" s="15">
        <f t="shared" si="1"/>
        <v>4868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 t="shared" ref="AD19:AD20" si="11">AC19*AB19*(1-O19)</f>
        <v>1</v>
      </c>
      <c r="AE19" s="36">
        <f t="shared" si="8"/>
        <v>0.45277777777777778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333</v>
      </c>
      <c r="F20" s="12" t="s">
        <v>116</v>
      </c>
      <c r="G20" s="12">
        <v>3</v>
      </c>
      <c r="H20" s="35">
        <v>20</v>
      </c>
      <c r="I20" s="7">
        <v>300000</v>
      </c>
      <c r="J20" s="14">
        <v>69312</v>
      </c>
      <c r="K20" s="15">
        <f>L20+29373+68919+23628+62706+67941</f>
        <v>321879</v>
      </c>
      <c r="L20" s="15">
        <f>11838*3+11266*3</f>
        <v>69312</v>
      </c>
      <c r="M20" s="15">
        <f t="shared" si="1"/>
        <v>69312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si="11"/>
        <v>1</v>
      </c>
      <c r="AE20" s="36">
        <f t="shared" si="8"/>
        <v>0.45277777777777778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2">SUM(I6:I20)</f>
        <v>463100</v>
      </c>
      <c r="J21" s="19">
        <f t="shared" si="12"/>
        <v>185906</v>
      </c>
      <c r="K21" s="20">
        <f t="shared" si="12"/>
        <v>464056</v>
      </c>
      <c r="L21" s="21">
        <f t="shared" si="12"/>
        <v>178317</v>
      </c>
      <c r="M21" s="20">
        <f t="shared" si="12"/>
        <v>178317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163</v>
      </c>
      <c r="Q21" s="43">
        <f t="shared" si="13"/>
        <v>197</v>
      </c>
      <c r="R21" s="23">
        <f t="shared" si="13"/>
        <v>48</v>
      </c>
      <c r="S21" s="24">
        <f t="shared" si="13"/>
        <v>72</v>
      </c>
      <c r="T21" s="24">
        <f t="shared" si="13"/>
        <v>5</v>
      </c>
      <c r="U21" s="24">
        <f t="shared" si="13"/>
        <v>0</v>
      </c>
      <c r="V21" s="25">
        <f t="shared" si="13"/>
        <v>24</v>
      </c>
      <c r="W21" s="26">
        <f t="shared" si="13"/>
        <v>48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0.66666666666666663</v>
      </c>
      <c r="AC21" s="4">
        <f>SUM(AC6:AC20)/15</f>
        <v>0.45277777777777778</v>
      </c>
      <c r="AD21" s="4">
        <f>SUM(AD6:AD20)/15</f>
        <v>0.45277777777777778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427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430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270" t="s">
        <v>46</v>
      </c>
      <c r="D50" s="270" t="s">
        <v>47</v>
      </c>
      <c r="E50" s="270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270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09" t="s">
        <v>114</v>
      </c>
      <c r="B51" s="410"/>
      <c r="C51" s="268" t="s">
        <v>136</v>
      </c>
      <c r="D51" s="268" t="s">
        <v>129</v>
      </c>
      <c r="E51" s="268" t="s">
        <v>389</v>
      </c>
      <c r="F51" s="411" t="s">
        <v>414</v>
      </c>
      <c r="G51" s="412"/>
      <c r="H51" s="412"/>
      <c r="I51" s="412"/>
      <c r="J51" s="412"/>
      <c r="K51" s="412"/>
      <c r="L51" s="412"/>
      <c r="M51" s="413"/>
      <c r="N51" s="267" t="s">
        <v>124</v>
      </c>
      <c r="O51" s="265" t="s">
        <v>145</v>
      </c>
      <c r="P51" s="423" t="s">
        <v>122</v>
      </c>
      <c r="Q51" s="424"/>
      <c r="R51" s="410" t="s">
        <v>175</v>
      </c>
      <c r="S51" s="410"/>
      <c r="T51" s="410"/>
      <c r="U51" s="410"/>
      <c r="V51" s="400" t="s">
        <v>126</v>
      </c>
      <c r="W51" s="400"/>
      <c r="X51" s="400"/>
      <c r="Y51" s="400"/>
      <c r="Z51" s="400"/>
      <c r="AA51" s="400"/>
      <c r="AB51" s="400"/>
      <c r="AC51" s="400"/>
      <c r="AD51" s="414"/>
    </row>
    <row r="52" spans="1:32" ht="27" customHeight="1">
      <c r="A52" s="409" t="s">
        <v>124</v>
      </c>
      <c r="B52" s="410"/>
      <c r="C52" s="268" t="s">
        <v>145</v>
      </c>
      <c r="D52" s="268" t="s">
        <v>122</v>
      </c>
      <c r="E52" s="268" t="s">
        <v>175</v>
      </c>
      <c r="F52" s="411" t="s">
        <v>248</v>
      </c>
      <c r="G52" s="412"/>
      <c r="H52" s="412"/>
      <c r="I52" s="412"/>
      <c r="J52" s="412"/>
      <c r="K52" s="412"/>
      <c r="L52" s="412"/>
      <c r="M52" s="413"/>
      <c r="N52" s="267" t="s">
        <v>114</v>
      </c>
      <c r="O52" s="265" t="s">
        <v>136</v>
      </c>
      <c r="P52" s="423" t="s">
        <v>129</v>
      </c>
      <c r="Q52" s="424"/>
      <c r="R52" s="410" t="s">
        <v>389</v>
      </c>
      <c r="S52" s="410"/>
      <c r="T52" s="410"/>
      <c r="U52" s="410"/>
      <c r="V52" s="400" t="s">
        <v>126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124</v>
      </c>
      <c r="B53" s="410"/>
      <c r="C53" s="268" t="s">
        <v>189</v>
      </c>
      <c r="D53" s="268" t="s">
        <v>416</v>
      </c>
      <c r="E53" s="268" t="s">
        <v>417</v>
      </c>
      <c r="F53" s="411" t="s">
        <v>120</v>
      </c>
      <c r="G53" s="412"/>
      <c r="H53" s="412"/>
      <c r="I53" s="412"/>
      <c r="J53" s="412"/>
      <c r="K53" s="412"/>
      <c r="L53" s="412"/>
      <c r="M53" s="413"/>
      <c r="N53" s="267" t="s">
        <v>140</v>
      </c>
      <c r="O53" s="265" t="s">
        <v>189</v>
      </c>
      <c r="P53" s="423" t="s">
        <v>117</v>
      </c>
      <c r="Q53" s="424"/>
      <c r="R53" s="410" t="s">
        <v>431</v>
      </c>
      <c r="S53" s="410"/>
      <c r="T53" s="410"/>
      <c r="U53" s="410"/>
      <c r="V53" s="400" t="s">
        <v>120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114</v>
      </c>
      <c r="B54" s="410"/>
      <c r="C54" s="268" t="s">
        <v>176</v>
      </c>
      <c r="D54" s="268" t="s">
        <v>117</v>
      </c>
      <c r="E54" s="268" t="s">
        <v>118</v>
      </c>
      <c r="F54" s="411" t="s">
        <v>120</v>
      </c>
      <c r="G54" s="412"/>
      <c r="H54" s="412"/>
      <c r="I54" s="412"/>
      <c r="J54" s="412"/>
      <c r="K54" s="412"/>
      <c r="L54" s="412"/>
      <c r="M54" s="413"/>
      <c r="N54" s="267" t="s">
        <v>140</v>
      </c>
      <c r="O54" s="265" t="s">
        <v>143</v>
      </c>
      <c r="P54" s="423" t="s">
        <v>221</v>
      </c>
      <c r="Q54" s="424"/>
      <c r="R54" s="410" t="s">
        <v>432</v>
      </c>
      <c r="S54" s="410"/>
      <c r="T54" s="410"/>
      <c r="U54" s="410"/>
      <c r="V54" s="400" t="s">
        <v>120</v>
      </c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 t="s">
        <v>140</v>
      </c>
      <c r="B55" s="410"/>
      <c r="C55" s="268" t="s">
        <v>204</v>
      </c>
      <c r="D55" s="268" t="s">
        <v>122</v>
      </c>
      <c r="E55" s="268" t="s">
        <v>342</v>
      </c>
      <c r="F55" s="411" t="s">
        <v>120</v>
      </c>
      <c r="G55" s="412"/>
      <c r="H55" s="412"/>
      <c r="I55" s="412"/>
      <c r="J55" s="412"/>
      <c r="K55" s="412"/>
      <c r="L55" s="412"/>
      <c r="M55" s="413"/>
      <c r="N55" s="267" t="s">
        <v>114</v>
      </c>
      <c r="O55" s="265" t="s">
        <v>128</v>
      </c>
      <c r="P55" s="423" t="s">
        <v>125</v>
      </c>
      <c r="Q55" s="424"/>
      <c r="R55" s="410" t="s">
        <v>137</v>
      </c>
      <c r="S55" s="410"/>
      <c r="T55" s="410"/>
      <c r="U55" s="410"/>
      <c r="V55" s="400" t="s">
        <v>126</v>
      </c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 t="s">
        <v>114</v>
      </c>
      <c r="B56" s="410"/>
      <c r="C56" s="268" t="s">
        <v>191</v>
      </c>
      <c r="D56" s="268" t="s">
        <v>117</v>
      </c>
      <c r="E56" s="268" t="s">
        <v>424</v>
      </c>
      <c r="F56" s="411" t="s">
        <v>428</v>
      </c>
      <c r="G56" s="412"/>
      <c r="H56" s="412"/>
      <c r="I56" s="412"/>
      <c r="J56" s="412"/>
      <c r="K56" s="412"/>
      <c r="L56" s="412"/>
      <c r="M56" s="413"/>
      <c r="N56" s="267"/>
      <c r="O56" s="265"/>
      <c r="P56" s="423"/>
      <c r="Q56" s="424"/>
      <c r="R56" s="410"/>
      <c r="S56" s="410"/>
      <c r="T56" s="410"/>
      <c r="U56" s="410"/>
      <c r="V56" s="400"/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 t="s">
        <v>114</v>
      </c>
      <c r="B57" s="410"/>
      <c r="C57" s="268" t="s">
        <v>128</v>
      </c>
      <c r="D57" s="268" t="s">
        <v>429</v>
      </c>
      <c r="E57" s="268" t="s">
        <v>137</v>
      </c>
      <c r="F57" s="411" t="s">
        <v>428</v>
      </c>
      <c r="G57" s="412"/>
      <c r="H57" s="412"/>
      <c r="I57" s="412"/>
      <c r="J57" s="412"/>
      <c r="K57" s="412"/>
      <c r="L57" s="412"/>
      <c r="M57" s="413"/>
      <c r="N57" s="267"/>
      <c r="O57" s="265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 t="s">
        <v>124</v>
      </c>
      <c r="B58" s="410"/>
      <c r="C58" s="268" t="s">
        <v>217</v>
      </c>
      <c r="D58" s="268" t="s">
        <v>117</v>
      </c>
      <c r="E58" s="268" t="s">
        <v>158</v>
      </c>
      <c r="F58" s="411" t="s">
        <v>126</v>
      </c>
      <c r="G58" s="412"/>
      <c r="H58" s="412"/>
      <c r="I58" s="412"/>
      <c r="J58" s="412"/>
      <c r="K58" s="412"/>
      <c r="L58" s="412"/>
      <c r="M58" s="413"/>
      <c r="N58" s="267"/>
      <c r="O58" s="265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268"/>
      <c r="D59" s="268"/>
      <c r="E59" s="268"/>
      <c r="F59" s="411"/>
      <c r="G59" s="412"/>
      <c r="H59" s="412"/>
      <c r="I59" s="412"/>
      <c r="J59" s="412"/>
      <c r="K59" s="412"/>
      <c r="L59" s="412"/>
      <c r="M59" s="413"/>
      <c r="N59" s="267"/>
      <c r="O59" s="265"/>
      <c r="P59" s="410"/>
      <c r="Q59" s="410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  <c r="AF59" s="87">
        <f>8*3000</f>
        <v>24000</v>
      </c>
    </row>
    <row r="60" spans="1:32" ht="27" customHeight="1" thickBot="1">
      <c r="A60" s="415"/>
      <c r="B60" s="416"/>
      <c r="C60" s="269"/>
      <c r="D60" s="269"/>
      <c r="E60" s="269"/>
      <c r="F60" s="417"/>
      <c r="G60" s="418"/>
      <c r="H60" s="418"/>
      <c r="I60" s="418"/>
      <c r="J60" s="418"/>
      <c r="K60" s="418"/>
      <c r="L60" s="418"/>
      <c r="M60" s="419"/>
      <c r="N60" s="124"/>
      <c r="O60" s="114"/>
      <c r="P60" s="420"/>
      <c r="Q60" s="420"/>
      <c r="R60" s="420"/>
      <c r="S60" s="420"/>
      <c r="T60" s="420"/>
      <c r="U60" s="420"/>
      <c r="V60" s="421"/>
      <c r="W60" s="421"/>
      <c r="X60" s="421"/>
      <c r="Y60" s="421"/>
      <c r="Z60" s="421"/>
      <c r="AA60" s="421"/>
      <c r="AB60" s="421"/>
      <c r="AC60" s="421"/>
      <c r="AD60" s="422"/>
      <c r="AF60" s="87">
        <f>16*3000</f>
        <v>48000</v>
      </c>
    </row>
    <row r="61" spans="1:32" ht="27.75" thickBot="1">
      <c r="A61" s="407" t="s">
        <v>433</v>
      </c>
      <c r="B61" s="407"/>
      <c r="C61" s="407"/>
      <c r="D61" s="407"/>
      <c r="E61" s="40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08" t="s">
        <v>113</v>
      </c>
      <c r="B62" s="405"/>
      <c r="C62" s="266" t="s">
        <v>2</v>
      </c>
      <c r="D62" s="266" t="s">
        <v>37</v>
      </c>
      <c r="E62" s="266" t="s">
        <v>3</v>
      </c>
      <c r="F62" s="405" t="s">
        <v>110</v>
      </c>
      <c r="G62" s="405"/>
      <c r="H62" s="405"/>
      <c r="I62" s="405"/>
      <c r="J62" s="405"/>
      <c r="K62" s="405" t="s">
        <v>39</v>
      </c>
      <c r="L62" s="405"/>
      <c r="M62" s="266" t="s">
        <v>40</v>
      </c>
      <c r="N62" s="405" t="s">
        <v>41</v>
      </c>
      <c r="O62" s="405"/>
      <c r="P62" s="402" t="s">
        <v>42</v>
      </c>
      <c r="Q62" s="404"/>
      <c r="R62" s="402" t="s">
        <v>43</v>
      </c>
      <c r="S62" s="403"/>
      <c r="T62" s="403"/>
      <c r="U62" s="403"/>
      <c r="V62" s="403"/>
      <c r="W62" s="403"/>
      <c r="X62" s="403"/>
      <c r="Y62" s="403"/>
      <c r="Z62" s="403"/>
      <c r="AA62" s="404"/>
      <c r="AB62" s="405" t="s">
        <v>44</v>
      </c>
      <c r="AC62" s="405"/>
      <c r="AD62" s="406"/>
      <c r="AF62" s="87">
        <f>SUM(AF59:AF61)</f>
        <v>96000</v>
      </c>
    </row>
    <row r="63" spans="1:32" ht="25.5" customHeight="1">
      <c r="A63" s="396">
        <v>1</v>
      </c>
      <c r="B63" s="397"/>
      <c r="C63" s="117" t="s">
        <v>124</v>
      </c>
      <c r="D63" s="261"/>
      <c r="E63" s="264" t="s">
        <v>135</v>
      </c>
      <c r="F63" s="398" t="s">
        <v>408</v>
      </c>
      <c r="G63" s="390"/>
      <c r="H63" s="390"/>
      <c r="I63" s="390"/>
      <c r="J63" s="390"/>
      <c r="K63" s="390" t="s">
        <v>134</v>
      </c>
      <c r="L63" s="390"/>
      <c r="M63" s="51" t="s">
        <v>203</v>
      </c>
      <c r="N63" s="401" t="s">
        <v>143</v>
      </c>
      <c r="O63" s="401"/>
      <c r="P63" s="399"/>
      <c r="Q63" s="399"/>
      <c r="R63" s="400" t="s">
        <v>409</v>
      </c>
      <c r="S63" s="400"/>
      <c r="T63" s="400"/>
      <c r="U63" s="400"/>
      <c r="V63" s="400"/>
      <c r="W63" s="400"/>
      <c r="X63" s="400"/>
      <c r="Y63" s="400"/>
      <c r="Z63" s="400"/>
      <c r="AA63" s="400"/>
      <c r="AB63" s="390"/>
      <c r="AC63" s="390"/>
      <c r="AD63" s="391"/>
      <c r="AF63" s="50"/>
    </row>
    <row r="64" spans="1:32" ht="25.5" customHeight="1">
      <c r="A64" s="396">
        <v>2</v>
      </c>
      <c r="B64" s="397"/>
      <c r="C64" s="117"/>
      <c r="D64" s="261"/>
      <c r="E64" s="264"/>
      <c r="F64" s="398"/>
      <c r="G64" s="390"/>
      <c r="H64" s="390"/>
      <c r="I64" s="390"/>
      <c r="J64" s="390"/>
      <c r="K64" s="390"/>
      <c r="L64" s="390"/>
      <c r="M64" s="51"/>
      <c r="N64" s="401"/>
      <c r="O64" s="401"/>
      <c r="P64" s="399"/>
      <c r="Q64" s="399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3</v>
      </c>
      <c r="B65" s="397"/>
      <c r="C65" s="117"/>
      <c r="D65" s="261"/>
      <c r="E65" s="264"/>
      <c r="F65" s="398"/>
      <c r="G65" s="390"/>
      <c r="H65" s="390"/>
      <c r="I65" s="390"/>
      <c r="J65" s="390"/>
      <c r="K65" s="390"/>
      <c r="L65" s="390"/>
      <c r="M65" s="51"/>
      <c r="N65" s="401"/>
      <c r="O65" s="401"/>
      <c r="P65" s="399"/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4</v>
      </c>
      <c r="B66" s="397"/>
      <c r="C66" s="117"/>
      <c r="D66" s="261"/>
      <c r="E66" s="264"/>
      <c r="F66" s="398"/>
      <c r="G66" s="390"/>
      <c r="H66" s="390"/>
      <c r="I66" s="390"/>
      <c r="J66" s="390"/>
      <c r="K66" s="390"/>
      <c r="L66" s="390"/>
      <c r="M66" s="51"/>
      <c r="N66" s="401"/>
      <c r="O66" s="401"/>
      <c r="P66" s="399"/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5</v>
      </c>
      <c r="B67" s="397"/>
      <c r="C67" s="117"/>
      <c r="D67" s="261"/>
      <c r="E67" s="264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6</v>
      </c>
      <c r="B68" s="397"/>
      <c r="C68" s="117"/>
      <c r="D68" s="261"/>
      <c r="E68" s="264"/>
      <c r="F68" s="398"/>
      <c r="G68" s="390"/>
      <c r="H68" s="390"/>
      <c r="I68" s="390"/>
      <c r="J68" s="390"/>
      <c r="K68" s="390"/>
      <c r="L68" s="390"/>
      <c r="M68" s="51"/>
      <c r="N68" s="390"/>
      <c r="O68" s="390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7</v>
      </c>
      <c r="B69" s="397"/>
      <c r="C69" s="117"/>
      <c r="D69" s="261"/>
      <c r="E69" s="264"/>
      <c r="F69" s="398"/>
      <c r="G69" s="390"/>
      <c r="H69" s="390"/>
      <c r="I69" s="390"/>
      <c r="J69" s="390"/>
      <c r="K69" s="390"/>
      <c r="L69" s="390"/>
      <c r="M69" s="51"/>
      <c r="N69" s="401"/>
      <c r="O69" s="401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8</v>
      </c>
      <c r="B70" s="397"/>
      <c r="C70" s="117"/>
      <c r="D70" s="261"/>
      <c r="E70" s="264"/>
      <c r="F70" s="398"/>
      <c r="G70" s="390"/>
      <c r="H70" s="390"/>
      <c r="I70" s="390"/>
      <c r="J70" s="390"/>
      <c r="K70" s="390"/>
      <c r="L70" s="390"/>
      <c r="M70" s="51"/>
      <c r="N70" s="390"/>
      <c r="O70" s="390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6.25" customHeight="1" thickBot="1">
      <c r="A71" s="370" t="s">
        <v>434</v>
      </c>
      <c r="B71" s="370"/>
      <c r="C71" s="370"/>
      <c r="D71" s="370"/>
      <c r="E71" s="370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371" t="s">
        <v>113</v>
      </c>
      <c r="B72" s="372"/>
      <c r="C72" s="263" t="s">
        <v>2</v>
      </c>
      <c r="D72" s="263" t="s">
        <v>37</v>
      </c>
      <c r="E72" s="263" t="s">
        <v>3</v>
      </c>
      <c r="F72" s="372" t="s">
        <v>38</v>
      </c>
      <c r="G72" s="372"/>
      <c r="H72" s="372"/>
      <c r="I72" s="372"/>
      <c r="J72" s="372"/>
      <c r="K72" s="392" t="s">
        <v>58</v>
      </c>
      <c r="L72" s="393"/>
      <c r="M72" s="393"/>
      <c r="N72" s="393"/>
      <c r="O72" s="393"/>
      <c r="P72" s="393"/>
      <c r="Q72" s="393"/>
      <c r="R72" s="393"/>
      <c r="S72" s="394"/>
      <c r="T72" s="372" t="s">
        <v>49</v>
      </c>
      <c r="U72" s="372"/>
      <c r="V72" s="392" t="s">
        <v>50</v>
      </c>
      <c r="W72" s="394"/>
      <c r="X72" s="393" t="s">
        <v>51</v>
      </c>
      <c r="Y72" s="393"/>
      <c r="Z72" s="393"/>
      <c r="AA72" s="393"/>
      <c r="AB72" s="393"/>
      <c r="AC72" s="393"/>
      <c r="AD72" s="395"/>
      <c r="AF72" s="50"/>
    </row>
    <row r="73" spans="1:32" ht="33.75" customHeight="1">
      <c r="A73" s="364">
        <v>1</v>
      </c>
      <c r="B73" s="365"/>
      <c r="C73" s="262" t="s">
        <v>114</v>
      </c>
      <c r="D73" s="262"/>
      <c r="E73" s="65" t="s">
        <v>119</v>
      </c>
      <c r="F73" s="379" t="s">
        <v>118</v>
      </c>
      <c r="G73" s="380"/>
      <c r="H73" s="380"/>
      <c r="I73" s="380"/>
      <c r="J73" s="381"/>
      <c r="K73" s="382" t="s">
        <v>156</v>
      </c>
      <c r="L73" s="383"/>
      <c r="M73" s="383"/>
      <c r="N73" s="383"/>
      <c r="O73" s="383"/>
      <c r="P73" s="383"/>
      <c r="Q73" s="383"/>
      <c r="R73" s="383"/>
      <c r="S73" s="384"/>
      <c r="T73" s="385">
        <v>43675</v>
      </c>
      <c r="U73" s="386"/>
      <c r="V73" s="387"/>
      <c r="W73" s="387"/>
      <c r="X73" s="388"/>
      <c r="Y73" s="388"/>
      <c r="Z73" s="388"/>
      <c r="AA73" s="388"/>
      <c r="AB73" s="388"/>
      <c r="AC73" s="388"/>
      <c r="AD73" s="389"/>
      <c r="AF73" s="50"/>
    </row>
    <row r="74" spans="1:32" ht="30" customHeight="1">
      <c r="A74" s="357">
        <f>A73+1</f>
        <v>2</v>
      </c>
      <c r="B74" s="358"/>
      <c r="C74" s="261"/>
      <c r="D74" s="261"/>
      <c r="E74" s="32"/>
      <c r="F74" s="358"/>
      <c r="G74" s="358"/>
      <c r="H74" s="358"/>
      <c r="I74" s="358"/>
      <c r="J74" s="358"/>
      <c r="K74" s="373"/>
      <c r="L74" s="374"/>
      <c r="M74" s="374"/>
      <c r="N74" s="374"/>
      <c r="O74" s="374"/>
      <c r="P74" s="374"/>
      <c r="Q74" s="374"/>
      <c r="R74" s="374"/>
      <c r="S74" s="375"/>
      <c r="T74" s="376"/>
      <c r="U74" s="376"/>
      <c r="V74" s="376"/>
      <c r="W74" s="376"/>
      <c r="X74" s="377"/>
      <c r="Y74" s="377"/>
      <c r="Z74" s="377"/>
      <c r="AA74" s="377"/>
      <c r="AB74" s="377"/>
      <c r="AC74" s="377"/>
      <c r="AD74" s="378"/>
      <c r="AF74" s="50"/>
    </row>
    <row r="75" spans="1:32" ht="30" customHeight="1">
      <c r="A75" s="357">
        <f t="shared" ref="A75:A81" si="14">A74+1</f>
        <v>3</v>
      </c>
      <c r="B75" s="358"/>
      <c r="C75" s="261"/>
      <c r="D75" s="261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si="14"/>
        <v>4</v>
      </c>
      <c r="B76" s="358"/>
      <c r="C76" s="261"/>
      <c r="D76" s="261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14"/>
        <v>5</v>
      </c>
      <c r="B77" s="358"/>
      <c r="C77" s="261"/>
      <c r="D77" s="261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14"/>
        <v>6</v>
      </c>
      <c r="B78" s="358"/>
      <c r="C78" s="261"/>
      <c r="D78" s="261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14"/>
        <v>7</v>
      </c>
      <c r="B79" s="358"/>
      <c r="C79" s="261"/>
      <c r="D79" s="261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14"/>
        <v>8</v>
      </c>
      <c r="B80" s="358"/>
      <c r="C80" s="261"/>
      <c r="D80" s="261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14"/>
        <v>9</v>
      </c>
      <c r="B81" s="358"/>
      <c r="C81" s="261"/>
      <c r="D81" s="261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6" thickBot="1">
      <c r="A82" s="370" t="s">
        <v>435</v>
      </c>
      <c r="B82" s="370"/>
      <c r="C82" s="370"/>
      <c r="D82" s="370"/>
      <c r="E82" s="370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371" t="s">
        <v>113</v>
      </c>
      <c r="B83" s="372"/>
      <c r="C83" s="362" t="s">
        <v>52</v>
      </c>
      <c r="D83" s="362"/>
      <c r="E83" s="362" t="s">
        <v>53</v>
      </c>
      <c r="F83" s="362"/>
      <c r="G83" s="362"/>
      <c r="H83" s="362"/>
      <c r="I83" s="362"/>
      <c r="J83" s="362"/>
      <c r="K83" s="362" t="s">
        <v>54</v>
      </c>
      <c r="L83" s="362"/>
      <c r="M83" s="362"/>
      <c r="N83" s="362"/>
      <c r="O83" s="362"/>
      <c r="P83" s="362"/>
      <c r="Q83" s="362"/>
      <c r="R83" s="362"/>
      <c r="S83" s="362"/>
      <c r="T83" s="362" t="s">
        <v>55</v>
      </c>
      <c r="U83" s="362"/>
      <c r="V83" s="362" t="s">
        <v>56</v>
      </c>
      <c r="W83" s="362"/>
      <c r="X83" s="362"/>
      <c r="Y83" s="362" t="s">
        <v>51</v>
      </c>
      <c r="Z83" s="362"/>
      <c r="AA83" s="362"/>
      <c r="AB83" s="362"/>
      <c r="AC83" s="362"/>
      <c r="AD83" s="363"/>
      <c r="AF83" s="50"/>
    </row>
    <row r="84" spans="1:32" ht="30.75" customHeight="1">
      <c r="A84" s="364">
        <v>1</v>
      </c>
      <c r="B84" s="365"/>
      <c r="C84" s="366"/>
      <c r="D84" s="366"/>
      <c r="E84" s="366"/>
      <c r="F84" s="366"/>
      <c r="G84" s="366"/>
      <c r="H84" s="366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  <c r="U84" s="366"/>
      <c r="V84" s="367"/>
      <c r="W84" s="367"/>
      <c r="X84" s="367"/>
      <c r="Y84" s="368"/>
      <c r="Z84" s="368"/>
      <c r="AA84" s="368"/>
      <c r="AB84" s="368"/>
      <c r="AC84" s="368"/>
      <c r="AD84" s="369"/>
      <c r="AF84" s="50"/>
    </row>
    <row r="85" spans="1:32" ht="30.75" customHeight="1">
      <c r="A85" s="357">
        <v>2</v>
      </c>
      <c r="B85" s="358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60"/>
      <c r="U85" s="360"/>
      <c r="V85" s="361"/>
      <c r="W85" s="361"/>
      <c r="X85" s="361"/>
      <c r="Y85" s="350"/>
      <c r="Z85" s="350"/>
      <c r="AA85" s="350"/>
      <c r="AB85" s="350"/>
      <c r="AC85" s="350"/>
      <c r="AD85" s="351"/>
      <c r="AF85" s="50"/>
    </row>
    <row r="86" spans="1:32" ht="30.75" customHeight="1" thickBot="1">
      <c r="A86" s="352">
        <v>3</v>
      </c>
      <c r="B86" s="353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5"/>
      <c r="Z86" s="355"/>
      <c r="AA86" s="355"/>
      <c r="AB86" s="355"/>
      <c r="AC86" s="355"/>
      <c r="AD86" s="356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D7E3-7F73-4FCF-BBB1-61FA6C2CA0F8}">
  <dimension ref="A1:AF86"/>
  <sheetViews>
    <sheetView zoomScale="72" zoomScaleNormal="72" zoomScaleSheetLayoutView="70" workbookViewId="0">
      <selection activeCell="V17" sqref="V17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436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272" t="s">
        <v>17</v>
      </c>
      <c r="L5" s="272" t="s">
        <v>18</v>
      </c>
      <c r="M5" s="272" t="s">
        <v>19</v>
      </c>
      <c r="N5" s="27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17" si="7">AC6*AB6*(1-O6)</f>
        <v>0</v>
      </c>
      <c r="AE6" s="36">
        <f t="shared" ref="AE6:AE20" si="8">$AD$21</f>
        <v>0.44444444444444442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0.44444444444444442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40000</v>
      </c>
      <c r="J8" s="14">
        <v>4548</v>
      </c>
      <c r="K8" s="15">
        <f>L8+2529</f>
        <v>7077</v>
      </c>
      <c r="L8" s="15">
        <f>2949+1599</f>
        <v>4548</v>
      </c>
      <c r="M8" s="15">
        <f t="shared" si="1"/>
        <v>4548</v>
      </c>
      <c r="N8" s="15">
        <v>0</v>
      </c>
      <c r="O8" s="58">
        <f t="shared" si="2"/>
        <v>0</v>
      </c>
      <c r="P8" s="39">
        <f t="shared" si="3"/>
        <v>22</v>
      </c>
      <c r="Q8" s="40">
        <f t="shared" si="4"/>
        <v>2</v>
      </c>
      <c r="R8" s="7"/>
      <c r="S8" s="6">
        <v>2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0.91666666666666663</v>
      </c>
      <c r="AD8" s="10">
        <f t="shared" si="7"/>
        <v>0.91666666666666663</v>
      </c>
      <c r="AE8" s="36">
        <f t="shared" si="8"/>
        <v>0.44444444444444442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140</v>
      </c>
      <c r="D9" s="52" t="s">
        <v>117</v>
      </c>
      <c r="E9" s="53" t="s">
        <v>431</v>
      </c>
      <c r="F9" s="30" t="s">
        <v>216</v>
      </c>
      <c r="G9" s="33">
        <v>2</v>
      </c>
      <c r="H9" s="35">
        <v>24</v>
      </c>
      <c r="I9" s="7">
        <v>15000</v>
      </c>
      <c r="J9" s="14">
        <v>9744</v>
      </c>
      <c r="K9" s="15">
        <f>L9</f>
        <v>9744</v>
      </c>
      <c r="L9" s="15">
        <f>2206*2+2666*2</f>
        <v>9744</v>
      </c>
      <c r="M9" s="15">
        <f t="shared" si="1"/>
        <v>9744</v>
      </c>
      <c r="N9" s="15">
        <v>0</v>
      </c>
      <c r="O9" s="58">
        <f t="shared" si="2"/>
        <v>0</v>
      </c>
      <c r="P9" s="39">
        <f t="shared" si="3"/>
        <v>24</v>
      </c>
      <c r="Q9" s="40">
        <f t="shared" si="4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1</v>
      </c>
      <c r="AD9" s="10">
        <f t="shared" si="7"/>
        <v>1</v>
      </c>
      <c r="AE9" s="36">
        <f t="shared" si="8"/>
        <v>0.44444444444444442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124</v>
      </c>
      <c r="D10" s="52" t="s">
        <v>129</v>
      </c>
      <c r="E10" s="53" t="s">
        <v>389</v>
      </c>
      <c r="F10" s="30" t="s">
        <v>130</v>
      </c>
      <c r="G10" s="33">
        <v>1</v>
      </c>
      <c r="H10" s="35">
        <v>24</v>
      </c>
      <c r="I10" s="7">
        <v>2500</v>
      </c>
      <c r="J10" s="5">
        <v>1512</v>
      </c>
      <c r="K10" s="15">
        <f>L10+773</f>
        <v>2285</v>
      </c>
      <c r="L10" s="15">
        <v>1512</v>
      </c>
      <c r="M10" s="15">
        <f t="shared" si="1"/>
        <v>1512</v>
      </c>
      <c r="N10" s="15">
        <v>0</v>
      </c>
      <c r="O10" s="58">
        <f t="shared" si="2"/>
        <v>0</v>
      </c>
      <c r="P10" s="39">
        <f t="shared" si="3"/>
        <v>8</v>
      </c>
      <c r="Q10" s="40">
        <f t="shared" si="4"/>
        <v>16</v>
      </c>
      <c r="R10" s="7"/>
      <c r="S10" s="6">
        <v>12</v>
      </c>
      <c r="T10" s="16"/>
      <c r="U10" s="16"/>
      <c r="V10" s="17"/>
      <c r="W10" s="5">
        <v>4</v>
      </c>
      <c r="X10" s="16"/>
      <c r="Y10" s="16"/>
      <c r="Z10" s="16"/>
      <c r="AA10" s="18"/>
      <c r="AB10" s="8">
        <f t="shared" si="5"/>
        <v>1</v>
      </c>
      <c r="AC10" s="9">
        <f t="shared" si="6"/>
        <v>0.33333333333333331</v>
      </c>
      <c r="AD10" s="10">
        <f>AC10*AB10*(1-O10)</f>
        <v>0.33333333333333331</v>
      </c>
      <c r="AE10" s="36">
        <f t="shared" si="8"/>
        <v>0.44444444444444442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142</v>
      </c>
      <c r="D11" s="52" t="s">
        <v>117</v>
      </c>
      <c r="E11" s="53" t="s">
        <v>202</v>
      </c>
      <c r="F11" s="30" t="s">
        <v>199</v>
      </c>
      <c r="G11" s="33">
        <v>2</v>
      </c>
      <c r="H11" s="35">
        <v>20</v>
      </c>
      <c r="I11" s="7">
        <v>300</v>
      </c>
      <c r="J11" s="14">
        <v>300</v>
      </c>
      <c r="K11" s="15">
        <f>L11+300</f>
        <v>300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ref="AD11" si="10">AC11*AB11*(1-O11)</f>
        <v>0</v>
      </c>
      <c r="AE11" s="36">
        <f t="shared" si="8"/>
        <v>0.44444444444444442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118</v>
      </c>
      <c r="F12" s="30" t="s">
        <v>121</v>
      </c>
      <c r="G12" s="33">
        <v>1</v>
      </c>
      <c r="H12" s="35">
        <v>20</v>
      </c>
      <c r="I12" s="7">
        <v>12000</v>
      </c>
      <c r="J12" s="14">
        <v>3100</v>
      </c>
      <c r="K12" s="15">
        <f>L12+4787</f>
        <v>7887</v>
      </c>
      <c r="L12" s="15">
        <f>955+2145</f>
        <v>3100</v>
      </c>
      <c r="M12" s="15">
        <f t="shared" si="1"/>
        <v>3100</v>
      </c>
      <c r="N12" s="15">
        <v>0</v>
      </c>
      <c r="O12" s="58">
        <f t="shared" si="2"/>
        <v>0</v>
      </c>
      <c r="P12" s="39">
        <f t="shared" si="3"/>
        <v>18</v>
      </c>
      <c r="Q12" s="40">
        <f t="shared" si="4"/>
        <v>6</v>
      </c>
      <c r="R12" s="7"/>
      <c r="S12" s="6">
        <v>6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0.75</v>
      </c>
      <c r="AD12" s="10">
        <f t="shared" si="7"/>
        <v>0.75</v>
      </c>
      <c r="AE12" s="36">
        <f t="shared" si="8"/>
        <v>0.44444444444444442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140</v>
      </c>
      <c r="D13" s="52" t="s">
        <v>122</v>
      </c>
      <c r="E13" s="53" t="s">
        <v>342</v>
      </c>
      <c r="F13" s="30" t="s">
        <v>216</v>
      </c>
      <c r="G13" s="33">
        <v>1</v>
      </c>
      <c r="H13" s="35">
        <v>24</v>
      </c>
      <c r="I13" s="7">
        <v>10000</v>
      </c>
      <c r="J13" s="14">
        <v>5564</v>
      </c>
      <c r="K13" s="15">
        <f>L13+4734</f>
        <v>10298</v>
      </c>
      <c r="L13" s="15">
        <f>2782*2</f>
        <v>5564</v>
      </c>
      <c r="M13" s="15">
        <f t="shared" si="1"/>
        <v>5564</v>
      </c>
      <c r="N13" s="15">
        <v>0</v>
      </c>
      <c r="O13" s="58">
        <f t="shared" si="2"/>
        <v>0</v>
      </c>
      <c r="P13" s="39">
        <f t="shared" si="3"/>
        <v>16</v>
      </c>
      <c r="Q13" s="40">
        <f t="shared" si="4"/>
        <v>8</v>
      </c>
      <c r="R13" s="7"/>
      <c r="S13" s="6"/>
      <c r="T13" s="16"/>
      <c r="U13" s="16"/>
      <c r="V13" s="17"/>
      <c r="W13" s="5">
        <v>8</v>
      </c>
      <c r="X13" s="16"/>
      <c r="Y13" s="16"/>
      <c r="Z13" s="16"/>
      <c r="AA13" s="18"/>
      <c r="AB13" s="8">
        <f t="shared" si="5"/>
        <v>1</v>
      </c>
      <c r="AC13" s="9">
        <f t="shared" si="6"/>
        <v>0.66666666666666663</v>
      </c>
      <c r="AD13" s="10">
        <f t="shared" si="7"/>
        <v>0.66666666666666663</v>
      </c>
      <c r="AE13" s="36">
        <f t="shared" si="8"/>
        <v>0.44444444444444442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424</v>
      </c>
      <c r="F14" s="30" t="s">
        <v>425</v>
      </c>
      <c r="G14" s="12">
        <v>1</v>
      </c>
      <c r="H14" s="13">
        <v>28</v>
      </c>
      <c r="I14" s="7">
        <v>1000</v>
      </c>
      <c r="J14" s="5">
        <v>567</v>
      </c>
      <c r="K14" s="15">
        <f>L14+464</f>
        <v>1031</v>
      </c>
      <c r="L14" s="15">
        <v>567</v>
      </c>
      <c r="M14" s="15">
        <f t="shared" si="1"/>
        <v>567</v>
      </c>
      <c r="N14" s="15">
        <v>0</v>
      </c>
      <c r="O14" s="58">
        <f t="shared" si="2"/>
        <v>0</v>
      </c>
      <c r="P14" s="39">
        <f t="shared" si="3"/>
        <v>9</v>
      </c>
      <c r="Q14" s="40">
        <f t="shared" si="4"/>
        <v>15</v>
      </c>
      <c r="R14" s="7"/>
      <c r="S14" s="6">
        <v>15</v>
      </c>
      <c r="T14" s="16"/>
      <c r="U14" s="16"/>
      <c r="V14" s="17"/>
      <c r="W14" s="5"/>
      <c r="X14" s="16"/>
      <c r="Y14" s="16"/>
      <c r="Z14" s="16"/>
      <c r="AA14" s="18"/>
      <c r="AB14" s="8">
        <f t="shared" si="5"/>
        <v>1</v>
      </c>
      <c r="AC14" s="9">
        <f t="shared" si="6"/>
        <v>0.375</v>
      </c>
      <c r="AD14" s="10">
        <f t="shared" si="7"/>
        <v>0.375</v>
      </c>
      <c r="AE14" s="36">
        <f t="shared" si="8"/>
        <v>0.44444444444444442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140</v>
      </c>
      <c r="D15" s="52" t="s">
        <v>418</v>
      </c>
      <c r="E15" s="53"/>
      <c r="F15" s="12" t="s">
        <v>426</v>
      </c>
      <c r="G15" s="12">
        <v>6</v>
      </c>
      <c r="H15" s="13">
        <v>24</v>
      </c>
      <c r="I15" s="31">
        <v>10000</v>
      </c>
      <c r="J15" s="14">
        <v>30348</v>
      </c>
      <c r="K15" s="15">
        <f>L15+30348</f>
        <v>30348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0.44444444444444442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129</v>
      </c>
      <c r="E16" s="53" t="s">
        <v>259</v>
      </c>
      <c r="F16" s="30" t="s">
        <v>130</v>
      </c>
      <c r="G16" s="12">
        <v>1</v>
      </c>
      <c r="H16" s="13">
        <v>28</v>
      </c>
      <c r="I16" s="7">
        <v>9000</v>
      </c>
      <c r="J16" s="14">
        <v>4928</v>
      </c>
      <c r="K16" s="15">
        <f>L16+5027+5503+5566+4928</f>
        <v>21024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0.44444444444444442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140</v>
      </c>
      <c r="D17" s="52" t="s">
        <v>221</v>
      </c>
      <c r="E17" s="53" t="s">
        <v>432</v>
      </c>
      <c r="F17" s="30" t="s">
        <v>332</v>
      </c>
      <c r="G17" s="33">
        <v>2</v>
      </c>
      <c r="H17" s="35">
        <v>20</v>
      </c>
      <c r="I17" s="7">
        <v>15000</v>
      </c>
      <c r="J17" s="14">
        <v>10388</v>
      </c>
      <c r="K17" s="15">
        <f>L17</f>
        <v>10388</v>
      </c>
      <c r="L17" s="15">
        <f>2309*2+2885*2</f>
        <v>10388</v>
      </c>
      <c r="M17" s="15">
        <f t="shared" si="1"/>
        <v>10388</v>
      </c>
      <c r="N17" s="15">
        <v>0</v>
      </c>
      <c r="O17" s="58">
        <f t="shared" si="2"/>
        <v>0</v>
      </c>
      <c r="P17" s="39">
        <f t="shared" si="3"/>
        <v>24</v>
      </c>
      <c r="Q17" s="40">
        <f t="shared" si="4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1</v>
      </c>
      <c r="AD17" s="10">
        <f t="shared" si="7"/>
        <v>1</v>
      </c>
      <c r="AE17" s="36">
        <f t="shared" si="8"/>
        <v>0.44444444444444442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125</v>
      </c>
      <c r="E18" s="53" t="s">
        <v>137</v>
      </c>
      <c r="F18" s="30" t="s">
        <v>127</v>
      </c>
      <c r="G18" s="33">
        <v>1</v>
      </c>
      <c r="H18" s="35">
        <v>24</v>
      </c>
      <c r="I18" s="7">
        <v>12000</v>
      </c>
      <c r="J18" s="5">
        <v>1606</v>
      </c>
      <c r="K18" s="15">
        <f>L18+1606</f>
        <v>1606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>AC18*AB18*(1-O18)</f>
        <v>0</v>
      </c>
      <c r="AE18" s="36">
        <f t="shared" si="8"/>
        <v>0.44444444444444442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158</v>
      </c>
      <c r="F19" s="30" t="s">
        <v>121</v>
      </c>
      <c r="G19" s="33">
        <v>1</v>
      </c>
      <c r="H19" s="35">
        <v>24</v>
      </c>
      <c r="I19" s="7">
        <v>35000</v>
      </c>
      <c r="J19" s="14">
        <v>3099</v>
      </c>
      <c r="K19" s="15">
        <f>L19+4868</f>
        <v>7967</v>
      </c>
      <c r="L19" s="15">
        <f>2538+561</f>
        <v>3099</v>
      </c>
      <c r="M19" s="15">
        <f t="shared" si="1"/>
        <v>3099</v>
      </c>
      <c r="N19" s="15">
        <v>0</v>
      </c>
      <c r="O19" s="58">
        <f t="shared" si="2"/>
        <v>0</v>
      </c>
      <c r="P19" s="39">
        <f t="shared" si="3"/>
        <v>15</v>
      </c>
      <c r="Q19" s="40">
        <f t="shared" si="4"/>
        <v>9</v>
      </c>
      <c r="R19" s="7"/>
      <c r="S19" s="6">
        <v>9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0.625</v>
      </c>
      <c r="AD19" s="10">
        <f t="shared" ref="AD19:AD20" si="11">AC19*AB19*(1-O19)</f>
        <v>0.625</v>
      </c>
      <c r="AE19" s="36">
        <f t="shared" si="8"/>
        <v>0.44444444444444442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333</v>
      </c>
      <c r="F20" s="12" t="s">
        <v>116</v>
      </c>
      <c r="G20" s="12">
        <v>3</v>
      </c>
      <c r="H20" s="35">
        <v>20</v>
      </c>
      <c r="I20" s="7">
        <v>300000</v>
      </c>
      <c r="J20" s="14">
        <v>69828</v>
      </c>
      <c r="K20" s="15">
        <f>L20+29373+68919+23628+62706+67941+69312</f>
        <v>391707</v>
      </c>
      <c r="L20" s="15">
        <f>11302*3+11974*3</f>
        <v>69828</v>
      </c>
      <c r="M20" s="15">
        <f t="shared" si="1"/>
        <v>69828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si="11"/>
        <v>1</v>
      </c>
      <c r="AE20" s="36">
        <f t="shared" si="8"/>
        <v>0.44444444444444442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2">SUM(I6:I20)</f>
        <v>482800</v>
      </c>
      <c r="J21" s="19">
        <f t="shared" si="12"/>
        <v>147593</v>
      </c>
      <c r="K21" s="20">
        <f t="shared" si="12"/>
        <v>513210</v>
      </c>
      <c r="L21" s="21">
        <f t="shared" si="12"/>
        <v>108350</v>
      </c>
      <c r="M21" s="20">
        <f t="shared" si="12"/>
        <v>108350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160</v>
      </c>
      <c r="Q21" s="43">
        <f t="shared" si="13"/>
        <v>200</v>
      </c>
      <c r="R21" s="23">
        <f t="shared" si="13"/>
        <v>48</v>
      </c>
      <c r="S21" s="24">
        <f t="shared" si="13"/>
        <v>68</v>
      </c>
      <c r="T21" s="24">
        <f t="shared" si="13"/>
        <v>0</v>
      </c>
      <c r="U21" s="24">
        <f t="shared" si="13"/>
        <v>0</v>
      </c>
      <c r="V21" s="25">
        <f t="shared" si="13"/>
        <v>24</v>
      </c>
      <c r="W21" s="26">
        <f t="shared" si="13"/>
        <v>60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0.6</v>
      </c>
      <c r="AC21" s="4">
        <f>SUM(AC6:AC20)/15</f>
        <v>0.44444444444444442</v>
      </c>
      <c r="AD21" s="4">
        <f>SUM(AD6:AD20)/15</f>
        <v>0.44444444444444442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437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438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273" t="s">
        <v>46</v>
      </c>
      <c r="D50" s="273" t="s">
        <v>47</v>
      </c>
      <c r="E50" s="273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273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09" t="s">
        <v>114</v>
      </c>
      <c r="B51" s="410"/>
      <c r="C51" s="275" t="s">
        <v>136</v>
      </c>
      <c r="D51" s="275" t="s">
        <v>129</v>
      </c>
      <c r="E51" s="275" t="s">
        <v>389</v>
      </c>
      <c r="F51" s="411" t="s">
        <v>126</v>
      </c>
      <c r="G51" s="412"/>
      <c r="H51" s="412"/>
      <c r="I51" s="412"/>
      <c r="J51" s="412"/>
      <c r="K51" s="412"/>
      <c r="L51" s="412"/>
      <c r="M51" s="413"/>
      <c r="N51" s="274" t="s">
        <v>114</v>
      </c>
      <c r="O51" s="279" t="s">
        <v>128</v>
      </c>
      <c r="P51" s="423" t="s">
        <v>125</v>
      </c>
      <c r="Q51" s="424"/>
      <c r="R51" s="410" t="s">
        <v>137</v>
      </c>
      <c r="S51" s="410"/>
      <c r="T51" s="410"/>
      <c r="U51" s="410"/>
      <c r="V51" s="400" t="s">
        <v>126</v>
      </c>
      <c r="W51" s="400"/>
      <c r="X51" s="400"/>
      <c r="Y51" s="400"/>
      <c r="Z51" s="400"/>
      <c r="AA51" s="400"/>
      <c r="AB51" s="400"/>
      <c r="AC51" s="400"/>
      <c r="AD51" s="414"/>
    </row>
    <row r="52" spans="1:32" ht="27" customHeight="1">
      <c r="A52" s="409" t="s">
        <v>124</v>
      </c>
      <c r="B52" s="410"/>
      <c r="C52" s="275" t="s">
        <v>145</v>
      </c>
      <c r="D52" s="275" t="s">
        <v>122</v>
      </c>
      <c r="E52" s="275" t="s">
        <v>175</v>
      </c>
      <c r="F52" s="411" t="s">
        <v>126</v>
      </c>
      <c r="G52" s="412"/>
      <c r="H52" s="412"/>
      <c r="I52" s="412"/>
      <c r="J52" s="412"/>
      <c r="K52" s="412"/>
      <c r="L52" s="412"/>
      <c r="M52" s="413"/>
      <c r="N52" s="274" t="s">
        <v>124</v>
      </c>
      <c r="O52" s="279" t="s">
        <v>217</v>
      </c>
      <c r="P52" s="423" t="s">
        <v>117</v>
      </c>
      <c r="Q52" s="424"/>
      <c r="R52" s="410" t="s">
        <v>158</v>
      </c>
      <c r="S52" s="410"/>
      <c r="T52" s="410"/>
      <c r="U52" s="410"/>
      <c r="V52" s="400" t="s">
        <v>126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140</v>
      </c>
      <c r="B53" s="410"/>
      <c r="C53" s="275" t="s">
        <v>189</v>
      </c>
      <c r="D53" s="275" t="s">
        <v>117</v>
      </c>
      <c r="E53" s="275" t="s">
        <v>431</v>
      </c>
      <c r="F53" s="411" t="s">
        <v>120</v>
      </c>
      <c r="G53" s="412"/>
      <c r="H53" s="412"/>
      <c r="I53" s="412"/>
      <c r="J53" s="412"/>
      <c r="K53" s="412"/>
      <c r="L53" s="412"/>
      <c r="M53" s="413"/>
      <c r="N53" s="274" t="s">
        <v>140</v>
      </c>
      <c r="O53" s="279" t="s">
        <v>138</v>
      </c>
      <c r="P53" s="423" t="s">
        <v>122</v>
      </c>
      <c r="Q53" s="424"/>
      <c r="R53" s="410" t="s">
        <v>439</v>
      </c>
      <c r="S53" s="410"/>
      <c r="T53" s="410"/>
      <c r="U53" s="410"/>
      <c r="V53" s="400" t="s">
        <v>120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114</v>
      </c>
      <c r="B54" s="410"/>
      <c r="C54" s="275" t="s">
        <v>176</v>
      </c>
      <c r="D54" s="275" t="s">
        <v>117</v>
      </c>
      <c r="E54" s="275" t="s">
        <v>118</v>
      </c>
      <c r="F54" s="411" t="s">
        <v>337</v>
      </c>
      <c r="G54" s="412"/>
      <c r="H54" s="412"/>
      <c r="I54" s="412"/>
      <c r="J54" s="412"/>
      <c r="K54" s="412"/>
      <c r="L54" s="412"/>
      <c r="M54" s="413"/>
      <c r="N54" s="274"/>
      <c r="O54" s="279"/>
      <c r="P54" s="423"/>
      <c r="Q54" s="424"/>
      <c r="R54" s="410"/>
      <c r="S54" s="410"/>
      <c r="T54" s="410"/>
      <c r="U54" s="410"/>
      <c r="V54" s="400"/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 t="s">
        <v>140</v>
      </c>
      <c r="B55" s="410"/>
      <c r="C55" s="275" t="s">
        <v>143</v>
      </c>
      <c r="D55" s="275" t="s">
        <v>221</v>
      </c>
      <c r="E55" s="275" t="s">
        <v>432</v>
      </c>
      <c r="F55" s="411" t="s">
        <v>120</v>
      </c>
      <c r="G55" s="412"/>
      <c r="H55" s="412"/>
      <c r="I55" s="412"/>
      <c r="J55" s="412"/>
      <c r="K55" s="412"/>
      <c r="L55" s="412"/>
      <c r="M55" s="413"/>
      <c r="N55" s="274"/>
      <c r="O55" s="279"/>
      <c r="P55" s="423"/>
      <c r="Q55" s="424"/>
      <c r="R55" s="410"/>
      <c r="S55" s="410"/>
      <c r="T55" s="410"/>
      <c r="U55" s="410"/>
      <c r="V55" s="400"/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 t="s">
        <v>114</v>
      </c>
      <c r="B56" s="410"/>
      <c r="C56" s="275" t="s">
        <v>191</v>
      </c>
      <c r="D56" s="275" t="s">
        <v>117</v>
      </c>
      <c r="E56" s="275" t="s">
        <v>424</v>
      </c>
      <c r="F56" s="411" t="s">
        <v>126</v>
      </c>
      <c r="G56" s="412"/>
      <c r="H56" s="412"/>
      <c r="I56" s="412"/>
      <c r="J56" s="412"/>
      <c r="K56" s="412"/>
      <c r="L56" s="412"/>
      <c r="M56" s="413"/>
      <c r="N56" s="274"/>
      <c r="O56" s="279"/>
      <c r="P56" s="423"/>
      <c r="Q56" s="424"/>
      <c r="R56" s="410"/>
      <c r="S56" s="410"/>
      <c r="T56" s="410"/>
      <c r="U56" s="410"/>
      <c r="V56" s="400"/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 t="s">
        <v>114</v>
      </c>
      <c r="B57" s="410"/>
      <c r="C57" s="275" t="s">
        <v>128</v>
      </c>
      <c r="D57" s="275" t="s">
        <v>429</v>
      </c>
      <c r="E57" s="275" t="s">
        <v>137</v>
      </c>
      <c r="F57" s="411" t="s">
        <v>307</v>
      </c>
      <c r="G57" s="412"/>
      <c r="H57" s="412"/>
      <c r="I57" s="412"/>
      <c r="J57" s="412"/>
      <c r="K57" s="412"/>
      <c r="L57" s="412"/>
      <c r="M57" s="413"/>
      <c r="N57" s="274"/>
      <c r="O57" s="279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 t="s">
        <v>124</v>
      </c>
      <c r="B58" s="410"/>
      <c r="C58" s="275" t="s">
        <v>217</v>
      </c>
      <c r="D58" s="275" t="s">
        <v>117</v>
      </c>
      <c r="E58" s="275" t="s">
        <v>158</v>
      </c>
      <c r="F58" s="411" t="s">
        <v>190</v>
      </c>
      <c r="G58" s="412"/>
      <c r="H58" s="412"/>
      <c r="I58" s="412"/>
      <c r="J58" s="412"/>
      <c r="K58" s="412"/>
      <c r="L58" s="412"/>
      <c r="M58" s="413"/>
      <c r="N58" s="274"/>
      <c r="O58" s="279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275"/>
      <c r="D59" s="275"/>
      <c r="E59" s="275"/>
      <c r="F59" s="411"/>
      <c r="G59" s="412"/>
      <c r="H59" s="412"/>
      <c r="I59" s="412"/>
      <c r="J59" s="412"/>
      <c r="K59" s="412"/>
      <c r="L59" s="412"/>
      <c r="M59" s="413"/>
      <c r="N59" s="274"/>
      <c r="O59" s="279"/>
      <c r="P59" s="410"/>
      <c r="Q59" s="410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  <c r="AF59" s="87">
        <f>8*3000</f>
        <v>24000</v>
      </c>
    </row>
    <row r="60" spans="1:32" ht="27" customHeight="1" thickBot="1">
      <c r="A60" s="415"/>
      <c r="B60" s="416"/>
      <c r="C60" s="276"/>
      <c r="D60" s="276"/>
      <c r="E60" s="276"/>
      <c r="F60" s="417"/>
      <c r="G60" s="418"/>
      <c r="H60" s="418"/>
      <c r="I60" s="418"/>
      <c r="J60" s="418"/>
      <c r="K60" s="418"/>
      <c r="L60" s="418"/>
      <c r="M60" s="419"/>
      <c r="N60" s="124"/>
      <c r="O60" s="114"/>
      <c r="P60" s="420"/>
      <c r="Q60" s="420"/>
      <c r="R60" s="420"/>
      <c r="S60" s="420"/>
      <c r="T60" s="420"/>
      <c r="U60" s="420"/>
      <c r="V60" s="421"/>
      <c r="W60" s="421"/>
      <c r="X60" s="421"/>
      <c r="Y60" s="421"/>
      <c r="Z60" s="421"/>
      <c r="AA60" s="421"/>
      <c r="AB60" s="421"/>
      <c r="AC60" s="421"/>
      <c r="AD60" s="422"/>
      <c r="AF60" s="87">
        <f>16*3000</f>
        <v>48000</v>
      </c>
    </row>
    <row r="61" spans="1:32" ht="27.75" thickBot="1">
      <c r="A61" s="407" t="s">
        <v>440</v>
      </c>
      <c r="B61" s="407"/>
      <c r="C61" s="407"/>
      <c r="D61" s="407"/>
      <c r="E61" s="40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08" t="s">
        <v>113</v>
      </c>
      <c r="B62" s="405"/>
      <c r="C62" s="277" t="s">
        <v>2</v>
      </c>
      <c r="D62" s="277" t="s">
        <v>37</v>
      </c>
      <c r="E62" s="277" t="s">
        <v>3</v>
      </c>
      <c r="F62" s="405" t="s">
        <v>110</v>
      </c>
      <c r="G62" s="405"/>
      <c r="H62" s="405"/>
      <c r="I62" s="405"/>
      <c r="J62" s="405"/>
      <c r="K62" s="405" t="s">
        <v>39</v>
      </c>
      <c r="L62" s="405"/>
      <c r="M62" s="277" t="s">
        <v>40</v>
      </c>
      <c r="N62" s="405" t="s">
        <v>41</v>
      </c>
      <c r="O62" s="405"/>
      <c r="P62" s="402" t="s">
        <v>42</v>
      </c>
      <c r="Q62" s="404"/>
      <c r="R62" s="402" t="s">
        <v>43</v>
      </c>
      <c r="S62" s="403"/>
      <c r="T62" s="403"/>
      <c r="U62" s="403"/>
      <c r="V62" s="403"/>
      <c r="W62" s="403"/>
      <c r="X62" s="403"/>
      <c r="Y62" s="403"/>
      <c r="Z62" s="403"/>
      <c r="AA62" s="404"/>
      <c r="AB62" s="405" t="s">
        <v>44</v>
      </c>
      <c r="AC62" s="405"/>
      <c r="AD62" s="406"/>
      <c r="AF62" s="87">
        <f>SUM(AF59:AF61)</f>
        <v>96000</v>
      </c>
    </row>
    <row r="63" spans="1:32" ht="25.5" customHeight="1">
      <c r="A63" s="396">
        <v>1</v>
      </c>
      <c r="B63" s="397"/>
      <c r="C63" s="117" t="s">
        <v>441</v>
      </c>
      <c r="D63" s="281"/>
      <c r="E63" s="278"/>
      <c r="F63" s="398" t="s">
        <v>442</v>
      </c>
      <c r="G63" s="390"/>
      <c r="H63" s="390"/>
      <c r="I63" s="390"/>
      <c r="J63" s="390"/>
      <c r="K63" s="390" t="s">
        <v>443</v>
      </c>
      <c r="L63" s="390"/>
      <c r="M63" s="51" t="s">
        <v>203</v>
      </c>
      <c r="N63" s="401" t="s">
        <v>210</v>
      </c>
      <c r="O63" s="401"/>
      <c r="P63" s="399">
        <f>8*50</f>
        <v>400</v>
      </c>
      <c r="Q63" s="399"/>
      <c r="R63" s="400"/>
      <c r="S63" s="400"/>
      <c r="T63" s="400"/>
      <c r="U63" s="400"/>
      <c r="V63" s="400"/>
      <c r="W63" s="400"/>
      <c r="X63" s="400"/>
      <c r="Y63" s="400"/>
      <c r="Z63" s="400"/>
      <c r="AA63" s="400"/>
      <c r="AB63" s="390"/>
      <c r="AC63" s="390"/>
      <c r="AD63" s="391"/>
      <c r="AF63" s="50"/>
    </row>
    <row r="64" spans="1:32" ht="25.5" customHeight="1">
      <c r="A64" s="396">
        <v>2</v>
      </c>
      <c r="B64" s="397"/>
      <c r="C64" s="117" t="s">
        <v>124</v>
      </c>
      <c r="D64" s="281"/>
      <c r="E64" s="278" t="s">
        <v>221</v>
      </c>
      <c r="F64" s="398" t="s">
        <v>444</v>
      </c>
      <c r="G64" s="390"/>
      <c r="H64" s="390"/>
      <c r="I64" s="390"/>
      <c r="J64" s="390"/>
      <c r="K64" s="390" t="s">
        <v>132</v>
      </c>
      <c r="L64" s="390"/>
      <c r="M64" s="51" t="s">
        <v>207</v>
      </c>
      <c r="N64" s="401" t="s">
        <v>138</v>
      </c>
      <c r="O64" s="401"/>
      <c r="P64" s="399">
        <v>50</v>
      </c>
      <c r="Q64" s="399"/>
      <c r="R64" s="400" t="s">
        <v>445</v>
      </c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3</v>
      </c>
      <c r="B65" s="397"/>
      <c r="C65" s="117"/>
      <c r="D65" s="281"/>
      <c r="E65" s="278"/>
      <c r="F65" s="398"/>
      <c r="G65" s="390"/>
      <c r="H65" s="390"/>
      <c r="I65" s="390"/>
      <c r="J65" s="390"/>
      <c r="K65" s="390"/>
      <c r="L65" s="390"/>
      <c r="M65" s="51"/>
      <c r="N65" s="401"/>
      <c r="O65" s="401"/>
      <c r="P65" s="399"/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4</v>
      </c>
      <c r="B66" s="397"/>
      <c r="C66" s="117"/>
      <c r="D66" s="281"/>
      <c r="E66" s="278"/>
      <c r="F66" s="398"/>
      <c r="G66" s="390"/>
      <c r="H66" s="390"/>
      <c r="I66" s="390"/>
      <c r="J66" s="390"/>
      <c r="K66" s="390"/>
      <c r="L66" s="390"/>
      <c r="M66" s="51"/>
      <c r="N66" s="401"/>
      <c r="O66" s="401"/>
      <c r="P66" s="399"/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5</v>
      </c>
      <c r="B67" s="397"/>
      <c r="C67" s="117"/>
      <c r="D67" s="281"/>
      <c r="E67" s="278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6</v>
      </c>
      <c r="B68" s="397"/>
      <c r="C68" s="117"/>
      <c r="D68" s="281"/>
      <c r="E68" s="278"/>
      <c r="F68" s="398"/>
      <c r="G68" s="390"/>
      <c r="H68" s="390"/>
      <c r="I68" s="390"/>
      <c r="J68" s="390"/>
      <c r="K68" s="390"/>
      <c r="L68" s="390"/>
      <c r="M68" s="51"/>
      <c r="N68" s="390"/>
      <c r="O68" s="390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7</v>
      </c>
      <c r="B69" s="397"/>
      <c r="C69" s="117"/>
      <c r="D69" s="281"/>
      <c r="E69" s="278"/>
      <c r="F69" s="398"/>
      <c r="G69" s="390"/>
      <c r="H69" s="390"/>
      <c r="I69" s="390"/>
      <c r="J69" s="390"/>
      <c r="K69" s="390"/>
      <c r="L69" s="390"/>
      <c r="M69" s="51"/>
      <c r="N69" s="401"/>
      <c r="O69" s="401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8</v>
      </c>
      <c r="B70" s="397"/>
      <c r="C70" s="117"/>
      <c r="D70" s="281"/>
      <c r="E70" s="278"/>
      <c r="F70" s="398"/>
      <c r="G70" s="390"/>
      <c r="H70" s="390"/>
      <c r="I70" s="390"/>
      <c r="J70" s="390"/>
      <c r="K70" s="390"/>
      <c r="L70" s="390"/>
      <c r="M70" s="51"/>
      <c r="N70" s="390"/>
      <c r="O70" s="390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6.25" customHeight="1" thickBot="1">
      <c r="A71" s="370" t="s">
        <v>446</v>
      </c>
      <c r="B71" s="370"/>
      <c r="C71" s="370"/>
      <c r="D71" s="370"/>
      <c r="E71" s="370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371" t="s">
        <v>113</v>
      </c>
      <c r="B72" s="372"/>
      <c r="C72" s="280" t="s">
        <v>2</v>
      </c>
      <c r="D72" s="280" t="s">
        <v>37</v>
      </c>
      <c r="E72" s="280" t="s">
        <v>3</v>
      </c>
      <c r="F72" s="372" t="s">
        <v>38</v>
      </c>
      <c r="G72" s="372"/>
      <c r="H72" s="372"/>
      <c r="I72" s="372"/>
      <c r="J72" s="372"/>
      <c r="K72" s="392" t="s">
        <v>58</v>
      </c>
      <c r="L72" s="393"/>
      <c r="M72" s="393"/>
      <c r="N72" s="393"/>
      <c r="O72" s="393"/>
      <c r="P72" s="393"/>
      <c r="Q72" s="393"/>
      <c r="R72" s="393"/>
      <c r="S72" s="394"/>
      <c r="T72" s="372" t="s">
        <v>49</v>
      </c>
      <c r="U72" s="372"/>
      <c r="V72" s="392" t="s">
        <v>50</v>
      </c>
      <c r="W72" s="394"/>
      <c r="X72" s="393" t="s">
        <v>51</v>
      </c>
      <c r="Y72" s="393"/>
      <c r="Z72" s="393"/>
      <c r="AA72" s="393"/>
      <c r="AB72" s="393"/>
      <c r="AC72" s="393"/>
      <c r="AD72" s="395"/>
      <c r="AF72" s="50"/>
    </row>
    <row r="73" spans="1:32" ht="33.75" customHeight="1">
      <c r="A73" s="364">
        <v>1</v>
      </c>
      <c r="B73" s="365"/>
      <c r="C73" s="282" t="s">
        <v>114</v>
      </c>
      <c r="D73" s="282"/>
      <c r="E73" s="65" t="s">
        <v>119</v>
      </c>
      <c r="F73" s="379" t="s">
        <v>118</v>
      </c>
      <c r="G73" s="380"/>
      <c r="H73" s="380"/>
      <c r="I73" s="380"/>
      <c r="J73" s="381"/>
      <c r="K73" s="382" t="s">
        <v>156</v>
      </c>
      <c r="L73" s="383"/>
      <c r="M73" s="383"/>
      <c r="N73" s="383"/>
      <c r="O73" s="383"/>
      <c r="P73" s="383"/>
      <c r="Q73" s="383"/>
      <c r="R73" s="383"/>
      <c r="S73" s="384"/>
      <c r="T73" s="385">
        <v>43675</v>
      </c>
      <c r="U73" s="386"/>
      <c r="V73" s="387"/>
      <c r="W73" s="387"/>
      <c r="X73" s="388"/>
      <c r="Y73" s="388"/>
      <c r="Z73" s="388"/>
      <c r="AA73" s="388"/>
      <c r="AB73" s="388"/>
      <c r="AC73" s="388"/>
      <c r="AD73" s="389"/>
      <c r="AF73" s="50"/>
    </row>
    <row r="74" spans="1:32" ht="30" customHeight="1">
      <c r="A74" s="357">
        <f>A73+1</f>
        <v>2</v>
      </c>
      <c r="B74" s="358"/>
      <c r="C74" s="281"/>
      <c r="D74" s="281"/>
      <c r="E74" s="32"/>
      <c r="F74" s="358"/>
      <c r="G74" s="358"/>
      <c r="H74" s="358"/>
      <c r="I74" s="358"/>
      <c r="J74" s="358"/>
      <c r="K74" s="373"/>
      <c r="L74" s="374"/>
      <c r="M74" s="374"/>
      <c r="N74" s="374"/>
      <c r="O74" s="374"/>
      <c r="P74" s="374"/>
      <c r="Q74" s="374"/>
      <c r="R74" s="374"/>
      <c r="S74" s="375"/>
      <c r="T74" s="376"/>
      <c r="U74" s="376"/>
      <c r="V74" s="376"/>
      <c r="W74" s="376"/>
      <c r="X74" s="377"/>
      <c r="Y74" s="377"/>
      <c r="Z74" s="377"/>
      <c r="AA74" s="377"/>
      <c r="AB74" s="377"/>
      <c r="AC74" s="377"/>
      <c r="AD74" s="378"/>
      <c r="AF74" s="50"/>
    </row>
    <row r="75" spans="1:32" ht="30" customHeight="1">
      <c r="A75" s="357">
        <f t="shared" ref="A75:A81" si="14">A74+1</f>
        <v>3</v>
      </c>
      <c r="B75" s="358"/>
      <c r="C75" s="281"/>
      <c r="D75" s="281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si="14"/>
        <v>4</v>
      </c>
      <c r="B76" s="358"/>
      <c r="C76" s="281"/>
      <c r="D76" s="281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14"/>
        <v>5</v>
      </c>
      <c r="B77" s="358"/>
      <c r="C77" s="281"/>
      <c r="D77" s="281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14"/>
        <v>6</v>
      </c>
      <c r="B78" s="358"/>
      <c r="C78" s="281"/>
      <c r="D78" s="281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14"/>
        <v>7</v>
      </c>
      <c r="B79" s="358"/>
      <c r="C79" s="281"/>
      <c r="D79" s="281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14"/>
        <v>8</v>
      </c>
      <c r="B80" s="358"/>
      <c r="C80" s="281"/>
      <c r="D80" s="281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14"/>
        <v>9</v>
      </c>
      <c r="B81" s="358"/>
      <c r="C81" s="281"/>
      <c r="D81" s="281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6" thickBot="1">
      <c r="A82" s="370" t="s">
        <v>447</v>
      </c>
      <c r="B82" s="370"/>
      <c r="C82" s="370"/>
      <c r="D82" s="370"/>
      <c r="E82" s="370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371" t="s">
        <v>113</v>
      </c>
      <c r="B83" s="372"/>
      <c r="C83" s="362" t="s">
        <v>52</v>
      </c>
      <c r="D83" s="362"/>
      <c r="E83" s="362" t="s">
        <v>53</v>
      </c>
      <c r="F83" s="362"/>
      <c r="G83" s="362"/>
      <c r="H83" s="362"/>
      <c r="I83" s="362"/>
      <c r="J83" s="362"/>
      <c r="K83" s="362" t="s">
        <v>54</v>
      </c>
      <c r="L83" s="362"/>
      <c r="M83" s="362"/>
      <c r="N83" s="362"/>
      <c r="O83" s="362"/>
      <c r="P83" s="362"/>
      <c r="Q83" s="362"/>
      <c r="R83" s="362"/>
      <c r="S83" s="362"/>
      <c r="T83" s="362" t="s">
        <v>55</v>
      </c>
      <c r="U83" s="362"/>
      <c r="V83" s="362" t="s">
        <v>56</v>
      </c>
      <c r="W83" s="362"/>
      <c r="X83" s="362"/>
      <c r="Y83" s="362" t="s">
        <v>51</v>
      </c>
      <c r="Z83" s="362"/>
      <c r="AA83" s="362"/>
      <c r="AB83" s="362"/>
      <c r="AC83" s="362"/>
      <c r="AD83" s="363"/>
      <c r="AF83" s="50"/>
    </row>
    <row r="84" spans="1:32" ht="30.75" customHeight="1">
      <c r="A84" s="364">
        <v>1</v>
      </c>
      <c r="B84" s="365"/>
      <c r="C84" s="366"/>
      <c r="D84" s="366"/>
      <c r="E84" s="366"/>
      <c r="F84" s="366"/>
      <c r="G84" s="366"/>
      <c r="H84" s="366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  <c r="U84" s="366"/>
      <c r="V84" s="367"/>
      <c r="W84" s="367"/>
      <c r="X84" s="367"/>
      <c r="Y84" s="368"/>
      <c r="Z84" s="368"/>
      <c r="AA84" s="368"/>
      <c r="AB84" s="368"/>
      <c r="AC84" s="368"/>
      <c r="AD84" s="369"/>
      <c r="AF84" s="50"/>
    </row>
    <row r="85" spans="1:32" ht="30.75" customHeight="1">
      <c r="A85" s="357">
        <v>2</v>
      </c>
      <c r="B85" s="358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60"/>
      <c r="U85" s="360"/>
      <c r="V85" s="361"/>
      <c r="W85" s="361"/>
      <c r="X85" s="361"/>
      <c r="Y85" s="350"/>
      <c r="Z85" s="350"/>
      <c r="AA85" s="350"/>
      <c r="AB85" s="350"/>
      <c r="AC85" s="350"/>
      <c r="AD85" s="351"/>
      <c r="AF85" s="50"/>
    </row>
    <row r="86" spans="1:32" ht="30.75" customHeight="1" thickBot="1">
      <c r="A86" s="352">
        <v>3</v>
      </c>
      <c r="B86" s="353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5"/>
      <c r="Z86" s="355"/>
      <c r="AA86" s="355"/>
      <c r="AB86" s="355"/>
      <c r="AC86" s="355"/>
      <c r="AD86" s="356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E02F3-F8A9-4FE9-8F8E-367F4E901FF6}"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448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293" t="s">
        <v>17</v>
      </c>
      <c r="L5" s="293" t="s">
        <v>18</v>
      </c>
      <c r="M5" s="293" t="s">
        <v>19</v>
      </c>
      <c r="N5" s="293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17" si="7">AC6*AB6*(1-O6)</f>
        <v>0</v>
      </c>
      <c r="AE6" s="36">
        <f t="shared" ref="AE6:AE20" si="8">$AD$21</f>
        <v>0.51944444444444438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0.51944444444444438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40000</v>
      </c>
      <c r="J8" s="14">
        <v>3870</v>
      </c>
      <c r="K8" s="15">
        <f>L8+2529+4548</f>
        <v>10947</v>
      </c>
      <c r="L8" s="15">
        <f>3053+817</f>
        <v>3870</v>
      </c>
      <c r="M8" s="15">
        <f t="shared" si="1"/>
        <v>3870</v>
      </c>
      <c r="N8" s="15">
        <v>0</v>
      </c>
      <c r="O8" s="58">
        <f t="shared" si="2"/>
        <v>0</v>
      </c>
      <c r="P8" s="39">
        <f t="shared" si="3"/>
        <v>18</v>
      </c>
      <c r="Q8" s="40">
        <f t="shared" si="4"/>
        <v>6</v>
      </c>
      <c r="R8" s="7"/>
      <c r="S8" s="6">
        <v>6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0.75</v>
      </c>
      <c r="AD8" s="10">
        <f t="shared" si="7"/>
        <v>0.75</v>
      </c>
      <c r="AE8" s="36">
        <f t="shared" si="8"/>
        <v>0.51944444444444438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140</v>
      </c>
      <c r="D9" s="52" t="s">
        <v>117</v>
      </c>
      <c r="E9" s="53" t="s">
        <v>431</v>
      </c>
      <c r="F9" s="30" t="s">
        <v>216</v>
      </c>
      <c r="G9" s="33">
        <v>2</v>
      </c>
      <c r="H9" s="35">
        <v>24</v>
      </c>
      <c r="I9" s="7">
        <v>15000</v>
      </c>
      <c r="J9" s="14">
        <v>5702</v>
      </c>
      <c r="K9" s="15">
        <f>L9+9744</f>
        <v>15446</v>
      </c>
      <c r="L9" s="15">
        <f>1783*2+1068*2</f>
        <v>5702</v>
      </c>
      <c r="M9" s="15">
        <f t="shared" si="1"/>
        <v>5702</v>
      </c>
      <c r="N9" s="15">
        <v>0</v>
      </c>
      <c r="O9" s="58">
        <f t="shared" si="2"/>
        <v>0</v>
      </c>
      <c r="P9" s="39">
        <f t="shared" si="3"/>
        <v>15</v>
      </c>
      <c r="Q9" s="40">
        <f t="shared" si="4"/>
        <v>9</v>
      </c>
      <c r="R9" s="7"/>
      <c r="S9" s="6">
        <v>9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0.625</v>
      </c>
      <c r="AD9" s="10">
        <f t="shared" si="7"/>
        <v>0.625</v>
      </c>
      <c r="AE9" s="36">
        <f t="shared" si="8"/>
        <v>0.51944444444444438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124</v>
      </c>
      <c r="D10" s="52" t="s">
        <v>129</v>
      </c>
      <c r="E10" s="53" t="s">
        <v>389</v>
      </c>
      <c r="F10" s="30" t="s">
        <v>130</v>
      </c>
      <c r="G10" s="33">
        <v>1</v>
      </c>
      <c r="H10" s="35">
        <v>24</v>
      </c>
      <c r="I10" s="7">
        <v>2500</v>
      </c>
      <c r="J10" s="5">
        <v>1512</v>
      </c>
      <c r="K10" s="15">
        <f>L10+773+1512</f>
        <v>2285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/>
      <c r="T10" s="16"/>
      <c r="U10" s="16"/>
      <c r="V10" s="17"/>
      <c r="W10" s="5"/>
      <c r="X10" s="16"/>
      <c r="Y10" s="16"/>
      <c r="Z10" s="16"/>
      <c r="AA10" s="18">
        <v>24</v>
      </c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0.51944444444444438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140</v>
      </c>
      <c r="D11" s="52" t="s">
        <v>122</v>
      </c>
      <c r="E11" s="53" t="s">
        <v>439</v>
      </c>
      <c r="F11" s="30" t="s">
        <v>216</v>
      </c>
      <c r="G11" s="33">
        <v>2</v>
      </c>
      <c r="H11" s="35">
        <v>24</v>
      </c>
      <c r="I11" s="7">
        <v>15000</v>
      </c>
      <c r="J11" s="14">
        <v>6982</v>
      </c>
      <c r="K11" s="15">
        <f>L11</f>
        <v>6982</v>
      </c>
      <c r="L11" s="15">
        <f>1537*2+1954*2</f>
        <v>6982</v>
      </c>
      <c r="M11" s="15">
        <f t="shared" si="1"/>
        <v>6982</v>
      </c>
      <c r="N11" s="15">
        <v>0</v>
      </c>
      <c r="O11" s="58">
        <f t="shared" si="2"/>
        <v>0</v>
      </c>
      <c r="P11" s="39">
        <f t="shared" si="3"/>
        <v>22</v>
      </c>
      <c r="Q11" s="40">
        <f t="shared" si="4"/>
        <v>2</v>
      </c>
      <c r="R11" s="7"/>
      <c r="S11" s="6"/>
      <c r="T11" s="16">
        <v>2</v>
      </c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0.91666666666666663</v>
      </c>
      <c r="AD11" s="10">
        <f t="shared" ref="AD11" si="10">AC11*AB11*(1-O11)</f>
        <v>0.91666666666666663</v>
      </c>
      <c r="AE11" s="36">
        <f t="shared" si="8"/>
        <v>0.51944444444444438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114</v>
      </c>
      <c r="D12" s="52" t="s">
        <v>117</v>
      </c>
      <c r="E12" s="53" t="s">
        <v>118</v>
      </c>
      <c r="F12" s="30" t="s">
        <v>121</v>
      </c>
      <c r="G12" s="33">
        <v>1</v>
      </c>
      <c r="H12" s="35">
        <v>20</v>
      </c>
      <c r="I12" s="7">
        <v>12000</v>
      </c>
      <c r="J12" s="14">
        <v>4196</v>
      </c>
      <c r="K12" s="15">
        <f>L12+4787+3100</f>
        <v>12083</v>
      </c>
      <c r="L12" s="15">
        <f>1920+2276</f>
        <v>4196</v>
      </c>
      <c r="M12" s="15">
        <f t="shared" si="1"/>
        <v>4196</v>
      </c>
      <c r="N12" s="15">
        <v>0</v>
      </c>
      <c r="O12" s="58">
        <f t="shared" si="2"/>
        <v>0</v>
      </c>
      <c r="P12" s="39">
        <f t="shared" si="3"/>
        <v>23</v>
      </c>
      <c r="Q12" s="40">
        <f t="shared" si="4"/>
        <v>1</v>
      </c>
      <c r="R12" s="7"/>
      <c r="S12" s="6">
        <v>1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0.95833333333333337</v>
      </c>
      <c r="AD12" s="10">
        <f t="shared" si="7"/>
        <v>0.95833333333333337</v>
      </c>
      <c r="AE12" s="36">
        <f t="shared" si="8"/>
        <v>0.51944444444444438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449</v>
      </c>
      <c r="D13" s="52" t="s">
        <v>450</v>
      </c>
      <c r="E13" s="53" t="s">
        <v>451</v>
      </c>
      <c r="F13" s="30" t="s">
        <v>452</v>
      </c>
      <c r="G13" s="33">
        <v>2</v>
      </c>
      <c r="H13" s="35">
        <v>24</v>
      </c>
      <c r="I13" s="7">
        <v>4000</v>
      </c>
      <c r="J13" s="14">
        <v>7634</v>
      </c>
      <c r="K13" s="15">
        <f>L13</f>
        <v>7634</v>
      </c>
      <c r="L13" s="15">
        <f>1847*2+1970*2</f>
        <v>7634</v>
      </c>
      <c r="M13" s="15">
        <f t="shared" si="1"/>
        <v>7634</v>
      </c>
      <c r="N13" s="15">
        <v>0</v>
      </c>
      <c r="O13" s="58">
        <f t="shared" si="2"/>
        <v>0</v>
      </c>
      <c r="P13" s="39">
        <f t="shared" si="3"/>
        <v>22</v>
      </c>
      <c r="Q13" s="40">
        <f t="shared" si="4"/>
        <v>2</v>
      </c>
      <c r="R13" s="7"/>
      <c r="S13" s="6"/>
      <c r="T13" s="16">
        <v>2</v>
      </c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0.91666666666666663</v>
      </c>
      <c r="AD13" s="10">
        <f t="shared" si="7"/>
        <v>0.91666666666666663</v>
      </c>
      <c r="AE13" s="36">
        <f t="shared" si="8"/>
        <v>0.51944444444444438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424</v>
      </c>
      <c r="F14" s="30" t="s">
        <v>425</v>
      </c>
      <c r="G14" s="12">
        <v>1</v>
      </c>
      <c r="H14" s="13">
        <v>28</v>
      </c>
      <c r="I14" s="7">
        <v>1000</v>
      </c>
      <c r="J14" s="5">
        <v>628</v>
      </c>
      <c r="K14" s="15">
        <f>L14+464+567</f>
        <v>1659</v>
      </c>
      <c r="L14" s="15">
        <v>628</v>
      </c>
      <c r="M14" s="15">
        <f t="shared" si="1"/>
        <v>628</v>
      </c>
      <c r="N14" s="15">
        <v>0</v>
      </c>
      <c r="O14" s="58">
        <f t="shared" si="2"/>
        <v>0</v>
      </c>
      <c r="P14" s="39">
        <f t="shared" si="3"/>
        <v>11</v>
      </c>
      <c r="Q14" s="40">
        <f t="shared" si="4"/>
        <v>13</v>
      </c>
      <c r="R14" s="7"/>
      <c r="S14" s="6">
        <v>5</v>
      </c>
      <c r="T14" s="16"/>
      <c r="U14" s="16"/>
      <c r="V14" s="17"/>
      <c r="W14" s="5">
        <v>8</v>
      </c>
      <c r="X14" s="16"/>
      <c r="Y14" s="16"/>
      <c r="Z14" s="16"/>
      <c r="AA14" s="18"/>
      <c r="AB14" s="8">
        <f t="shared" si="5"/>
        <v>1</v>
      </c>
      <c r="AC14" s="9">
        <f t="shared" si="6"/>
        <v>0.45833333333333331</v>
      </c>
      <c r="AD14" s="10">
        <f t="shared" si="7"/>
        <v>0.45833333333333331</v>
      </c>
      <c r="AE14" s="36">
        <f t="shared" si="8"/>
        <v>0.51944444444444438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140</v>
      </c>
      <c r="D15" s="52" t="s">
        <v>418</v>
      </c>
      <c r="E15" s="53"/>
      <c r="F15" s="12" t="s">
        <v>426</v>
      </c>
      <c r="G15" s="12">
        <v>6</v>
      </c>
      <c r="H15" s="13">
        <v>24</v>
      </c>
      <c r="I15" s="31">
        <v>10000</v>
      </c>
      <c r="J15" s="14">
        <v>30348</v>
      </c>
      <c r="K15" s="15">
        <f>L15+30348</f>
        <v>30348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0.51944444444444438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129</v>
      </c>
      <c r="E16" s="53" t="s">
        <v>259</v>
      </c>
      <c r="F16" s="30" t="s">
        <v>130</v>
      </c>
      <c r="G16" s="12">
        <v>1</v>
      </c>
      <c r="H16" s="13">
        <v>28</v>
      </c>
      <c r="I16" s="7">
        <v>9000</v>
      </c>
      <c r="J16" s="14">
        <v>4928</v>
      </c>
      <c r="K16" s="15">
        <f>L16+5027+5503+5566+4928</f>
        <v>21024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0.51944444444444438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140</v>
      </c>
      <c r="D17" s="52" t="s">
        <v>221</v>
      </c>
      <c r="E17" s="53" t="s">
        <v>432</v>
      </c>
      <c r="F17" s="30" t="s">
        <v>332</v>
      </c>
      <c r="G17" s="33">
        <v>2</v>
      </c>
      <c r="H17" s="35">
        <v>20</v>
      </c>
      <c r="I17" s="7">
        <v>15000</v>
      </c>
      <c r="J17" s="14">
        <v>6426</v>
      </c>
      <c r="K17" s="15">
        <f>L17+10388</f>
        <v>16814</v>
      </c>
      <c r="L17" s="15">
        <f>3213*2</f>
        <v>6426</v>
      </c>
      <c r="M17" s="15">
        <f t="shared" si="1"/>
        <v>6426</v>
      </c>
      <c r="N17" s="15">
        <v>0</v>
      </c>
      <c r="O17" s="58">
        <f t="shared" si="2"/>
        <v>0</v>
      </c>
      <c r="P17" s="39">
        <f t="shared" si="3"/>
        <v>14</v>
      </c>
      <c r="Q17" s="40">
        <f t="shared" si="4"/>
        <v>10</v>
      </c>
      <c r="R17" s="7"/>
      <c r="S17" s="6"/>
      <c r="T17" s="16"/>
      <c r="U17" s="16"/>
      <c r="V17" s="17"/>
      <c r="W17" s="5">
        <v>10</v>
      </c>
      <c r="X17" s="16"/>
      <c r="Y17" s="16"/>
      <c r="Z17" s="16"/>
      <c r="AA17" s="18"/>
      <c r="AB17" s="8">
        <f t="shared" si="5"/>
        <v>1</v>
      </c>
      <c r="AC17" s="9">
        <f t="shared" si="6"/>
        <v>0.58333333333333337</v>
      </c>
      <c r="AD17" s="10">
        <f t="shared" si="7"/>
        <v>0.58333333333333337</v>
      </c>
      <c r="AE17" s="36">
        <f t="shared" si="8"/>
        <v>0.51944444444444438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125</v>
      </c>
      <c r="E18" s="53" t="s">
        <v>137</v>
      </c>
      <c r="F18" s="30" t="s">
        <v>127</v>
      </c>
      <c r="G18" s="33">
        <v>1</v>
      </c>
      <c r="H18" s="35">
        <v>24</v>
      </c>
      <c r="I18" s="7">
        <v>12000</v>
      </c>
      <c r="J18" s="5">
        <v>3446</v>
      </c>
      <c r="K18" s="15">
        <f>L18+1606</f>
        <v>5052</v>
      </c>
      <c r="L18" s="15">
        <f>1076+2370</f>
        <v>3446</v>
      </c>
      <c r="M18" s="15">
        <f t="shared" si="1"/>
        <v>3446</v>
      </c>
      <c r="N18" s="15">
        <v>0</v>
      </c>
      <c r="O18" s="58">
        <f t="shared" si="2"/>
        <v>0</v>
      </c>
      <c r="P18" s="39">
        <f t="shared" si="3"/>
        <v>17</v>
      </c>
      <c r="Q18" s="40">
        <f t="shared" si="4"/>
        <v>7</v>
      </c>
      <c r="R18" s="7"/>
      <c r="S18" s="6">
        <v>7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0.70833333333333337</v>
      </c>
      <c r="AD18" s="10">
        <f>AC18*AB18*(1-O18)</f>
        <v>0.70833333333333337</v>
      </c>
      <c r="AE18" s="36">
        <f t="shared" si="8"/>
        <v>0.51944444444444438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158</v>
      </c>
      <c r="F19" s="30" t="s">
        <v>121</v>
      </c>
      <c r="G19" s="33">
        <v>1</v>
      </c>
      <c r="H19" s="35">
        <v>24</v>
      </c>
      <c r="I19" s="7">
        <v>35000</v>
      </c>
      <c r="J19" s="14">
        <v>4296</v>
      </c>
      <c r="K19" s="15">
        <f>L19+4868+3099</f>
        <v>12263</v>
      </c>
      <c r="L19" s="15">
        <f>1568+2728</f>
        <v>4296</v>
      </c>
      <c r="M19" s="15">
        <f t="shared" si="1"/>
        <v>4296</v>
      </c>
      <c r="N19" s="15">
        <v>0</v>
      </c>
      <c r="O19" s="58">
        <f t="shared" si="2"/>
        <v>0</v>
      </c>
      <c r="P19" s="39">
        <f t="shared" si="3"/>
        <v>21</v>
      </c>
      <c r="Q19" s="40">
        <f t="shared" si="4"/>
        <v>3</v>
      </c>
      <c r="R19" s="7"/>
      <c r="S19" s="6">
        <v>3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0.875</v>
      </c>
      <c r="AD19" s="10">
        <f t="shared" ref="AD19:AD20" si="11">AC19*AB19*(1-O19)</f>
        <v>0.875</v>
      </c>
      <c r="AE19" s="36">
        <f t="shared" si="8"/>
        <v>0.51944444444444438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333</v>
      </c>
      <c r="F20" s="12" t="s">
        <v>116</v>
      </c>
      <c r="G20" s="12">
        <v>3</v>
      </c>
      <c r="H20" s="35">
        <v>20</v>
      </c>
      <c r="I20" s="7">
        <v>300000</v>
      </c>
      <c r="J20" s="14">
        <v>70251</v>
      </c>
      <c r="K20" s="15">
        <f>L20+29373+68919+23628+62706+67941+69312+69828</f>
        <v>461958</v>
      </c>
      <c r="L20" s="15">
        <f>10943*3+12474*3</f>
        <v>70251</v>
      </c>
      <c r="M20" s="15">
        <f t="shared" si="1"/>
        <v>70251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si="11"/>
        <v>1</v>
      </c>
      <c r="AE20" s="36">
        <f t="shared" si="8"/>
        <v>0.51944444444444438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2">SUM(I6:I20)</f>
        <v>491500</v>
      </c>
      <c r="J21" s="19">
        <f t="shared" si="12"/>
        <v>152280</v>
      </c>
      <c r="K21" s="20">
        <f t="shared" si="12"/>
        <v>616043</v>
      </c>
      <c r="L21" s="21">
        <f t="shared" si="12"/>
        <v>113431</v>
      </c>
      <c r="M21" s="20">
        <f t="shared" si="12"/>
        <v>113431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187</v>
      </c>
      <c r="Q21" s="43">
        <f t="shared" si="13"/>
        <v>173</v>
      </c>
      <c r="R21" s="23">
        <f t="shared" si="13"/>
        <v>48</v>
      </c>
      <c r="S21" s="24">
        <f t="shared" si="13"/>
        <v>31</v>
      </c>
      <c r="T21" s="24">
        <f t="shared" si="13"/>
        <v>4</v>
      </c>
      <c r="U21" s="24">
        <f t="shared" si="13"/>
        <v>0</v>
      </c>
      <c r="V21" s="25">
        <f t="shared" si="13"/>
        <v>24</v>
      </c>
      <c r="W21" s="26">
        <f t="shared" si="13"/>
        <v>42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24</v>
      </c>
      <c r="AB21" s="28">
        <f>SUM(AB6:AB20)/15</f>
        <v>0.66666666666666663</v>
      </c>
      <c r="AC21" s="4">
        <f>SUM(AC6:AC20)/15</f>
        <v>0.51944444444444438</v>
      </c>
      <c r="AD21" s="4">
        <f>SUM(AD6:AD20)/15</f>
        <v>0.51944444444444438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453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457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292" t="s">
        <v>46</v>
      </c>
      <c r="D50" s="292" t="s">
        <v>47</v>
      </c>
      <c r="E50" s="292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292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09" t="s">
        <v>124</v>
      </c>
      <c r="B51" s="410"/>
      <c r="C51" s="290" t="s">
        <v>145</v>
      </c>
      <c r="D51" s="290" t="s">
        <v>122</v>
      </c>
      <c r="E51" s="290" t="s">
        <v>175</v>
      </c>
      <c r="F51" s="411" t="s">
        <v>454</v>
      </c>
      <c r="G51" s="412"/>
      <c r="H51" s="412"/>
      <c r="I51" s="412"/>
      <c r="J51" s="412"/>
      <c r="K51" s="412"/>
      <c r="L51" s="412"/>
      <c r="M51" s="413"/>
      <c r="N51" s="289" t="s">
        <v>124</v>
      </c>
      <c r="O51" s="287" t="s">
        <v>189</v>
      </c>
      <c r="P51" s="423" t="s">
        <v>221</v>
      </c>
      <c r="Q51" s="424"/>
      <c r="R51" s="410" t="s">
        <v>458</v>
      </c>
      <c r="S51" s="410"/>
      <c r="T51" s="410"/>
      <c r="U51" s="410"/>
      <c r="V51" s="400" t="s">
        <v>120</v>
      </c>
      <c r="W51" s="400"/>
      <c r="X51" s="400"/>
      <c r="Y51" s="400"/>
      <c r="Z51" s="400"/>
      <c r="AA51" s="400"/>
      <c r="AB51" s="400"/>
      <c r="AC51" s="400"/>
      <c r="AD51" s="414"/>
    </row>
    <row r="52" spans="1:32" ht="27" customHeight="1">
      <c r="A52" s="409" t="s">
        <v>140</v>
      </c>
      <c r="B52" s="410"/>
      <c r="C52" s="290" t="s">
        <v>189</v>
      </c>
      <c r="D52" s="290" t="s">
        <v>117</v>
      </c>
      <c r="E52" s="290" t="s">
        <v>431</v>
      </c>
      <c r="F52" s="411" t="s">
        <v>455</v>
      </c>
      <c r="G52" s="412"/>
      <c r="H52" s="412"/>
      <c r="I52" s="412"/>
      <c r="J52" s="412"/>
      <c r="K52" s="412"/>
      <c r="L52" s="412"/>
      <c r="M52" s="413"/>
      <c r="N52" s="289" t="s">
        <v>140</v>
      </c>
      <c r="O52" s="287" t="s">
        <v>136</v>
      </c>
      <c r="P52" s="423" t="s">
        <v>117</v>
      </c>
      <c r="Q52" s="424"/>
      <c r="R52" s="410" t="s">
        <v>431</v>
      </c>
      <c r="S52" s="410"/>
      <c r="T52" s="410"/>
      <c r="U52" s="410"/>
      <c r="V52" s="400" t="s">
        <v>306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140</v>
      </c>
      <c r="B53" s="410"/>
      <c r="C53" s="290" t="s">
        <v>138</v>
      </c>
      <c r="D53" s="290" t="s">
        <v>122</v>
      </c>
      <c r="E53" s="290" t="s">
        <v>439</v>
      </c>
      <c r="F53" s="411" t="s">
        <v>120</v>
      </c>
      <c r="G53" s="412"/>
      <c r="H53" s="412"/>
      <c r="I53" s="412"/>
      <c r="J53" s="412"/>
      <c r="K53" s="412"/>
      <c r="L53" s="412"/>
      <c r="M53" s="413"/>
      <c r="N53" s="289" t="s">
        <v>323</v>
      </c>
      <c r="O53" s="287" t="s">
        <v>204</v>
      </c>
      <c r="P53" s="423"/>
      <c r="Q53" s="424"/>
      <c r="R53" s="410" t="s">
        <v>459</v>
      </c>
      <c r="S53" s="410"/>
      <c r="T53" s="410"/>
      <c r="U53" s="410"/>
      <c r="V53" s="400" t="s">
        <v>120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114</v>
      </c>
      <c r="B54" s="410"/>
      <c r="C54" s="290" t="s">
        <v>176</v>
      </c>
      <c r="D54" s="290" t="s">
        <v>117</v>
      </c>
      <c r="E54" s="290" t="s">
        <v>118</v>
      </c>
      <c r="F54" s="411" t="s">
        <v>249</v>
      </c>
      <c r="G54" s="412"/>
      <c r="H54" s="412"/>
      <c r="I54" s="412"/>
      <c r="J54" s="412"/>
      <c r="K54" s="412"/>
      <c r="L54" s="412"/>
      <c r="M54" s="413"/>
      <c r="N54" s="289"/>
      <c r="O54" s="287"/>
      <c r="P54" s="423"/>
      <c r="Q54" s="424"/>
      <c r="R54" s="410"/>
      <c r="S54" s="410"/>
      <c r="T54" s="410"/>
      <c r="U54" s="410"/>
      <c r="V54" s="400"/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 t="s">
        <v>449</v>
      </c>
      <c r="B55" s="410"/>
      <c r="C55" s="290" t="s">
        <v>204</v>
      </c>
      <c r="D55" s="290" t="s">
        <v>450</v>
      </c>
      <c r="E55" s="290" t="s">
        <v>451</v>
      </c>
      <c r="F55" s="411" t="s">
        <v>120</v>
      </c>
      <c r="G55" s="412"/>
      <c r="H55" s="412"/>
      <c r="I55" s="412"/>
      <c r="J55" s="412"/>
      <c r="K55" s="412"/>
      <c r="L55" s="412"/>
      <c r="M55" s="413"/>
      <c r="N55" s="289"/>
      <c r="O55" s="287"/>
      <c r="P55" s="423"/>
      <c r="Q55" s="424"/>
      <c r="R55" s="410"/>
      <c r="S55" s="410"/>
      <c r="T55" s="410"/>
      <c r="U55" s="410"/>
      <c r="V55" s="400"/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 t="s">
        <v>114</v>
      </c>
      <c r="B56" s="410"/>
      <c r="C56" s="290" t="s">
        <v>191</v>
      </c>
      <c r="D56" s="290" t="s">
        <v>117</v>
      </c>
      <c r="E56" s="290" t="s">
        <v>424</v>
      </c>
      <c r="F56" s="411" t="s">
        <v>456</v>
      </c>
      <c r="G56" s="412"/>
      <c r="H56" s="412"/>
      <c r="I56" s="412"/>
      <c r="J56" s="412"/>
      <c r="K56" s="412"/>
      <c r="L56" s="412"/>
      <c r="M56" s="413"/>
      <c r="N56" s="289"/>
      <c r="O56" s="287"/>
      <c r="P56" s="423"/>
      <c r="Q56" s="424"/>
      <c r="R56" s="410"/>
      <c r="S56" s="410"/>
      <c r="T56" s="410"/>
      <c r="U56" s="410"/>
      <c r="V56" s="400"/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 t="s">
        <v>114</v>
      </c>
      <c r="B57" s="410"/>
      <c r="C57" s="290" t="s">
        <v>128</v>
      </c>
      <c r="D57" s="290" t="s">
        <v>429</v>
      </c>
      <c r="E57" s="290" t="s">
        <v>137</v>
      </c>
      <c r="F57" s="411" t="s">
        <v>126</v>
      </c>
      <c r="G57" s="412"/>
      <c r="H57" s="412"/>
      <c r="I57" s="412"/>
      <c r="J57" s="412"/>
      <c r="K57" s="412"/>
      <c r="L57" s="412"/>
      <c r="M57" s="413"/>
      <c r="N57" s="289"/>
      <c r="O57" s="287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 t="s">
        <v>124</v>
      </c>
      <c r="B58" s="410"/>
      <c r="C58" s="290" t="s">
        <v>217</v>
      </c>
      <c r="D58" s="290" t="s">
        <v>117</v>
      </c>
      <c r="E58" s="290" t="s">
        <v>158</v>
      </c>
      <c r="F58" s="411" t="s">
        <v>306</v>
      </c>
      <c r="G58" s="412"/>
      <c r="H58" s="412"/>
      <c r="I58" s="412"/>
      <c r="J58" s="412"/>
      <c r="K58" s="412"/>
      <c r="L58" s="412"/>
      <c r="M58" s="413"/>
      <c r="N58" s="289"/>
      <c r="O58" s="287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290"/>
      <c r="D59" s="290"/>
      <c r="E59" s="290"/>
      <c r="F59" s="411"/>
      <c r="G59" s="412"/>
      <c r="H59" s="412"/>
      <c r="I59" s="412"/>
      <c r="J59" s="412"/>
      <c r="K59" s="412"/>
      <c r="L59" s="412"/>
      <c r="M59" s="413"/>
      <c r="N59" s="289"/>
      <c r="O59" s="287"/>
      <c r="P59" s="410"/>
      <c r="Q59" s="410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  <c r="AF59" s="87">
        <f>8*3000</f>
        <v>24000</v>
      </c>
    </row>
    <row r="60" spans="1:32" ht="27" customHeight="1" thickBot="1">
      <c r="A60" s="415"/>
      <c r="B60" s="416"/>
      <c r="C60" s="291"/>
      <c r="D60" s="291"/>
      <c r="E60" s="291"/>
      <c r="F60" s="417"/>
      <c r="G60" s="418"/>
      <c r="H60" s="418"/>
      <c r="I60" s="418"/>
      <c r="J60" s="418"/>
      <c r="K60" s="418"/>
      <c r="L60" s="418"/>
      <c r="M60" s="419"/>
      <c r="N60" s="124"/>
      <c r="O60" s="114"/>
      <c r="P60" s="420"/>
      <c r="Q60" s="420"/>
      <c r="R60" s="420"/>
      <c r="S60" s="420"/>
      <c r="T60" s="420"/>
      <c r="U60" s="420"/>
      <c r="V60" s="421"/>
      <c r="W60" s="421"/>
      <c r="X60" s="421"/>
      <c r="Y60" s="421"/>
      <c r="Z60" s="421"/>
      <c r="AA60" s="421"/>
      <c r="AB60" s="421"/>
      <c r="AC60" s="421"/>
      <c r="AD60" s="422"/>
      <c r="AF60" s="87">
        <f>16*3000</f>
        <v>48000</v>
      </c>
    </row>
    <row r="61" spans="1:32" ht="27.75" thickBot="1">
      <c r="A61" s="407" t="s">
        <v>460</v>
      </c>
      <c r="B61" s="407"/>
      <c r="C61" s="407"/>
      <c r="D61" s="407"/>
      <c r="E61" s="40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08" t="s">
        <v>113</v>
      </c>
      <c r="B62" s="405"/>
      <c r="C62" s="288" t="s">
        <v>2</v>
      </c>
      <c r="D62" s="288" t="s">
        <v>37</v>
      </c>
      <c r="E62" s="288" t="s">
        <v>3</v>
      </c>
      <c r="F62" s="405" t="s">
        <v>110</v>
      </c>
      <c r="G62" s="405"/>
      <c r="H62" s="405"/>
      <c r="I62" s="405"/>
      <c r="J62" s="405"/>
      <c r="K62" s="405" t="s">
        <v>39</v>
      </c>
      <c r="L62" s="405"/>
      <c r="M62" s="288" t="s">
        <v>40</v>
      </c>
      <c r="N62" s="405" t="s">
        <v>41</v>
      </c>
      <c r="O62" s="405"/>
      <c r="P62" s="402" t="s">
        <v>42</v>
      </c>
      <c r="Q62" s="404"/>
      <c r="R62" s="402" t="s">
        <v>43</v>
      </c>
      <c r="S62" s="403"/>
      <c r="T62" s="403"/>
      <c r="U62" s="403"/>
      <c r="V62" s="403"/>
      <c r="W62" s="403"/>
      <c r="X62" s="403"/>
      <c r="Y62" s="403"/>
      <c r="Z62" s="403"/>
      <c r="AA62" s="404"/>
      <c r="AB62" s="405" t="s">
        <v>44</v>
      </c>
      <c r="AC62" s="405"/>
      <c r="AD62" s="406"/>
      <c r="AF62" s="87">
        <f>SUM(AF59:AF61)</f>
        <v>96000</v>
      </c>
    </row>
    <row r="63" spans="1:32" ht="25.5" customHeight="1">
      <c r="A63" s="396">
        <v>1</v>
      </c>
      <c r="B63" s="397"/>
      <c r="C63" s="117" t="s">
        <v>114</v>
      </c>
      <c r="D63" s="283"/>
      <c r="E63" s="286" t="s">
        <v>129</v>
      </c>
      <c r="F63" s="398" t="s">
        <v>461</v>
      </c>
      <c r="G63" s="390"/>
      <c r="H63" s="390"/>
      <c r="I63" s="390"/>
      <c r="J63" s="390"/>
      <c r="K63" s="390" t="s">
        <v>130</v>
      </c>
      <c r="L63" s="390"/>
      <c r="M63" s="51" t="s">
        <v>207</v>
      </c>
      <c r="N63" s="401" t="s">
        <v>136</v>
      </c>
      <c r="O63" s="401"/>
      <c r="P63" s="399"/>
      <c r="Q63" s="399"/>
      <c r="R63" s="400" t="s">
        <v>462</v>
      </c>
      <c r="S63" s="400"/>
      <c r="T63" s="400"/>
      <c r="U63" s="400"/>
      <c r="V63" s="400"/>
      <c r="W63" s="400"/>
      <c r="X63" s="400"/>
      <c r="Y63" s="400"/>
      <c r="Z63" s="400"/>
      <c r="AA63" s="400"/>
      <c r="AB63" s="390"/>
      <c r="AC63" s="390"/>
      <c r="AD63" s="391"/>
      <c r="AF63" s="50"/>
    </row>
    <row r="64" spans="1:32" ht="25.5" customHeight="1">
      <c r="A64" s="396">
        <v>2</v>
      </c>
      <c r="B64" s="397"/>
      <c r="C64" s="117" t="s">
        <v>124</v>
      </c>
      <c r="D64" s="283"/>
      <c r="E64" s="286" t="s">
        <v>400</v>
      </c>
      <c r="F64" s="398" t="s">
        <v>463</v>
      </c>
      <c r="G64" s="390"/>
      <c r="H64" s="390"/>
      <c r="I64" s="390"/>
      <c r="J64" s="390"/>
      <c r="K64" s="390" t="s">
        <v>464</v>
      </c>
      <c r="L64" s="390"/>
      <c r="M64" s="51" t="s">
        <v>465</v>
      </c>
      <c r="N64" s="401" t="s">
        <v>136</v>
      </c>
      <c r="O64" s="401"/>
      <c r="P64" s="399">
        <v>100</v>
      </c>
      <c r="Q64" s="399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3</v>
      </c>
      <c r="B65" s="397"/>
      <c r="C65" s="117"/>
      <c r="D65" s="283"/>
      <c r="E65" s="286"/>
      <c r="F65" s="398"/>
      <c r="G65" s="390"/>
      <c r="H65" s="390"/>
      <c r="I65" s="390"/>
      <c r="J65" s="390"/>
      <c r="K65" s="390"/>
      <c r="L65" s="390"/>
      <c r="M65" s="51"/>
      <c r="N65" s="401"/>
      <c r="O65" s="401"/>
      <c r="P65" s="399"/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4</v>
      </c>
      <c r="B66" s="397"/>
      <c r="C66" s="117"/>
      <c r="D66" s="283"/>
      <c r="E66" s="286"/>
      <c r="F66" s="398"/>
      <c r="G66" s="390"/>
      <c r="H66" s="390"/>
      <c r="I66" s="390"/>
      <c r="J66" s="390"/>
      <c r="K66" s="390"/>
      <c r="L66" s="390"/>
      <c r="M66" s="51"/>
      <c r="N66" s="401"/>
      <c r="O66" s="401"/>
      <c r="P66" s="399"/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5</v>
      </c>
      <c r="B67" s="397"/>
      <c r="C67" s="117"/>
      <c r="D67" s="283"/>
      <c r="E67" s="286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6</v>
      </c>
      <c r="B68" s="397"/>
      <c r="C68" s="117"/>
      <c r="D68" s="283"/>
      <c r="E68" s="286"/>
      <c r="F68" s="398"/>
      <c r="G68" s="390"/>
      <c r="H68" s="390"/>
      <c r="I68" s="390"/>
      <c r="J68" s="390"/>
      <c r="K68" s="390"/>
      <c r="L68" s="390"/>
      <c r="M68" s="51"/>
      <c r="N68" s="390"/>
      <c r="O68" s="390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7</v>
      </c>
      <c r="B69" s="397"/>
      <c r="C69" s="117"/>
      <c r="D69" s="283"/>
      <c r="E69" s="286"/>
      <c r="F69" s="398"/>
      <c r="G69" s="390"/>
      <c r="H69" s="390"/>
      <c r="I69" s="390"/>
      <c r="J69" s="390"/>
      <c r="K69" s="390"/>
      <c r="L69" s="390"/>
      <c r="M69" s="51"/>
      <c r="N69" s="401"/>
      <c r="O69" s="401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8</v>
      </c>
      <c r="B70" s="397"/>
      <c r="C70" s="117"/>
      <c r="D70" s="283"/>
      <c r="E70" s="286"/>
      <c r="F70" s="398"/>
      <c r="G70" s="390"/>
      <c r="H70" s="390"/>
      <c r="I70" s="390"/>
      <c r="J70" s="390"/>
      <c r="K70" s="390"/>
      <c r="L70" s="390"/>
      <c r="M70" s="51"/>
      <c r="N70" s="390"/>
      <c r="O70" s="390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6.25" customHeight="1" thickBot="1">
      <c r="A71" s="370" t="s">
        <v>466</v>
      </c>
      <c r="B71" s="370"/>
      <c r="C71" s="370"/>
      <c r="D71" s="370"/>
      <c r="E71" s="370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371" t="s">
        <v>113</v>
      </c>
      <c r="B72" s="372"/>
      <c r="C72" s="285" t="s">
        <v>2</v>
      </c>
      <c r="D72" s="285" t="s">
        <v>37</v>
      </c>
      <c r="E72" s="285" t="s">
        <v>3</v>
      </c>
      <c r="F72" s="372" t="s">
        <v>38</v>
      </c>
      <c r="G72" s="372"/>
      <c r="H72" s="372"/>
      <c r="I72" s="372"/>
      <c r="J72" s="372"/>
      <c r="K72" s="392" t="s">
        <v>58</v>
      </c>
      <c r="L72" s="393"/>
      <c r="M72" s="393"/>
      <c r="N72" s="393"/>
      <c r="O72" s="393"/>
      <c r="P72" s="393"/>
      <c r="Q72" s="393"/>
      <c r="R72" s="393"/>
      <c r="S72" s="394"/>
      <c r="T72" s="372" t="s">
        <v>49</v>
      </c>
      <c r="U72" s="372"/>
      <c r="V72" s="392" t="s">
        <v>50</v>
      </c>
      <c r="W72" s="394"/>
      <c r="X72" s="393" t="s">
        <v>51</v>
      </c>
      <c r="Y72" s="393"/>
      <c r="Z72" s="393"/>
      <c r="AA72" s="393"/>
      <c r="AB72" s="393"/>
      <c r="AC72" s="393"/>
      <c r="AD72" s="395"/>
      <c r="AF72" s="50"/>
    </row>
    <row r="73" spans="1:32" ht="33.75" customHeight="1">
      <c r="A73" s="364">
        <v>1</v>
      </c>
      <c r="B73" s="365"/>
      <c r="C73" s="284" t="s">
        <v>114</v>
      </c>
      <c r="D73" s="284"/>
      <c r="E73" s="65" t="s">
        <v>119</v>
      </c>
      <c r="F73" s="379" t="s">
        <v>118</v>
      </c>
      <c r="G73" s="380"/>
      <c r="H73" s="380"/>
      <c r="I73" s="380"/>
      <c r="J73" s="381"/>
      <c r="K73" s="382" t="s">
        <v>156</v>
      </c>
      <c r="L73" s="383"/>
      <c r="M73" s="383"/>
      <c r="N73" s="383"/>
      <c r="O73" s="383"/>
      <c r="P73" s="383"/>
      <c r="Q73" s="383"/>
      <c r="R73" s="383"/>
      <c r="S73" s="384"/>
      <c r="T73" s="385">
        <v>43675</v>
      </c>
      <c r="U73" s="386"/>
      <c r="V73" s="387"/>
      <c r="W73" s="387"/>
      <c r="X73" s="388"/>
      <c r="Y73" s="388"/>
      <c r="Z73" s="388"/>
      <c r="AA73" s="388"/>
      <c r="AB73" s="388"/>
      <c r="AC73" s="388"/>
      <c r="AD73" s="389"/>
      <c r="AF73" s="50"/>
    </row>
    <row r="74" spans="1:32" ht="30" customHeight="1">
      <c r="A74" s="357">
        <f>A73+1</f>
        <v>2</v>
      </c>
      <c r="B74" s="358"/>
      <c r="C74" s="283"/>
      <c r="D74" s="283"/>
      <c r="E74" s="32"/>
      <c r="F74" s="358"/>
      <c r="G74" s="358"/>
      <c r="H74" s="358"/>
      <c r="I74" s="358"/>
      <c r="J74" s="358"/>
      <c r="K74" s="373"/>
      <c r="L74" s="374"/>
      <c r="M74" s="374"/>
      <c r="N74" s="374"/>
      <c r="O74" s="374"/>
      <c r="P74" s="374"/>
      <c r="Q74" s="374"/>
      <c r="R74" s="374"/>
      <c r="S74" s="375"/>
      <c r="T74" s="376"/>
      <c r="U74" s="376"/>
      <c r="V74" s="376"/>
      <c r="W74" s="376"/>
      <c r="X74" s="377"/>
      <c r="Y74" s="377"/>
      <c r="Z74" s="377"/>
      <c r="AA74" s="377"/>
      <c r="AB74" s="377"/>
      <c r="AC74" s="377"/>
      <c r="AD74" s="378"/>
      <c r="AF74" s="50"/>
    </row>
    <row r="75" spans="1:32" ht="30" customHeight="1">
      <c r="A75" s="357">
        <f t="shared" ref="A75:A81" si="14">A74+1</f>
        <v>3</v>
      </c>
      <c r="B75" s="358"/>
      <c r="C75" s="283"/>
      <c r="D75" s="283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si="14"/>
        <v>4</v>
      </c>
      <c r="B76" s="358"/>
      <c r="C76" s="283"/>
      <c r="D76" s="283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14"/>
        <v>5</v>
      </c>
      <c r="B77" s="358"/>
      <c r="C77" s="283"/>
      <c r="D77" s="283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14"/>
        <v>6</v>
      </c>
      <c r="B78" s="358"/>
      <c r="C78" s="283"/>
      <c r="D78" s="283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14"/>
        <v>7</v>
      </c>
      <c r="B79" s="358"/>
      <c r="C79" s="283"/>
      <c r="D79" s="283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14"/>
        <v>8</v>
      </c>
      <c r="B80" s="358"/>
      <c r="C80" s="283"/>
      <c r="D80" s="283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14"/>
        <v>9</v>
      </c>
      <c r="B81" s="358"/>
      <c r="C81" s="283"/>
      <c r="D81" s="283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6" thickBot="1">
      <c r="A82" s="370" t="s">
        <v>467</v>
      </c>
      <c r="B82" s="370"/>
      <c r="C82" s="370"/>
      <c r="D82" s="370"/>
      <c r="E82" s="370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371" t="s">
        <v>113</v>
      </c>
      <c r="B83" s="372"/>
      <c r="C83" s="362" t="s">
        <v>52</v>
      </c>
      <c r="D83" s="362"/>
      <c r="E83" s="362" t="s">
        <v>53</v>
      </c>
      <c r="F83" s="362"/>
      <c r="G83" s="362"/>
      <c r="H83" s="362"/>
      <c r="I83" s="362"/>
      <c r="J83" s="362"/>
      <c r="K83" s="362" t="s">
        <v>54</v>
      </c>
      <c r="L83" s="362"/>
      <c r="M83" s="362"/>
      <c r="N83" s="362"/>
      <c r="O83" s="362"/>
      <c r="P83" s="362"/>
      <c r="Q83" s="362"/>
      <c r="R83" s="362"/>
      <c r="S83" s="362"/>
      <c r="T83" s="362" t="s">
        <v>55</v>
      </c>
      <c r="U83" s="362"/>
      <c r="V83" s="362" t="s">
        <v>56</v>
      </c>
      <c r="W83" s="362"/>
      <c r="X83" s="362"/>
      <c r="Y83" s="362" t="s">
        <v>51</v>
      </c>
      <c r="Z83" s="362"/>
      <c r="AA83" s="362"/>
      <c r="AB83" s="362"/>
      <c r="AC83" s="362"/>
      <c r="AD83" s="363"/>
      <c r="AF83" s="50"/>
    </row>
    <row r="84" spans="1:32" ht="30.75" customHeight="1">
      <c r="A84" s="364">
        <v>1</v>
      </c>
      <c r="B84" s="365"/>
      <c r="C84" s="366"/>
      <c r="D84" s="366"/>
      <c r="E84" s="366"/>
      <c r="F84" s="366"/>
      <c r="G84" s="366"/>
      <c r="H84" s="366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  <c r="U84" s="366"/>
      <c r="V84" s="367"/>
      <c r="W84" s="367"/>
      <c r="X84" s="367"/>
      <c r="Y84" s="368"/>
      <c r="Z84" s="368"/>
      <c r="AA84" s="368"/>
      <c r="AB84" s="368"/>
      <c r="AC84" s="368"/>
      <c r="AD84" s="369"/>
      <c r="AF84" s="50"/>
    </row>
    <row r="85" spans="1:32" ht="30.75" customHeight="1">
      <c r="A85" s="357">
        <v>2</v>
      </c>
      <c r="B85" s="358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60"/>
      <c r="U85" s="360"/>
      <c r="V85" s="361"/>
      <c r="W85" s="361"/>
      <c r="X85" s="361"/>
      <c r="Y85" s="350"/>
      <c r="Z85" s="350"/>
      <c r="AA85" s="350"/>
      <c r="AB85" s="350"/>
      <c r="AC85" s="350"/>
      <c r="AD85" s="351"/>
      <c r="AF85" s="50"/>
    </row>
    <row r="86" spans="1:32" ht="30.75" customHeight="1" thickBot="1">
      <c r="A86" s="352">
        <v>3</v>
      </c>
      <c r="B86" s="353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5"/>
      <c r="Z86" s="355"/>
      <c r="AA86" s="355"/>
      <c r="AB86" s="355"/>
      <c r="AC86" s="355"/>
      <c r="AD86" s="356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7FE1-620B-4778-985F-92E91DED1A86}">
  <dimension ref="A1:AF87"/>
  <sheetViews>
    <sheetView zoomScale="72" zoomScaleNormal="72" zoomScaleSheetLayoutView="70" workbookViewId="0">
      <selection activeCell="K80" sqref="K80:S8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468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294" t="s">
        <v>17</v>
      </c>
      <c r="L5" s="294" t="s">
        <v>18</v>
      </c>
      <c r="M5" s="294" t="s">
        <v>19</v>
      </c>
      <c r="N5" s="29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18" si="7">AC6*AB6*(1-O6)</f>
        <v>0</v>
      </c>
      <c r="AE6" s="36">
        <f t="shared" ref="AE6:AE21" si="8">$AD$22</f>
        <v>0.40833333333333327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0.40833333333333327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40000</v>
      </c>
      <c r="J8" s="14">
        <v>3870</v>
      </c>
      <c r="K8" s="15">
        <f>L8+2529+4548+3870</f>
        <v>10947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0.40833333333333327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124</v>
      </c>
      <c r="D9" s="52" t="s">
        <v>221</v>
      </c>
      <c r="E9" s="53" t="s">
        <v>458</v>
      </c>
      <c r="F9" s="30" t="s">
        <v>127</v>
      </c>
      <c r="G9" s="33">
        <v>1</v>
      </c>
      <c r="H9" s="35">
        <v>24</v>
      </c>
      <c r="I9" s="7">
        <v>15000</v>
      </c>
      <c r="J9" s="14">
        <v>5702</v>
      </c>
      <c r="K9" s="15">
        <f>L9</f>
        <v>0</v>
      </c>
      <c r="L9" s="15"/>
      <c r="M9" s="15">
        <f t="shared" si="1"/>
        <v>0</v>
      </c>
      <c r="N9" s="15">
        <v>0</v>
      </c>
      <c r="O9" s="58" t="str">
        <f t="shared" si="2"/>
        <v>0</v>
      </c>
      <c r="P9" s="39" t="str">
        <f t="shared" si="3"/>
        <v>0</v>
      </c>
      <c r="Q9" s="40">
        <f t="shared" si="4"/>
        <v>24</v>
      </c>
      <c r="R9" s="7"/>
      <c r="S9" s="6">
        <v>24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0</v>
      </c>
      <c r="AC9" s="9">
        <f t="shared" si="6"/>
        <v>0</v>
      </c>
      <c r="AD9" s="10">
        <f t="shared" si="7"/>
        <v>0</v>
      </c>
      <c r="AE9" s="36">
        <f t="shared" si="8"/>
        <v>0.40833333333333327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124</v>
      </c>
      <c r="D10" s="52" t="s">
        <v>129</v>
      </c>
      <c r="E10" s="53" t="s">
        <v>389</v>
      </c>
      <c r="F10" s="30" t="s">
        <v>130</v>
      </c>
      <c r="G10" s="33">
        <v>1</v>
      </c>
      <c r="H10" s="35">
        <v>24</v>
      </c>
      <c r="I10" s="7">
        <v>2500</v>
      </c>
      <c r="J10" s="5">
        <v>1512</v>
      </c>
      <c r="K10" s="15">
        <f>L10+773+1512</f>
        <v>2285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/>
      <c r="T10" s="16"/>
      <c r="U10" s="16"/>
      <c r="V10" s="17"/>
      <c r="W10" s="5"/>
      <c r="X10" s="16"/>
      <c r="Y10" s="16"/>
      <c r="Z10" s="16"/>
      <c r="AA10" s="18">
        <v>24</v>
      </c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0.40833333333333327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140</v>
      </c>
      <c r="D11" s="52" t="s">
        <v>122</v>
      </c>
      <c r="E11" s="53" t="s">
        <v>439</v>
      </c>
      <c r="F11" s="30" t="s">
        <v>216</v>
      </c>
      <c r="G11" s="33">
        <v>2</v>
      </c>
      <c r="H11" s="35">
        <v>24</v>
      </c>
      <c r="I11" s="7">
        <v>15000</v>
      </c>
      <c r="J11" s="14">
        <v>8340</v>
      </c>
      <c r="K11" s="15">
        <f>L11+6982</f>
        <v>15322</v>
      </c>
      <c r="L11" s="15">
        <f>2662*2+1508*2</f>
        <v>8340</v>
      </c>
      <c r="M11" s="15">
        <f t="shared" si="1"/>
        <v>8340</v>
      </c>
      <c r="N11" s="15">
        <v>0</v>
      </c>
      <c r="O11" s="58">
        <f t="shared" si="2"/>
        <v>0</v>
      </c>
      <c r="P11" s="39">
        <f t="shared" si="3"/>
        <v>24</v>
      </c>
      <c r="Q11" s="40">
        <f t="shared" si="4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1</v>
      </c>
      <c r="AD11" s="10">
        <f t="shared" ref="AD11" si="10">AC11*AB11*(1-O11)</f>
        <v>1</v>
      </c>
      <c r="AE11" s="36">
        <f t="shared" si="8"/>
        <v>0.40833333333333327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260</v>
      </c>
      <c r="F12" s="30" t="s">
        <v>121</v>
      </c>
      <c r="G12" s="33">
        <v>1</v>
      </c>
      <c r="H12" s="35">
        <v>20</v>
      </c>
      <c r="I12" s="7">
        <v>15000</v>
      </c>
      <c r="J12" s="14">
        <v>3623</v>
      </c>
      <c r="K12" s="15">
        <f>L12</f>
        <v>3623</v>
      </c>
      <c r="L12" s="15">
        <f>1235+2388</f>
        <v>3623</v>
      </c>
      <c r="M12" s="15">
        <f t="shared" si="1"/>
        <v>3623</v>
      </c>
      <c r="N12" s="15">
        <v>0</v>
      </c>
      <c r="O12" s="58">
        <f t="shared" si="2"/>
        <v>0</v>
      </c>
      <c r="P12" s="39">
        <f t="shared" si="3"/>
        <v>21</v>
      </c>
      <c r="Q12" s="40">
        <f t="shared" si="4"/>
        <v>3</v>
      </c>
      <c r="R12" s="7"/>
      <c r="S12" s="6"/>
      <c r="T12" s="16">
        <v>3</v>
      </c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0.875</v>
      </c>
      <c r="AD12" s="10">
        <f t="shared" si="7"/>
        <v>0.875</v>
      </c>
      <c r="AE12" s="36">
        <f t="shared" si="8"/>
        <v>0.40833333333333327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323</v>
      </c>
      <c r="D13" s="52"/>
      <c r="E13" s="53" t="s">
        <v>469</v>
      </c>
      <c r="F13" s="30" t="s">
        <v>132</v>
      </c>
      <c r="G13" s="33">
        <v>1</v>
      </c>
      <c r="H13" s="35">
        <v>24</v>
      </c>
      <c r="I13" s="7">
        <v>1000</v>
      </c>
      <c r="J13" s="14">
        <v>1225</v>
      </c>
      <c r="K13" s="15">
        <f>L13</f>
        <v>1225</v>
      </c>
      <c r="L13" s="15">
        <v>1225</v>
      </c>
      <c r="M13" s="15">
        <f t="shared" si="1"/>
        <v>1225</v>
      </c>
      <c r="N13" s="15">
        <v>0</v>
      </c>
      <c r="O13" s="58">
        <f t="shared" si="2"/>
        <v>0</v>
      </c>
      <c r="P13" s="39">
        <f t="shared" si="3"/>
        <v>7</v>
      </c>
      <c r="Q13" s="40">
        <f t="shared" si="4"/>
        <v>17</v>
      </c>
      <c r="R13" s="7"/>
      <c r="S13" s="6"/>
      <c r="T13" s="16"/>
      <c r="U13" s="16"/>
      <c r="V13" s="17"/>
      <c r="W13" s="5">
        <v>17</v>
      </c>
      <c r="X13" s="16"/>
      <c r="Y13" s="16"/>
      <c r="Z13" s="16"/>
      <c r="AA13" s="18"/>
      <c r="AB13" s="8">
        <f t="shared" si="5"/>
        <v>1</v>
      </c>
      <c r="AC13" s="9">
        <f t="shared" si="6"/>
        <v>0.29166666666666669</v>
      </c>
      <c r="AD13" s="10">
        <f t="shared" si="7"/>
        <v>0.29166666666666669</v>
      </c>
      <c r="AE13" s="36">
        <f t="shared" si="8"/>
        <v>0.40833333333333327</v>
      </c>
      <c r="AF13" s="87">
        <f t="shared" si="9"/>
        <v>8</v>
      </c>
    </row>
    <row r="14" spans="1:32" ht="27" customHeight="1">
      <c r="A14" s="103">
        <v>8</v>
      </c>
      <c r="B14" s="11" t="s">
        <v>57</v>
      </c>
      <c r="C14" s="11" t="s">
        <v>140</v>
      </c>
      <c r="D14" s="52" t="s">
        <v>117</v>
      </c>
      <c r="E14" s="53" t="s">
        <v>431</v>
      </c>
      <c r="F14" s="30" t="s">
        <v>216</v>
      </c>
      <c r="G14" s="33">
        <v>2</v>
      </c>
      <c r="H14" s="35">
        <v>24</v>
      </c>
      <c r="I14" s="7">
        <v>15000</v>
      </c>
      <c r="J14" s="14">
        <v>2632</v>
      </c>
      <c r="K14" s="15">
        <f>L14+9744+5702</f>
        <v>18078</v>
      </c>
      <c r="L14" s="15">
        <f>1316*2</f>
        <v>2632</v>
      </c>
      <c r="M14" s="15">
        <f t="shared" ref="M14" si="11">L14-N14</f>
        <v>2632</v>
      </c>
      <c r="N14" s="15">
        <v>0</v>
      </c>
      <c r="O14" s="58">
        <f t="shared" ref="O14" si="12">IF(L14=0,"0",N14/L14)</f>
        <v>0</v>
      </c>
      <c r="P14" s="39">
        <f t="shared" ref="P14" si="13">IF(L14=0,"0",(24-Q14))</f>
        <v>7</v>
      </c>
      <c r="Q14" s="40">
        <f t="shared" ref="Q14" si="14">SUM(R14:AA14)</f>
        <v>17</v>
      </c>
      <c r="R14" s="7"/>
      <c r="S14" s="6"/>
      <c r="T14" s="16"/>
      <c r="U14" s="16"/>
      <c r="V14" s="17"/>
      <c r="W14" s="5">
        <v>17</v>
      </c>
      <c r="X14" s="16"/>
      <c r="Y14" s="16"/>
      <c r="Z14" s="16"/>
      <c r="AA14" s="18"/>
      <c r="AB14" s="8">
        <f t="shared" ref="AB14" si="15">IF(J14=0,"0",(L14/J14))</f>
        <v>1</v>
      </c>
      <c r="AC14" s="9">
        <f t="shared" ref="AC14" si="16">IF(P14=0,"0",(P14/24))</f>
        <v>0.29166666666666669</v>
      </c>
      <c r="AD14" s="10">
        <f t="shared" ref="AD14" si="17">AC14*AB14*(1-O14)</f>
        <v>0.29166666666666669</v>
      </c>
      <c r="AE14" s="36">
        <f t="shared" si="8"/>
        <v>0.40833333333333327</v>
      </c>
      <c r="AF14" s="87">
        <f t="shared" ref="AF14" si="18">A14</f>
        <v>8</v>
      </c>
    </row>
    <row r="15" spans="1:32" ht="27" customHeight="1">
      <c r="A15" s="118">
        <v>9</v>
      </c>
      <c r="B15" s="11" t="s">
        <v>57</v>
      </c>
      <c r="C15" s="34" t="s">
        <v>140</v>
      </c>
      <c r="D15" s="52" t="s">
        <v>229</v>
      </c>
      <c r="E15" s="53"/>
      <c r="F15" s="30" t="s">
        <v>216</v>
      </c>
      <c r="G15" s="12" t="s">
        <v>470</v>
      </c>
      <c r="H15" s="13">
        <v>28</v>
      </c>
      <c r="I15" s="7">
        <v>3000</v>
      </c>
      <c r="J15" s="5">
        <v>628</v>
      </c>
      <c r="K15" s="15">
        <f>L15</f>
        <v>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>
        <v>24</v>
      </c>
      <c r="T15" s="16"/>
      <c r="U15" s="16"/>
      <c r="V15" s="17"/>
      <c r="W15" s="5"/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0.40833333333333327</v>
      </c>
      <c r="AF15" s="87">
        <f t="shared" si="9"/>
        <v>9</v>
      </c>
    </row>
    <row r="16" spans="1:32" ht="27" customHeight="1">
      <c r="A16" s="102">
        <v>10</v>
      </c>
      <c r="B16" s="11" t="s">
        <v>57</v>
      </c>
      <c r="C16" s="34" t="s">
        <v>441</v>
      </c>
      <c r="D16" s="52"/>
      <c r="E16" s="53" t="s">
        <v>442</v>
      </c>
      <c r="F16" s="12" t="s">
        <v>443</v>
      </c>
      <c r="G16" s="12">
        <v>8</v>
      </c>
      <c r="H16" s="13">
        <v>24</v>
      </c>
      <c r="I16" s="31">
        <v>10000</v>
      </c>
      <c r="J16" s="14">
        <v>17192</v>
      </c>
      <c r="K16" s="15">
        <f>L16</f>
        <v>17192</v>
      </c>
      <c r="L16" s="15">
        <f>2149*8</f>
        <v>17192</v>
      </c>
      <c r="M16" s="15">
        <f t="shared" si="1"/>
        <v>17192</v>
      </c>
      <c r="N16" s="15">
        <v>0</v>
      </c>
      <c r="O16" s="58">
        <f t="shared" si="2"/>
        <v>0</v>
      </c>
      <c r="P16" s="39">
        <f t="shared" si="3"/>
        <v>12</v>
      </c>
      <c r="Q16" s="40">
        <f t="shared" si="4"/>
        <v>12</v>
      </c>
      <c r="R16" s="7"/>
      <c r="S16" s="6"/>
      <c r="T16" s="16"/>
      <c r="U16" s="16"/>
      <c r="V16" s="17"/>
      <c r="W16" s="5">
        <v>12</v>
      </c>
      <c r="X16" s="16"/>
      <c r="Y16" s="16"/>
      <c r="Z16" s="16"/>
      <c r="AA16" s="18"/>
      <c r="AB16" s="8">
        <f t="shared" si="5"/>
        <v>1</v>
      </c>
      <c r="AC16" s="9">
        <f t="shared" si="6"/>
        <v>0.5</v>
      </c>
      <c r="AD16" s="10">
        <f t="shared" si="7"/>
        <v>0.5</v>
      </c>
      <c r="AE16" s="36">
        <f t="shared" si="8"/>
        <v>0.40833333333333327</v>
      </c>
      <c r="AF16" s="87">
        <f t="shared" si="9"/>
        <v>10</v>
      </c>
    </row>
    <row r="17" spans="1:32" ht="30" customHeight="1">
      <c r="A17" s="102">
        <v>11</v>
      </c>
      <c r="B17" s="11" t="s">
        <v>57</v>
      </c>
      <c r="C17" s="34" t="s">
        <v>124</v>
      </c>
      <c r="D17" s="52" t="s">
        <v>129</v>
      </c>
      <c r="E17" s="53" t="s">
        <v>259</v>
      </c>
      <c r="F17" s="30" t="s">
        <v>130</v>
      </c>
      <c r="G17" s="12">
        <v>1</v>
      </c>
      <c r="H17" s="13">
        <v>28</v>
      </c>
      <c r="I17" s="7">
        <v>9000</v>
      </c>
      <c r="J17" s="14">
        <v>4928</v>
      </c>
      <c r="K17" s="15">
        <f>L17+5027+5503+5566+4928</f>
        <v>21024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>
        <v>24</v>
      </c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0.40833333333333327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11" t="s">
        <v>323</v>
      </c>
      <c r="D18" s="52" t="s">
        <v>471</v>
      </c>
      <c r="E18" s="53" t="s">
        <v>324</v>
      </c>
      <c r="F18" s="30" t="s">
        <v>273</v>
      </c>
      <c r="G18" s="33">
        <v>1</v>
      </c>
      <c r="H18" s="35">
        <v>20</v>
      </c>
      <c r="I18" s="7">
        <v>1000</v>
      </c>
      <c r="J18" s="14">
        <v>1295</v>
      </c>
      <c r="K18" s="15">
        <f>L18</f>
        <v>1295</v>
      </c>
      <c r="L18" s="15">
        <f>439+856</f>
        <v>1295</v>
      </c>
      <c r="M18" s="15">
        <f t="shared" si="1"/>
        <v>1295</v>
      </c>
      <c r="N18" s="15">
        <v>0</v>
      </c>
      <c r="O18" s="58">
        <f t="shared" si="2"/>
        <v>0</v>
      </c>
      <c r="P18" s="39">
        <f t="shared" si="3"/>
        <v>8</v>
      </c>
      <c r="Q18" s="40">
        <f t="shared" si="4"/>
        <v>16</v>
      </c>
      <c r="R18" s="7"/>
      <c r="S18" s="6"/>
      <c r="T18" s="16"/>
      <c r="U18" s="16"/>
      <c r="V18" s="17"/>
      <c r="W18" s="5">
        <v>16</v>
      </c>
      <c r="X18" s="16"/>
      <c r="Y18" s="16"/>
      <c r="Z18" s="16"/>
      <c r="AA18" s="18"/>
      <c r="AB18" s="8">
        <f t="shared" si="5"/>
        <v>1</v>
      </c>
      <c r="AC18" s="9">
        <f t="shared" si="6"/>
        <v>0.33333333333333331</v>
      </c>
      <c r="AD18" s="10">
        <f t="shared" si="7"/>
        <v>0.33333333333333331</v>
      </c>
      <c r="AE18" s="36">
        <f t="shared" si="8"/>
        <v>0.40833333333333327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114</v>
      </c>
      <c r="D19" s="52" t="s">
        <v>125</v>
      </c>
      <c r="E19" s="53" t="s">
        <v>137</v>
      </c>
      <c r="F19" s="30" t="s">
        <v>127</v>
      </c>
      <c r="G19" s="33">
        <v>1</v>
      </c>
      <c r="H19" s="35">
        <v>24</v>
      </c>
      <c r="I19" s="7">
        <v>12000</v>
      </c>
      <c r="J19" s="5">
        <v>4761</v>
      </c>
      <c r="K19" s="15">
        <f>L19+1606+3446</f>
        <v>9813</v>
      </c>
      <c r="L19" s="15">
        <f>2098+2663</f>
        <v>4761</v>
      </c>
      <c r="M19" s="15">
        <f t="shared" si="1"/>
        <v>4761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0.40833333333333327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124</v>
      </c>
      <c r="D20" s="52" t="s">
        <v>117</v>
      </c>
      <c r="E20" s="53" t="s">
        <v>158</v>
      </c>
      <c r="F20" s="30" t="s">
        <v>121</v>
      </c>
      <c r="G20" s="33">
        <v>1</v>
      </c>
      <c r="H20" s="35">
        <v>24</v>
      </c>
      <c r="I20" s="7">
        <v>35000</v>
      </c>
      <c r="J20" s="14">
        <v>3384</v>
      </c>
      <c r="K20" s="15">
        <f>L20+4868+3099+4296</f>
        <v>15647</v>
      </c>
      <c r="L20" s="15">
        <f>686+2698</f>
        <v>3384</v>
      </c>
      <c r="M20" s="15">
        <f t="shared" si="1"/>
        <v>3384</v>
      </c>
      <c r="N20" s="15">
        <v>0</v>
      </c>
      <c r="O20" s="58">
        <f t="shared" si="2"/>
        <v>0</v>
      </c>
      <c r="P20" s="39">
        <f t="shared" si="3"/>
        <v>20</v>
      </c>
      <c r="Q20" s="40">
        <f t="shared" si="4"/>
        <v>4</v>
      </c>
      <c r="R20" s="7"/>
      <c r="S20" s="6">
        <v>4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0.83333333333333337</v>
      </c>
      <c r="AD20" s="10">
        <f t="shared" ref="AD20:AD21" si="19">AC20*AB20*(1-O20)</f>
        <v>0.83333333333333337</v>
      </c>
      <c r="AE20" s="36">
        <f t="shared" si="8"/>
        <v>0.40833333333333327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333</v>
      </c>
      <c r="F21" s="12" t="s">
        <v>116</v>
      </c>
      <c r="G21" s="12">
        <v>3</v>
      </c>
      <c r="H21" s="35">
        <v>20</v>
      </c>
      <c r="I21" s="7">
        <v>300000</v>
      </c>
      <c r="J21" s="14">
        <v>54756</v>
      </c>
      <c r="K21" s="15">
        <f>L21+29373+68919+23628+62706+67941+69312+69828+70251</f>
        <v>516714</v>
      </c>
      <c r="L21" s="15">
        <f>8945*3+9307*3</f>
        <v>54756</v>
      </c>
      <c r="M21" s="15">
        <f t="shared" si="1"/>
        <v>54756</v>
      </c>
      <c r="N21" s="15">
        <v>0</v>
      </c>
      <c r="O21" s="58">
        <f t="shared" si="2"/>
        <v>0</v>
      </c>
      <c r="P21" s="39">
        <f t="shared" si="3"/>
        <v>24</v>
      </c>
      <c r="Q21" s="40">
        <f t="shared" si="4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1</v>
      </c>
      <c r="AD21" s="10">
        <f t="shared" si="19"/>
        <v>1</v>
      </c>
      <c r="AE21" s="36">
        <f t="shared" si="8"/>
        <v>0.40833333333333327</v>
      </c>
      <c r="AF21" s="87">
        <f t="shared" si="9"/>
        <v>15</v>
      </c>
    </row>
    <row r="22" spans="1:32" ht="31.5" customHeight="1" thickBot="1">
      <c r="A22" s="427" t="s">
        <v>34</v>
      </c>
      <c r="B22" s="428"/>
      <c r="C22" s="428"/>
      <c r="D22" s="428"/>
      <c r="E22" s="428"/>
      <c r="F22" s="428"/>
      <c r="G22" s="428"/>
      <c r="H22" s="429"/>
      <c r="I22" s="22">
        <f t="shared" ref="I22:N22" si="20">SUM(I6:I21)</f>
        <v>494500</v>
      </c>
      <c r="J22" s="19">
        <f t="shared" si="20"/>
        <v>115909</v>
      </c>
      <c r="K22" s="20">
        <f t="shared" si="20"/>
        <v>644713</v>
      </c>
      <c r="L22" s="21">
        <f t="shared" si="20"/>
        <v>97208</v>
      </c>
      <c r="M22" s="20">
        <f t="shared" si="20"/>
        <v>97208</v>
      </c>
      <c r="N22" s="21">
        <f t="shared" si="20"/>
        <v>0</v>
      </c>
      <c r="O22" s="41">
        <f t="shared" si="2"/>
        <v>0</v>
      </c>
      <c r="P22" s="42">
        <f t="shared" ref="P22:AA22" si="21">SUM(P6:P21)</f>
        <v>147</v>
      </c>
      <c r="Q22" s="43">
        <f t="shared" si="21"/>
        <v>237</v>
      </c>
      <c r="R22" s="23">
        <f t="shared" si="21"/>
        <v>48</v>
      </c>
      <c r="S22" s="24">
        <f t="shared" si="21"/>
        <v>76</v>
      </c>
      <c r="T22" s="24">
        <f t="shared" si="21"/>
        <v>3</v>
      </c>
      <c r="U22" s="24">
        <f t="shared" si="21"/>
        <v>0</v>
      </c>
      <c r="V22" s="25">
        <f t="shared" si="21"/>
        <v>24</v>
      </c>
      <c r="W22" s="26">
        <f t="shared" si="21"/>
        <v>62</v>
      </c>
      <c r="X22" s="27">
        <f t="shared" si="21"/>
        <v>0</v>
      </c>
      <c r="Y22" s="27">
        <f t="shared" si="21"/>
        <v>0</v>
      </c>
      <c r="Z22" s="27">
        <f t="shared" si="21"/>
        <v>0</v>
      </c>
      <c r="AA22" s="27">
        <f t="shared" si="21"/>
        <v>24</v>
      </c>
      <c r="AB22" s="28">
        <f>SUM(AB6:AB21)/15</f>
        <v>0.6</v>
      </c>
      <c r="AC22" s="4">
        <f>SUM(AC6:AC21)/15</f>
        <v>0.40833333333333327</v>
      </c>
      <c r="AD22" s="4">
        <f>SUM(AD6:AD21)/15</f>
        <v>0.40833333333333327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430" t="s">
        <v>45</v>
      </c>
      <c r="B49" s="430"/>
      <c r="C49" s="430"/>
      <c r="D49" s="430"/>
      <c r="E49" s="43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431" t="s">
        <v>472</v>
      </c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3"/>
      <c r="N50" s="434" t="s">
        <v>476</v>
      </c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6"/>
    </row>
    <row r="51" spans="1:32" ht="27" customHeight="1">
      <c r="A51" s="437" t="s">
        <v>2</v>
      </c>
      <c r="B51" s="438"/>
      <c r="C51" s="295" t="s">
        <v>46</v>
      </c>
      <c r="D51" s="295" t="s">
        <v>47</v>
      </c>
      <c r="E51" s="295" t="s">
        <v>108</v>
      </c>
      <c r="F51" s="438" t="s">
        <v>107</v>
      </c>
      <c r="G51" s="438"/>
      <c r="H51" s="438"/>
      <c r="I51" s="438"/>
      <c r="J51" s="438"/>
      <c r="K51" s="438"/>
      <c r="L51" s="438"/>
      <c r="M51" s="439"/>
      <c r="N51" s="67" t="s">
        <v>112</v>
      </c>
      <c r="O51" s="295" t="s">
        <v>46</v>
      </c>
      <c r="P51" s="440" t="s">
        <v>47</v>
      </c>
      <c r="Q51" s="441"/>
      <c r="R51" s="440" t="s">
        <v>38</v>
      </c>
      <c r="S51" s="442"/>
      <c r="T51" s="442"/>
      <c r="U51" s="441"/>
      <c r="V51" s="440" t="s">
        <v>48</v>
      </c>
      <c r="W51" s="442"/>
      <c r="X51" s="442"/>
      <c r="Y51" s="442"/>
      <c r="Z51" s="442"/>
      <c r="AA51" s="442"/>
      <c r="AB51" s="442"/>
      <c r="AC51" s="442"/>
      <c r="AD51" s="443"/>
    </row>
    <row r="52" spans="1:32" ht="27" customHeight="1">
      <c r="A52" s="409" t="s">
        <v>124</v>
      </c>
      <c r="B52" s="410"/>
      <c r="C52" s="297" t="s">
        <v>145</v>
      </c>
      <c r="D52" s="297" t="s">
        <v>122</v>
      </c>
      <c r="E52" s="297" t="s">
        <v>175</v>
      </c>
      <c r="F52" s="411" t="s">
        <v>473</v>
      </c>
      <c r="G52" s="412"/>
      <c r="H52" s="412"/>
      <c r="I52" s="412"/>
      <c r="J52" s="412"/>
      <c r="K52" s="412"/>
      <c r="L52" s="412"/>
      <c r="M52" s="413"/>
      <c r="N52" s="296" t="s">
        <v>124</v>
      </c>
      <c r="O52" s="301" t="s">
        <v>189</v>
      </c>
      <c r="P52" s="423" t="s">
        <v>221</v>
      </c>
      <c r="Q52" s="424"/>
      <c r="R52" s="410" t="s">
        <v>458</v>
      </c>
      <c r="S52" s="410"/>
      <c r="T52" s="410"/>
      <c r="U52" s="410"/>
      <c r="V52" s="400" t="s">
        <v>126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124</v>
      </c>
      <c r="B53" s="410"/>
      <c r="C53" s="297" t="s">
        <v>189</v>
      </c>
      <c r="D53" s="297" t="s">
        <v>221</v>
      </c>
      <c r="E53" s="297" t="s">
        <v>458</v>
      </c>
      <c r="F53" s="411" t="s">
        <v>474</v>
      </c>
      <c r="G53" s="412"/>
      <c r="H53" s="412"/>
      <c r="I53" s="412"/>
      <c r="J53" s="412"/>
      <c r="K53" s="412"/>
      <c r="L53" s="412"/>
      <c r="M53" s="413"/>
      <c r="N53" s="296" t="s">
        <v>142</v>
      </c>
      <c r="O53" s="301" t="s">
        <v>138</v>
      </c>
      <c r="P53" s="423"/>
      <c r="Q53" s="424"/>
      <c r="R53" s="410" t="s">
        <v>478</v>
      </c>
      <c r="S53" s="410"/>
      <c r="T53" s="410"/>
      <c r="U53" s="410"/>
      <c r="V53" s="400" t="s">
        <v>120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124</v>
      </c>
      <c r="B54" s="410"/>
      <c r="C54" s="297" t="s">
        <v>176</v>
      </c>
      <c r="D54" s="297" t="s">
        <v>117</v>
      </c>
      <c r="E54" s="297" t="s">
        <v>260</v>
      </c>
      <c r="F54" s="411" t="s">
        <v>120</v>
      </c>
      <c r="G54" s="412"/>
      <c r="H54" s="412"/>
      <c r="I54" s="412"/>
      <c r="J54" s="412"/>
      <c r="K54" s="412"/>
      <c r="L54" s="412"/>
      <c r="M54" s="413"/>
      <c r="N54" s="296" t="s">
        <v>142</v>
      </c>
      <c r="O54" s="301" t="s">
        <v>204</v>
      </c>
      <c r="P54" s="423"/>
      <c r="Q54" s="424"/>
      <c r="R54" s="410" t="s">
        <v>477</v>
      </c>
      <c r="S54" s="410"/>
      <c r="T54" s="410"/>
      <c r="U54" s="410"/>
      <c r="V54" s="400" t="s">
        <v>120</v>
      </c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 t="s">
        <v>323</v>
      </c>
      <c r="B55" s="410"/>
      <c r="C55" s="297" t="s">
        <v>204</v>
      </c>
      <c r="D55" s="297"/>
      <c r="E55" s="297" t="s">
        <v>469</v>
      </c>
      <c r="F55" s="411" t="s">
        <v>120</v>
      </c>
      <c r="G55" s="412"/>
      <c r="H55" s="412"/>
      <c r="I55" s="412"/>
      <c r="J55" s="412"/>
      <c r="K55" s="412"/>
      <c r="L55" s="412"/>
      <c r="M55" s="413"/>
      <c r="N55" s="296" t="s">
        <v>480</v>
      </c>
      <c r="O55" s="301" t="s">
        <v>136</v>
      </c>
      <c r="P55" s="423" t="s">
        <v>400</v>
      </c>
      <c r="Q55" s="424"/>
      <c r="R55" s="410" t="s">
        <v>479</v>
      </c>
      <c r="S55" s="410"/>
      <c r="T55" s="410"/>
      <c r="U55" s="410"/>
      <c r="V55" s="400" t="s">
        <v>120</v>
      </c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 t="s">
        <v>140</v>
      </c>
      <c r="B56" s="410"/>
      <c r="C56" s="297" t="s">
        <v>204</v>
      </c>
      <c r="D56" s="297" t="s">
        <v>117</v>
      </c>
      <c r="E56" s="297" t="s">
        <v>431</v>
      </c>
      <c r="F56" s="411" t="s">
        <v>306</v>
      </c>
      <c r="G56" s="412"/>
      <c r="H56" s="412"/>
      <c r="I56" s="412"/>
      <c r="J56" s="412"/>
      <c r="K56" s="412"/>
      <c r="L56" s="412"/>
      <c r="M56" s="413"/>
      <c r="N56" s="296" t="s">
        <v>124</v>
      </c>
      <c r="O56" s="301" t="s">
        <v>145</v>
      </c>
      <c r="P56" s="423" t="s">
        <v>122</v>
      </c>
      <c r="Q56" s="424"/>
      <c r="R56" s="410" t="s">
        <v>175</v>
      </c>
      <c r="S56" s="410"/>
      <c r="T56" s="410"/>
      <c r="U56" s="410"/>
      <c r="V56" s="400" t="s">
        <v>120</v>
      </c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 t="s">
        <v>140</v>
      </c>
      <c r="B57" s="410"/>
      <c r="C57" s="297" t="s">
        <v>191</v>
      </c>
      <c r="D57" s="297"/>
      <c r="E57" s="297" t="s">
        <v>229</v>
      </c>
      <c r="F57" s="411" t="s">
        <v>475</v>
      </c>
      <c r="G57" s="412"/>
      <c r="H57" s="412"/>
      <c r="I57" s="412"/>
      <c r="J57" s="412"/>
      <c r="K57" s="412"/>
      <c r="L57" s="412"/>
      <c r="M57" s="413"/>
      <c r="N57" s="296"/>
      <c r="O57" s="301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 t="s">
        <v>323</v>
      </c>
      <c r="B58" s="410"/>
      <c r="C58" s="297" t="s">
        <v>143</v>
      </c>
      <c r="D58" s="297" t="s">
        <v>471</v>
      </c>
      <c r="E58" s="297" t="s">
        <v>324</v>
      </c>
      <c r="F58" s="411" t="s">
        <v>120</v>
      </c>
      <c r="G58" s="412"/>
      <c r="H58" s="412"/>
      <c r="I58" s="412"/>
      <c r="J58" s="412"/>
      <c r="K58" s="412"/>
      <c r="L58" s="412"/>
      <c r="M58" s="413"/>
      <c r="N58" s="296"/>
      <c r="O58" s="301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 t="s">
        <v>124</v>
      </c>
      <c r="B59" s="410"/>
      <c r="C59" s="297" t="s">
        <v>217</v>
      </c>
      <c r="D59" s="297" t="s">
        <v>117</v>
      </c>
      <c r="E59" s="297" t="s">
        <v>158</v>
      </c>
      <c r="F59" s="411" t="s">
        <v>454</v>
      </c>
      <c r="G59" s="412"/>
      <c r="H59" s="412"/>
      <c r="I59" s="412"/>
      <c r="J59" s="412"/>
      <c r="K59" s="412"/>
      <c r="L59" s="412"/>
      <c r="M59" s="413"/>
      <c r="N59" s="296"/>
      <c r="O59" s="301"/>
      <c r="P59" s="423"/>
      <c r="Q59" s="424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</row>
    <row r="60" spans="1:32" ht="27" customHeight="1">
      <c r="A60" s="409"/>
      <c r="B60" s="410"/>
      <c r="C60" s="297"/>
      <c r="D60" s="297"/>
      <c r="E60" s="297"/>
      <c r="F60" s="411"/>
      <c r="G60" s="412"/>
      <c r="H60" s="412"/>
      <c r="I60" s="412"/>
      <c r="J60" s="412"/>
      <c r="K60" s="412"/>
      <c r="L60" s="412"/>
      <c r="M60" s="413"/>
      <c r="N60" s="296"/>
      <c r="O60" s="301"/>
      <c r="P60" s="410"/>
      <c r="Q60" s="410"/>
      <c r="R60" s="410"/>
      <c r="S60" s="410"/>
      <c r="T60" s="410"/>
      <c r="U60" s="410"/>
      <c r="V60" s="400"/>
      <c r="W60" s="400"/>
      <c r="X60" s="400"/>
      <c r="Y60" s="400"/>
      <c r="Z60" s="400"/>
      <c r="AA60" s="400"/>
      <c r="AB60" s="400"/>
      <c r="AC60" s="400"/>
      <c r="AD60" s="414"/>
      <c r="AF60" s="87">
        <f>8*3000</f>
        <v>24000</v>
      </c>
    </row>
    <row r="61" spans="1:32" ht="27" customHeight="1" thickBot="1">
      <c r="A61" s="415"/>
      <c r="B61" s="416"/>
      <c r="C61" s="298"/>
      <c r="D61" s="298"/>
      <c r="E61" s="298"/>
      <c r="F61" s="417"/>
      <c r="G61" s="418"/>
      <c r="H61" s="418"/>
      <c r="I61" s="418"/>
      <c r="J61" s="418"/>
      <c r="K61" s="418"/>
      <c r="L61" s="418"/>
      <c r="M61" s="419"/>
      <c r="N61" s="124"/>
      <c r="O61" s="114"/>
      <c r="P61" s="420"/>
      <c r="Q61" s="420"/>
      <c r="R61" s="420"/>
      <c r="S61" s="420"/>
      <c r="T61" s="420"/>
      <c r="U61" s="420"/>
      <c r="V61" s="421"/>
      <c r="W61" s="421"/>
      <c r="X61" s="421"/>
      <c r="Y61" s="421"/>
      <c r="Z61" s="421"/>
      <c r="AA61" s="421"/>
      <c r="AB61" s="421"/>
      <c r="AC61" s="421"/>
      <c r="AD61" s="422"/>
      <c r="AF61" s="87">
        <f>16*3000</f>
        <v>48000</v>
      </c>
    </row>
    <row r="62" spans="1:32" ht="27.75" thickBot="1">
      <c r="A62" s="407" t="s">
        <v>481</v>
      </c>
      <c r="B62" s="407"/>
      <c r="C62" s="407"/>
      <c r="D62" s="407"/>
      <c r="E62" s="407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408" t="s">
        <v>113</v>
      </c>
      <c r="B63" s="405"/>
      <c r="C63" s="299" t="s">
        <v>2</v>
      </c>
      <c r="D63" s="299" t="s">
        <v>37</v>
      </c>
      <c r="E63" s="299" t="s">
        <v>3</v>
      </c>
      <c r="F63" s="405" t="s">
        <v>110</v>
      </c>
      <c r="G63" s="405"/>
      <c r="H63" s="405"/>
      <c r="I63" s="405"/>
      <c r="J63" s="405"/>
      <c r="K63" s="405" t="s">
        <v>39</v>
      </c>
      <c r="L63" s="405"/>
      <c r="M63" s="299" t="s">
        <v>40</v>
      </c>
      <c r="N63" s="405" t="s">
        <v>41</v>
      </c>
      <c r="O63" s="405"/>
      <c r="P63" s="402" t="s">
        <v>42</v>
      </c>
      <c r="Q63" s="404"/>
      <c r="R63" s="402" t="s">
        <v>43</v>
      </c>
      <c r="S63" s="403"/>
      <c r="T63" s="403"/>
      <c r="U63" s="403"/>
      <c r="V63" s="403"/>
      <c r="W63" s="403"/>
      <c r="X63" s="403"/>
      <c r="Y63" s="403"/>
      <c r="Z63" s="403"/>
      <c r="AA63" s="404"/>
      <c r="AB63" s="405" t="s">
        <v>44</v>
      </c>
      <c r="AC63" s="405"/>
      <c r="AD63" s="406"/>
      <c r="AF63" s="87">
        <f>SUM(AF60:AF62)</f>
        <v>96000</v>
      </c>
    </row>
    <row r="64" spans="1:32" ht="25.5" customHeight="1">
      <c r="A64" s="396">
        <v>1</v>
      </c>
      <c r="B64" s="397"/>
      <c r="C64" s="117" t="s">
        <v>140</v>
      </c>
      <c r="D64" s="303"/>
      <c r="E64" s="300" t="s">
        <v>129</v>
      </c>
      <c r="F64" s="398" t="s">
        <v>482</v>
      </c>
      <c r="G64" s="390"/>
      <c r="H64" s="390"/>
      <c r="I64" s="390"/>
      <c r="J64" s="390"/>
      <c r="K64" s="390" t="s">
        <v>332</v>
      </c>
      <c r="L64" s="390"/>
      <c r="M64" s="51" t="s">
        <v>207</v>
      </c>
      <c r="N64" s="401" t="s">
        <v>143</v>
      </c>
      <c r="O64" s="401"/>
      <c r="P64" s="399">
        <v>200</v>
      </c>
      <c r="Q64" s="399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2</v>
      </c>
      <c r="B65" s="397"/>
      <c r="C65" s="117"/>
      <c r="D65" s="303"/>
      <c r="E65" s="300"/>
      <c r="F65" s="398"/>
      <c r="G65" s="390"/>
      <c r="H65" s="390"/>
      <c r="I65" s="390"/>
      <c r="J65" s="390"/>
      <c r="K65" s="390"/>
      <c r="L65" s="390"/>
      <c r="M65" s="51"/>
      <c r="N65" s="401"/>
      <c r="O65" s="401"/>
      <c r="P65" s="399"/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3</v>
      </c>
      <c r="B66" s="397"/>
      <c r="C66" s="117"/>
      <c r="D66" s="303"/>
      <c r="E66" s="300"/>
      <c r="F66" s="398"/>
      <c r="G66" s="390"/>
      <c r="H66" s="390"/>
      <c r="I66" s="390"/>
      <c r="J66" s="390"/>
      <c r="K66" s="390"/>
      <c r="L66" s="390"/>
      <c r="M66" s="51"/>
      <c r="N66" s="401"/>
      <c r="O66" s="401"/>
      <c r="P66" s="399"/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4</v>
      </c>
      <c r="B67" s="397"/>
      <c r="C67" s="117"/>
      <c r="D67" s="303"/>
      <c r="E67" s="300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5</v>
      </c>
      <c r="B68" s="397"/>
      <c r="C68" s="117"/>
      <c r="D68" s="303"/>
      <c r="E68" s="300"/>
      <c r="F68" s="398"/>
      <c r="G68" s="390"/>
      <c r="H68" s="390"/>
      <c r="I68" s="390"/>
      <c r="J68" s="390"/>
      <c r="K68" s="390"/>
      <c r="L68" s="390"/>
      <c r="M68" s="51"/>
      <c r="N68" s="401"/>
      <c r="O68" s="401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6</v>
      </c>
      <c r="B69" s="397"/>
      <c r="C69" s="117"/>
      <c r="D69" s="303"/>
      <c r="E69" s="300"/>
      <c r="F69" s="398"/>
      <c r="G69" s="390"/>
      <c r="H69" s="390"/>
      <c r="I69" s="390"/>
      <c r="J69" s="390"/>
      <c r="K69" s="390"/>
      <c r="L69" s="390"/>
      <c r="M69" s="51"/>
      <c r="N69" s="390"/>
      <c r="O69" s="390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7</v>
      </c>
      <c r="B70" s="397"/>
      <c r="C70" s="117"/>
      <c r="D70" s="303"/>
      <c r="E70" s="300"/>
      <c r="F70" s="398"/>
      <c r="G70" s="390"/>
      <c r="H70" s="390"/>
      <c r="I70" s="390"/>
      <c r="J70" s="390"/>
      <c r="K70" s="390"/>
      <c r="L70" s="390"/>
      <c r="M70" s="51"/>
      <c r="N70" s="401"/>
      <c r="O70" s="401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5.5" customHeight="1">
      <c r="A71" s="396">
        <v>8</v>
      </c>
      <c r="B71" s="397"/>
      <c r="C71" s="117"/>
      <c r="D71" s="303"/>
      <c r="E71" s="300"/>
      <c r="F71" s="398"/>
      <c r="G71" s="390"/>
      <c r="H71" s="390"/>
      <c r="I71" s="390"/>
      <c r="J71" s="390"/>
      <c r="K71" s="390"/>
      <c r="L71" s="390"/>
      <c r="M71" s="51"/>
      <c r="N71" s="390"/>
      <c r="O71" s="390"/>
      <c r="P71" s="399"/>
      <c r="Q71" s="399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390"/>
      <c r="AC71" s="390"/>
      <c r="AD71" s="391"/>
      <c r="AF71" s="50"/>
    </row>
    <row r="72" spans="1:32" ht="26.25" customHeight="1" thickBot="1">
      <c r="A72" s="370" t="s">
        <v>483</v>
      </c>
      <c r="B72" s="370"/>
      <c r="C72" s="370"/>
      <c r="D72" s="370"/>
      <c r="E72" s="370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371" t="s">
        <v>113</v>
      </c>
      <c r="B73" s="372"/>
      <c r="C73" s="302" t="s">
        <v>2</v>
      </c>
      <c r="D73" s="302" t="s">
        <v>37</v>
      </c>
      <c r="E73" s="302" t="s">
        <v>3</v>
      </c>
      <c r="F73" s="372" t="s">
        <v>38</v>
      </c>
      <c r="G73" s="372"/>
      <c r="H73" s="372"/>
      <c r="I73" s="372"/>
      <c r="J73" s="372"/>
      <c r="K73" s="392" t="s">
        <v>58</v>
      </c>
      <c r="L73" s="393"/>
      <c r="M73" s="393"/>
      <c r="N73" s="393"/>
      <c r="O73" s="393"/>
      <c r="P73" s="393"/>
      <c r="Q73" s="393"/>
      <c r="R73" s="393"/>
      <c r="S73" s="394"/>
      <c r="T73" s="372" t="s">
        <v>49</v>
      </c>
      <c r="U73" s="372"/>
      <c r="V73" s="392" t="s">
        <v>50</v>
      </c>
      <c r="W73" s="394"/>
      <c r="X73" s="393" t="s">
        <v>51</v>
      </c>
      <c r="Y73" s="393"/>
      <c r="Z73" s="393"/>
      <c r="AA73" s="393"/>
      <c r="AB73" s="393"/>
      <c r="AC73" s="393"/>
      <c r="AD73" s="395"/>
      <c r="AF73" s="50"/>
    </row>
    <row r="74" spans="1:32" ht="33.75" customHeight="1">
      <c r="A74" s="364">
        <v>1</v>
      </c>
      <c r="B74" s="365"/>
      <c r="C74" s="304" t="s">
        <v>114</v>
      </c>
      <c r="D74" s="304"/>
      <c r="E74" s="65" t="s">
        <v>119</v>
      </c>
      <c r="F74" s="379" t="s">
        <v>118</v>
      </c>
      <c r="G74" s="380"/>
      <c r="H74" s="380"/>
      <c r="I74" s="380"/>
      <c r="J74" s="381"/>
      <c r="K74" s="382" t="s">
        <v>156</v>
      </c>
      <c r="L74" s="383"/>
      <c r="M74" s="383"/>
      <c r="N74" s="383"/>
      <c r="O74" s="383"/>
      <c r="P74" s="383"/>
      <c r="Q74" s="383"/>
      <c r="R74" s="383"/>
      <c r="S74" s="384"/>
      <c r="T74" s="385">
        <v>43675</v>
      </c>
      <c r="U74" s="386"/>
      <c r="V74" s="387"/>
      <c r="W74" s="387"/>
      <c r="X74" s="388"/>
      <c r="Y74" s="388"/>
      <c r="Z74" s="388"/>
      <c r="AA74" s="388"/>
      <c r="AB74" s="388"/>
      <c r="AC74" s="388"/>
      <c r="AD74" s="389"/>
      <c r="AF74" s="50"/>
    </row>
    <row r="75" spans="1:32" ht="30" customHeight="1">
      <c r="A75" s="357">
        <f>A74+1</f>
        <v>2</v>
      </c>
      <c r="B75" s="358"/>
      <c r="C75" s="303"/>
      <c r="D75" s="303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ref="A76:A82" si="22">A75+1</f>
        <v>3</v>
      </c>
      <c r="B76" s="358"/>
      <c r="C76" s="303"/>
      <c r="D76" s="303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22"/>
        <v>4</v>
      </c>
      <c r="B77" s="358"/>
      <c r="C77" s="303"/>
      <c r="D77" s="303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22"/>
        <v>5</v>
      </c>
      <c r="B78" s="358"/>
      <c r="C78" s="303"/>
      <c r="D78" s="303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22"/>
        <v>6</v>
      </c>
      <c r="B79" s="358"/>
      <c r="C79" s="303"/>
      <c r="D79" s="303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22"/>
        <v>7</v>
      </c>
      <c r="B80" s="358"/>
      <c r="C80" s="303"/>
      <c r="D80" s="303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22"/>
        <v>8</v>
      </c>
      <c r="B81" s="358"/>
      <c r="C81" s="303"/>
      <c r="D81" s="303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0" customHeight="1">
      <c r="A82" s="357">
        <f t="shared" si="22"/>
        <v>9</v>
      </c>
      <c r="B82" s="358"/>
      <c r="C82" s="303"/>
      <c r="D82" s="303"/>
      <c r="E82" s="32"/>
      <c r="F82" s="358"/>
      <c r="G82" s="358"/>
      <c r="H82" s="358"/>
      <c r="I82" s="358"/>
      <c r="J82" s="358"/>
      <c r="K82" s="373"/>
      <c r="L82" s="374"/>
      <c r="M82" s="374"/>
      <c r="N82" s="374"/>
      <c r="O82" s="374"/>
      <c r="P82" s="374"/>
      <c r="Q82" s="374"/>
      <c r="R82" s="374"/>
      <c r="S82" s="375"/>
      <c r="T82" s="376"/>
      <c r="U82" s="376"/>
      <c r="V82" s="376"/>
      <c r="W82" s="376"/>
      <c r="X82" s="377"/>
      <c r="Y82" s="377"/>
      <c r="Z82" s="377"/>
      <c r="AA82" s="377"/>
      <c r="AB82" s="377"/>
      <c r="AC82" s="377"/>
      <c r="AD82" s="378"/>
      <c r="AF82" s="50"/>
    </row>
    <row r="83" spans="1:32" ht="36" thickBot="1">
      <c r="A83" s="370" t="s">
        <v>484</v>
      </c>
      <c r="B83" s="370"/>
      <c r="C83" s="370"/>
      <c r="D83" s="370"/>
      <c r="E83" s="370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371" t="s">
        <v>113</v>
      </c>
      <c r="B84" s="372"/>
      <c r="C84" s="362" t="s">
        <v>52</v>
      </c>
      <c r="D84" s="362"/>
      <c r="E84" s="362" t="s">
        <v>53</v>
      </c>
      <c r="F84" s="362"/>
      <c r="G84" s="362"/>
      <c r="H84" s="362"/>
      <c r="I84" s="362"/>
      <c r="J84" s="362"/>
      <c r="K84" s="362" t="s">
        <v>54</v>
      </c>
      <c r="L84" s="362"/>
      <c r="M84" s="362"/>
      <c r="N84" s="362"/>
      <c r="O84" s="362"/>
      <c r="P84" s="362"/>
      <c r="Q84" s="362"/>
      <c r="R84" s="362"/>
      <c r="S84" s="362"/>
      <c r="T84" s="362" t="s">
        <v>55</v>
      </c>
      <c r="U84" s="362"/>
      <c r="V84" s="362" t="s">
        <v>56</v>
      </c>
      <c r="W84" s="362"/>
      <c r="X84" s="362"/>
      <c r="Y84" s="362" t="s">
        <v>51</v>
      </c>
      <c r="Z84" s="362"/>
      <c r="AA84" s="362"/>
      <c r="AB84" s="362"/>
      <c r="AC84" s="362"/>
      <c r="AD84" s="363"/>
      <c r="AF84" s="50"/>
    </row>
    <row r="85" spans="1:32" ht="30.75" customHeight="1">
      <c r="A85" s="364">
        <v>1</v>
      </c>
      <c r="B85" s="365"/>
      <c r="C85" s="366">
        <v>11</v>
      </c>
      <c r="D85" s="366"/>
      <c r="E85" s="366" t="s">
        <v>485</v>
      </c>
      <c r="F85" s="366"/>
      <c r="G85" s="366"/>
      <c r="H85" s="366"/>
      <c r="I85" s="366"/>
      <c r="J85" s="366"/>
      <c r="K85" s="366" t="s">
        <v>486</v>
      </c>
      <c r="L85" s="366"/>
      <c r="M85" s="366"/>
      <c r="N85" s="366"/>
      <c r="O85" s="366"/>
      <c r="P85" s="366"/>
      <c r="Q85" s="366"/>
      <c r="R85" s="366"/>
      <c r="S85" s="366"/>
      <c r="T85" s="366" t="s">
        <v>487</v>
      </c>
      <c r="U85" s="366"/>
      <c r="V85" s="367">
        <v>700000</v>
      </c>
      <c r="W85" s="367"/>
      <c r="X85" s="367"/>
      <c r="Y85" s="368"/>
      <c r="Z85" s="368"/>
      <c r="AA85" s="368"/>
      <c r="AB85" s="368"/>
      <c r="AC85" s="368"/>
      <c r="AD85" s="369"/>
      <c r="AF85" s="50"/>
    </row>
    <row r="86" spans="1:32" ht="30.75" customHeight="1">
      <c r="A86" s="357">
        <v>2</v>
      </c>
      <c r="B86" s="358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60"/>
      <c r="U86" s="360"/>
      <c r="V86" s="361"/>
      <c r="W86" s="361"/>
      <c r="X86" s="361"/>
      <c r="Y86" s="350"/>
      <c r="Z86" s="350"/>
      <c r="AA86" s="350"/>
      <c r="AB86" s="350"/>
      <c r="AC86" s="350"/>
      <c r="AD86" s="351"/>
      <c r="AF86" s="50"/>
    </row>
    <row r="87" spans="1:32" ht="30.75" customHeight="1" thickBot="1">
      <c r="A87" s="352">
        <v>3</v>
      </c>
      <c r="B87" s="353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55"/>
      <c r="Z87" s="355"/>
      <c r="AA87" s="355"/>
      <c r="AB87" s="355"/>
      <c r="AC87" s="355"/>
      <c r="AD87" s="356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AE02-2764-4781-9843-B1F7AEEF3898}"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488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315" t="s">
        <v>17</v>
      </c>
      <c r="L5" s="315" t="s">
        <v>18</v>
      </c>
      <c r="M5" s="315" t="s">
        <v>19</v>
      </c>
      <c r="N5" s="31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17" si="7">AC6*AB6*(1-O6)</f>
        <v>0</v>
      </c>
      <c r="AE6" s="36">
        <f t="shared" ref="AE6:AE20" si="8">$AD$21</f>
        <v>0.46385126661650361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0.46385126661650361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40000</v>
      </c>
      <c r="J8" s="14">
        <v>3987</v>
      </c>
      <c r="K8" s="15">
        <f>L8+2529+4548+3870</f>
        <v>14931</v>
      </c>
      <c r="L8" s="15">
        <f>1281+2703</f>
        <v>3984</v>
      </c>
      <c r="M8" s="15">
        <f t="shared" si="1"/>
        <v>3984</v>
      </c>
      <c r="N8" s="15">
        <v>0</v>
      </c>
      <c r="O8" s="58">
        <f t="shared" si="2"/>
        <v>0</v>
      </c>
      <c r="P8" s="39">
        <f t="shared" si="3"/>
        <v>18</v>
      </c>
      <c r="Q8" s="40">
        <f t="shared" si="4"/>
        <v>6</v>
      </c>
      <c r="R8" s="7"/>
      <c r="S8" s="6">
        <v>6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0.99924755455229497</v>
      </c>
      <c r="AC8" s="9">
        <f t="shared" si="6"/>
        <v>0.75</v>
      </c>
      <c r="AD8" s="10">
        <f t="shared" si="7"/>
        <v>0.74943566591422117</v>
      </c>
      <c r="AE8" s="36">
        <f t="shared" si="8"/>
        <v>0.46385126661650361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124</v>
      </c>
      <c r="D9" s="52" t="s">
        <v>221</v>
      </c>
      <c r="E9" s="53" t="s">
        <v>458</v>
      </c>
      <c r="F9" s="30" t="s">
        <v>127</v>
      </c>
      <c r="G9" s="33">
        <v>1</v>
      </c>
      <c r="H9" s="35">
        <v>24</v>
      </c>
      <c r="I9" s="7">
        <v>15000</v>
      </c>
      <c r="J9" s="14">
        <v>1014</v>
      </c>
      <c r="K9" s="15">
        <f>L9</f>
        <v>1014</v>
      </c>
      <c r="L9" s="15">
        <v>1014</v>
      </c>
      <c r="M9" s="15">
        <f t="shared" si="1"/>
        <v>1014</v>
      </c>
      <c r="N9" s="15">
        <v>0</v>
      </c>
      <c r="O9" s="58">
        <f t="shared" si="2"/>
        <v>0</v>
      </c>
      <c r="P9" s="39">
        <f t="shared" si="3"/>
        <v>6</v>
      </c>
      <c r="Q9" s="40">
        <f t="shared" si="4"/>
        <v>18</v>
      </c>
      <c r="R9" s="7"/>
      <c r="S9" s="6">
        <v>18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0.25</v>
      </c>
      <c r="AD9" s="10">
        <f t="shared" si="7"/>
        <v>0.25</v>
      </c>
      <c r="AE9" s="36">
        <f t="shared" si="8"/>
        <v>0.46385126661650361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480</v>
      </c>
      <c r="D10" s="52" t="s">
        <v>400</v>
      </c>
      <c r="E10" s="53" t="s">
        <v>479</v>
      </c>
      <c r="F10" s="30" t="s">
        <v>130</v>
      </c>
      <c r="G10" s="33">
        <v>2</v>
      </c>
      <c r="H10" s="35">
        <v>24</v>
      </c>
      <c r="I10" s="7">
        <v>1000</v>
      </c>
      <c r="J10" s="5">
        <v>6408</v>
      </c>
      <c r="K10" s="15">
        <f>L10</f>
        <v>6408</v>
      </c>
      <c r="L10" s="15">
        <f>3204*2</f>
        <v>6408</v>
      </c>
      <c r="M10" s="15">
        <f t="shared" si="1"/>
        <v>6408</v>
      </c>
      <c r="N10" s="15">
        <v>0</v>
      </c>
      <c r="O10" s="58">
        <f t="shared" si="2"/>
        <v>0</v>
      </c>
      <c r="P10" s="39">
        <f t="shared" si="3"/>
        <v>16</v>
      </c>
      <c r="Q10" s="40">
        <f t="shared" si="4"/>
        <v>8</v>
      </c>
      <c r="R10" s="7"/>
      <c r="S10" s="6"/>
      <c r="T10" s="16"/>
      <c r="U10" s="16"/>
      <c r="V10" s="17"/>
      <c r="W10" s="5">
        <v>8</v>
      </c>
      <c r="X10" s="16"/>
      <c r="Y10" s="16"/>
      <c r="Z10" s="16"/>
      <c r="AA10" s="18"/>
      <c r="AB10" s="8">
        <f t="shared" si="5"/>
        <v>1</v>
      </c>
      <c r="AC10" s="9">
        <f t="shared" si="6"/>
        <v>0.66666666666666663</v>
      </c>
      <c r="AD10" s="10">
        <f>AC10*AB10*(1-O10)</f>
        <v>0.66666666666666663</v>
      </c>
      <c r="AE10" s="36">
        <f t="shared" si="8"/>
        <v>0.46385126661650361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142</v>
      </c>
      <c r="D11" s="52" t="s">
        <v>221</v>
      </c>
      <c r="E11" s="53" t="s">
        <v>478</v>
      </c>
      <c r="F11" s="30" t="s">
        <v>121</v>
      </c>
      <c r="G11" s="33">
        <v>1</v>
      </c>
      <c r="H11" s="35">
        <v>24</v>
      </c>
      <c r="I11" s="7">
        <v>600</v>
      </c>
      <c r="J11" s="14">
        <v>1440</v>
      </c>
      <c r="K11" s="15">
        <f>L11</f>
        <v>1440</v>
      </c>
      <c r="L11" s="15">
        <v>1440</v>
      </c>
      <c r="M11" s="15">
        <f t="shared" si="1"/>
        <v>1440</v>
      </c>
      <c r="N11" s="15">
        <v>0</v>
      </c>
      <c r="O11" s="58">
        <f t="shared" si="2"/>
        <v>0</v>
      </c>
      <c r="P11" s="39">
        <f t="shared" si="3"/>
        <v>8</v>
      </c>
      <c r="Q11" s="40">
        <f t="shared" si="4"/>
        <v>16</v>
      </c>
      <c r="R11" s="7"/>
      <c r="S11" s="6"/>
      <c r="T11" s="16"/>
      <c r="U11" s="16"/>
      <c r="V11" s="17"/>
      <c r="W11" s="5">
        <v>16</v>
      </c>
      <c r="X11" s="16"/>
      <c r="Y11" s="16"/>
      <c r="Z11" s="16"/>
      <c r="AA11" s="18"/>
      <c r="AB11" s="8">
        <f t="shared" si="5"/>
        <v>1</v>
      </c>
      <c r="AC11" s="9">
        <f t="shared" si="6"/>
        <v>0.33333333333333331</v>
      </c>
      <c r="AD11" s="10">
        <f t="shared" ref="AD11" si="10">AC11*AB11*(1-O11)</f>
        <v>0.33333333333333331</v>
      </c>
      <c r="AE11" s="36">
        <f t="shared" si="8"/>
        <v>0.46385126661650361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260</v>
      </c>
      <c r="F12" s="30" t="s">
        <v>121</v>
      </c>
      <c r="G12" s="33">
        <v>1</v>
      </c>
      <c r="H12" s="35">
        <v>20</v>
      </c>
      <c r="I12" s="7">
        <v>15000</v>
      </c>
      <c r="J12" s="14">
        <v>3013</v>
      </c>
      <c r="K12" s="15">
        <f>L12+3623</f>
        <v>6636</v>
      </c>
      <c r="L12" s="15">
        <f>2316+697</f>
        <v>3013</v>
      </c>
      <c r="M12" s="15">
        <f t="shared" si="1"/>
        <v>3013</v>
      </c>
      <c r="N12" s="15">
        <v>0</v>
      </c>
      <c r="O12" s="58">
        <f t="shared" si="2"/>
        <v>0</v>
      </c>
      <c r="P12" s="39">
        <f t="shared" si="3"/>
        <v>17</v>
      </c>
      <c r="Q12" s="40">
        <f t="shared" si="4"/>
        <v>7</v>
      </c>
      <c r="R12" s="7"/>
      <c r="S12" s="6">
        <v>7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0.70833333333333337</v>
      </c>
      <c r="AD12" s="10">
        <f t="shared" si="7"/>
        <v>0.70833333333333337</v>
      </c>
      <c r="AE12" s="36">
        <f t="shared" si="8"/>
        <v>0.46385126661650361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142</v>
      </c>
      <c r="D13" s="52" t="s">
        <v>117</v>
      </c>
      <c r="E13" s="53" t="s">
        <v>477</v>
      </c>
      <c r="F13" s="30" t="s">
        <v>199</v>
      </c>
      <c r="G13" s="33">
        <v>1</v>
      </c>
      <c r="H13" s="35">
        <v>24</v>
      </c>
      <c r="I13" s="7">
        <v>600</v>
      </c>
      <c r="J13" s="14">
        <v>793</v>
      </c>
      <c r="K13" s="15">
        <f>L13</f>
        <v>793</v>
      </c>
      <c r="L13" s="15">
        <v>793</v>
      </c>
      <c r="M13" s="15">
        <f t="shared" si="1"/>
        <v>793</v>
      </c>
      <c r="N13" s="15">
        <v>0</v>
      </c>
      <c r="O13" s="58">
        <f t="shared" si="2"/>
        <v>0</v>
      </c>
      <c r="P13" s="39">
        <f t="shared" si="3"/>
        <v>6</v>
      </c>
      <c r="Q13" s="40">
        <f t="shared" si="4"/>
        <v>18</v>
      </c>
      <c r="R13" s="7"/>
      <c r="S13" s="6"/>
      <c r="T13" s="16"/>
      <c r="U13" s="16"/>
      <c r="V13" s="17"/>
      <c r="W13" s="5">
        <v>18</v>
      </c>
      <c r="X13" s="16"/>
      <c r="Y13" s="16"/>
      <c r="Z13" s="16"/>
      <c r="AA13" s="18"/>
      <c r="AB13" s="8">
        <f t="shared" si="5"/>
        <v>1</v>
      </c>
      <c r="AC13" s="9">
        <f t="shared" si="6"/>
        <v>0.25</v>
      </c>
      <c r="AD13" s="10">
        <f t="shared" si="7"/>
        <v>0.25</v>
      </c>
      <c r="AE13" s="36">
        <f t="shared" si="8"/>
        <v>0.46385126661650361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140</v>
      </c>
      <c r="D14" s="52" t="s">
        <v>229</v>
      </c>
      <c r="E14" s="53"/>
      <c r="F14" s="30" t="s">
        <v>216</v>
      </c>
      <c r="G14" s="12" t="s">
        <v>470</v>
      </c>
      <c r="H14" s="13">
        <v>28</v>
      </c>
      <c r="I14" s="7">
        <v>3000</v>
      </c>
      <c r="J14" s="5">
        <v>628</v>
      </c>
      <c r="K14" s="15">
        <f>L14</f>
        <v>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0.46385126661650361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441</v>
      </c>
      <c r="D15" s="52"/>
      <c r="E15" s="53" t="s">
        <v>442</v>
      </c>
      <c r="F15" s="12" t="s">
        <v>443</v>
      </c>
      <c r="G15" s="12">
        <v>8</v>
      </c>
      <c r="H15" s="13">
        <v>24</v>
      </c>
      <c r="I15" s="31">
        <v>10000</v>
      </c>
      <c r="J15" s="14">
        <v>7008</v>
      </c>
      <c r="K15" s="15">
        <f>L15+17192</f>
        <v>24200</v>
      </c>
      <c r="L15" s="15">
        <f>876*8</f>
        <v>7008</v>
      </c>
      <c r="M15" s="15">
        <f t="shared" si="1"/>
        <v>7008</v>
      </c>
      <c r="N15" s="15">
        <v>0</v>
      </c>
      <c r="O15" s="58">
        <f t="shared" si="2"/>
        <v>0</v>
      </c>
      <c r="P15" s="39">
        <f t="shared" si="3"/>
        <v>4</v>
      </c>
      <c r="Q15" s="40">
        <f t="shared" si="4"/>
        <v>20</v>
      </c>
      <c r="R15" s="7"/>
      <c r="S15" s="6"/>
      <c r="T15" s="16"/>
      <c r="U15" s="16"/>
      <c r="V15" s="17"/>
      <c r="W15" s="5">
        <v>20</v>
      </c>
      <c r="X15" s="16"/>
      <c r="Y15" s="16"/>
      <c r="Z15" s="16"/>
      <c r="AA15" s="18"/>
      <c r="AB15" s="8">
        <f t="shared" si="5"/>
        <v>1</v>
      </c>
      <c r="AC15" s="9">
        <f t="shared" si="6"/>
        <v>0.16666666666666666</v>
      </c>
      <c r="AD15" s="10">
        <f t="shared" si="7"/>
        <v>0.16666666666666666</v>
      </c>
      <c r="AE15" s="36">
        <f t="shared" si="8"/>
        <v>0.46385126661650361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129</v>
      </c>
      <c r="E16" s="53" t="s">
        <v>259</v>
      </c>
      <c r="F16" s="30" t="s">
        <v>130</v>
      </c>
      <c r="G16" s="12">
        <v>1</v>
      </c>
      <c r="H16" s="13">
        <v>28</v>
      </c>
      <c r="I16" s="7">
        <v>9000</v>
      </c>
      <c r="J16" s="14">
        <v>4928</v>
      </c>
      <c r="K16" s="15">
        <f>L16+5027+5503+5566+4928</f>
        <v>21024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0.46385126661650361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140</v>
      </c>
      <c r="D17" s="52" t="s">
        <v>129</v>
      </c>
      <c r="E17" s="53" t="s">
        <v>482</v>
      </c>
      <c r="F17" s="30" t="s">
        <v>332</v>
      </c>
      <c r="G17" s="33">
        <v>4</v>
      </c>
      <c r="H17" s="35">
        <v>20</v>
      </c>
      <c r="I17" s="7">
        <v>15000</v>
      </c>
      <c r="J17" s="14">
        <v>15912</v>
      </c>
      <c r="K17" s="15">
        <f>L17</f>
        <v>15912</v>
      </c>
      <c r="L17" s="15">
        <f>1667*4+2311*4</f>
        <v>15912</v>
      </c>
      <c r="M17" s="15">
        <f t="shared" si="1"/>
        <v>15912</v>
      </c>
      <c r="N17" s="15">
        <v>0</v>
      </c>
      <c r="O17" s="58">
        <f t="shared" si="2"/>
        <v>0</v>
      </c>
      <c r="P17" s="39">
        <f t="shared" si="3"/>
        <v>24</v>
      </c>
      <c r="Q17" s="40">
        <f t="shared" si="4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1</v>
      </c>
      <c r="AD17" s="10">
        <f t="shared" si="7"/>
        <v>1</v>
      </c>
      <c r="AE17" s="36">
        <f t="shared" si="8"/>
        <v>0.46385126661650361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125</v>
      </c>
      <c r="E18" s="53" t="s">
        <v>137</v>
      </c>
      <c r="F18" s="30" t="s">
        <v>127</v>
      </c>
      <c r="G18" s="33">
        <v>1</v>
      </c>
      <c r="H18" s="35">
        <v>24</v>
      </c>
      <c r="I18" s="7">
        <v>12000</v>
      </c>
      <c r="J18" s="5">
        <v>3767</v>
      </c>
      <c r="K18" s="15">
        <f>L18+1606+3446+4761</f>
        <v>13580</v>
      </c>
      <c r="L18" s="15">
        <f>1326+2441</f>
        <v>3767</v>
      </c>
      <c r="M18" s="15">
        <f t="shared" si="1"/>
        <v>3767</v>
      </c>
      <c r="N18" s="15">
        <v>0</v>
      </c>
      <c r="O18" s="58">
        <f t="shared" si="2"/>
        <v>0</v>
      </c>
      <c r="P18" s="39">
        <f t="shared" si="3"/>
        <v>20</v>
      </c>
      <c r="Q18" s="40">
        <f t="shared" si="4"/>
        <v>4</v>
      </c>
      <c r="R18" s="7"/>
      <c r="S18" s="6">
        <v>4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0.83333333333333337</v>
      </c>
      <c r="AD18" s="10">
        <f>AC18*AB18*(1-O18)</f>
        <v>0.83333333333333337</v>
      </c>
      <c r="AE18" s="36">
        <f t="shared" si="8"/>
        <v>0.46385126661650361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158</v>
      </c>
      <c r="F19" s="30" t="s">
        <v>121</v>
      </c>
      <c r="G19" s="33">
        <v>1</v>
      </c>
      <c r="H19" s="35">
        <v>24</v>
      </c>
      <c r="I19" s="7">
        <v>35000</v>
      </c>
      <c r="J19" s="14">
        <v>5042</v>
      </c>
      <c r="K19" s="15">
        <f>L19+4868+3099+4296+3384</f>
        <v>20689</v>
      </c>
      <c r="L19" s="15">
        <f>2517+2525</f>
        <v>5042</v>
      </c>
      <c r="M19" s="15">
        <f t="shared" si="1"/>
        <v>5042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 t="shared" ref="AD19:AD20" si="11">AC19*AB19*(1-O19)</f>
        <v>1</v>
      </c>
      <c r="AE19" s="36">
        <f t="shared" si="8"/>
        <v>0.46385126661650361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383</v>
      </c>
      <c r="F20" s="12" t="s">
        <v>116</v>
      </c>
      <c r="G20" s="12">
        <v>3</v>
      </c>
      <c r="H20" s="35">
        <v>20</v>
      </c>
      <c r="I20" s="7">
        <v>100000</v>
      </c>
      <c r="J20" s="14">
        <v>82592</v>
      </c>
      <c r="K20" s="15">
        <f>L20</f>
        <v>82592</v>
      </c>
      <c r="L20" s="15">
        <f>9105*4+11543*4</f>
        <v>82592</v>
      </c>
      <c r="M20" s="15">
        <f t="shared" si="1"/>
        <v>82592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si="11"/>
        <v>1</v>
      </c>
      <c r="AE20" s="36">
        <f t="shared" si="8"/>
        <v>0.46385126661650361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2">SUM(I6:I20)</f>
        <v>277200</v>
      </c>
      <c r="J21" s="19">
        <f t="shared" si="12"/>
        <v>138593</v>
      </c>
      <c r="K21" s="20">
        <f t="shared" si="12"/>
        <v>220767</v>
      </c>
      <c r="L21" s="21">
        <f t="shared" si="12"/>
        <v>130973</v>
      </c>
      <c r="M21" s="20">
        <f t="shared" si="12"/>
        <v>130973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167</v>
      </c>
      <c r="Q21" s="43">
        <f t="shared" si="13"/>
        <v>193</v>
      </c>
      <c r="R21" s="23">
        <f t="shared" si="13"/>
        <v>48</v>
      </c>
      <c r="S21" s="24">
        <f t="shared" si="13"/>
        <v>59</v>
      </c>
      <c r="T21" s="24">
        <f t="shared" si="13"/>
        <v>0</v>
      </c>
      <c r="U21" s="24">
        <f t="shared" si="13"/>
        <v>0</v>
      </c>
      <c r="V21" s="25">
        <f t="shared" si="13"/>
        <v>24</v>
      </c>
      <c r="W21" s="26">
        <f t="shared" si="13"/>
        <v>62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0.73328317030348633</v>
      </c>
      <c r="AC21" s="4">
        <f>SUM(AC6:AC20)/15</f>
        <v>0.46388888888888885</v>
      </c>
      <c r="AD21" s="4">
        <f>SUM(AD6:AD20)/15</f>
        <v>0.46385126661650361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489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491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314" t="s">
        <v>46</v>
      </c>
      <c r="D50" s="314" t="s">
        <v>47</v>
      </c>
      <c r="E50" s="314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314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09" t="s">
        <v>124</v>
      </c>
      <c r="B51" s="410"/>
      <c r="C51" s="312" t="s">
        <v>145</v>
      </c>
      <c r="D51" s="312" t="s">
        <v>122</v>
      </c>
      <c r="E51" s="312" t="s">
        <v>175</v>
      </c>
      <c r="F51" s="411" t="s">
        <v>454</v>
      </c>
      <c r="G51" s="412"/>
      <c r="H51" s="412"/>
      <c r="I51" s="412"/>
      <c r="J51" s="412"/>
      <c r="K51" s="412"/>
      <c r="L51" s="412"/>
      <c r="M51" s="413"/>
      <c r="N51" s="311" t="s">
        <v>124</v>
      </c>
      <c r="O51" s="309" t="s">
        <v>189</v>
      </c>
      <c r="P51" s="423" t="s">
        <v>221</v>
      </c>
      <c r="Q51" s="424"/>
      <c r="R51" s="410" t="s">
        <v>458</v>
      </c>
      <c r="S51" s="410"/>
      <c r="T51" s="410"/>
      <c r="U51" s="410"/>
      <c r="V51" s="400" t="s">
        <v>126</v>
      </c>
      <c r="W51" s="400"/>
      <c r="X51" s="400"/>
      <c r="Y51" s="400"/>
      <c r="Z51" s="400"/>
      <c r="AA51" s="400"/>
      <c r="AB51" s="400"/>
      <c r="AC51" s="400"/>
      <c r="AD51" s="414"/>
    </row>
    <row r="52" spans="1:32" ht="27" customHeight="1">
      <c r="A52" s="409" t="s">
        <v>124</v>
      </c>
      <c r="B52" s="410"/>
      <c r="C52" s="312" t="s">
        <v>189</v>
      </c>
      <c r="D52" s="312" t="s">
        <v>221</v>
      </c>
      <c r="E52" s="312" t="s">
        <v>458</v>
      </c>
      <c r="F52" s="411" t="s">
        <v>490</v>
      </c>
      <c r="G52" s="412"/>
      <c r="H52" s="412"/>
      <c r="I52" s="412"/>
      <c r="J52" s="412"/>
      <c r="K52" s="412"/>
      <c r="L52" s="412"/>
      <c r="M52" s="413"/>
      <c r="N52" s="311" t="s">
        <v>114</v>
      </c>
      <c r="O52" s="309" t="s">
        <v>128</v>
      </c>
      <c r="P52" s="423" t="s">
        <v>125</v>
      </c>
      <c r="Q52" s="424"/>
      <c r="R52" s="410" t="s">
        <v>492</v>
      </c>
      <c r="S52" s="410"/>
      <c r="T52" s="410"/>
      <c r="U52" s="410"/>
      <c r="V52" s="400" t="s">
        <v>120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124</v>
      </c>
      <c r="B53" s="410"/>
      <c r="C53" s="312" t="s">
        <v>176</v>
      </c>
      <c r="D53" s="312" t="s">
        <v>117</v>
      </c>
      <c r="E53" s="312" t="s">
        <v>260</v>
      </c>
      <c r="F53" s="411" t="s">
        <v>454</v>
      </c>
      <c r="G53" s="412"/>
      <c r="H53" s="412"/>
      <c r="I53" s="412"/>
      <c r="J53" s="412"/>
      <c r="K53" s="412"/>
      <c r="L53" s="412"/>
      <c r="M53" s="413"/>
      <c r="N53" s="311" t="s">
        <v>114</v>
      </c>
      <c r="O53" s="309" t="s">
        <v>217</v>
      </c>
      <c r="P53" s="423" t="s">
        <v>117</v>
      </c>
      <c r="Q53" s="424"/>
      <c r="R53" s="410" t="s">
        <v>493</v>
      </c>
      <c r="S53" s="410"/>
      <c r="T53" s="410"/>
      <c r="U53" s="410"/>
      <c r="V53" s="400" t="s">
        <v>120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142</v>
      </c>
      <c r="B54" s="410"/>
      <c r="C54" s="312" t="s">
        <v>204</v>
      </c>
      <c r="D54" s="312" t="s">
        <v>117</v>
      </c>
      <c r="E54" s="312" t="s">
        <v>477</v>
      </c>
      <c r="F54" s="411" t="s">
        <v>120</v>
      </c>
      <c r="G54" s="412"/>
      <c r="H54" s="412"/>
      <c r="I54" s="412"/>
      <c r="J54" s="412"/>
      <c r="K54" s="412"/>
      <c r="L54" s="412"/>
      <c r="M54" s="413"/>
      <c r="N54" s="311"/>
      <c r="O54" s="309"/>
      <c r="P54" s="423"/>
      <c r="Q54" s="424"/>
      <c r="R54" s="410"/>
      <c r="S54" s="410"/>
      <c r="T54" s="410"/>
      <c r="U54" s="410"/>
      <c r="V54" s="400"/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 t="s">
        <v>142</v>
      </c>
      <c r="B55" s="410"/>
      <c r="C55" s="312" t="s">
        <v>138</v>
      </c>
      <c r="D55" s="312" t="s">
        <v>221</v>
      </c>
      <c r="E55" s="312" t="s">
        <v>478</v>
      </c>
      <c r="F55" s="411" t="s">
        <v>120</v>
      </c>
      <c r="G55" s="412"/>
      <c r="H55" s="412"/>
      <c r="I55" s="412"/>
      <c r="J55" s="412"/>
      <c r="K55" s="412"/>
      <c r="L55" s="412"/>
      <c r="M55" s="413"/>
      <c r="N55" s="311"/>
      <c r="O55" s="309"/>
      <c r="P55" s="423"/>
      <c r="Q55" s="424"/>
      <c r="R55" s="410"/>
      <c r="S55" s="410"/>
      <c r="T55" s="410"/>
      <c r="U55" s="410"/>
      <c r="V55" s="400"/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 t="s">
        <v>140</v>
      </c>
      <c r="B56" s="410"/>
      <c r="C56" s="312" t="s">
        <v>143</v>
      </c>
      <c r="D56" s="312" t="s">
        <v>129</v>
      </c>
      <c r="E56" s="312" t="s">
        <v>482</v>
      </c>
      <c r="F56" s="411" t="s">
        <v>120</v>
      </c>
      <c r="G56" s="412"/>
      <c r="H56" s="412"/>
      <c r="I56" s="412"/>
      <c r="J56" s="412"/>
      <c r="K56" s="412"/>
      <c r="L56" s="412"/>
      <c r="M56" s="413"/>
      <c r="N56" s="311"/>
      <c r="O56" s="309"/>
      <c r="P56" s="423"/>
      <c r="Q56" s="424"/>
      <c r="R56" s="410"/>
      <c r="S56" s="410"/>
      <c r="T56" s="410"/>
      <c r="U56" s="410"/>
      <c r="V56" s="400"/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/>
      <c r="B57" s="410"/>
      <c r="C57" s="312"/>
      <c r="D57" s="312"/>
      <c r="E57" s="312"/>
      <c r="F57" s="411"/>
      <c r="G57" s="412"/>
      <c r="H57" s="412"/>
      <c r="I57" s="412"/>
      <c r="J57" s="412"/>
      <c r="K57" s="412"/>
      <c r="L57" s="412"/>
      <c r="M57" s="413"/>
      <c r="N57" s="311"/>
      <c r="O57" s="309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/>
      <c r="B58" s="410"/>
      <c r="C58" s="312"/>
      <c r="D58" s="312"/>
      <c r="E58" s="312"/>
      <c r="F58" s="411"/>
      <c r="G58" s="412"/>
      <c r="H58" s="412"/>
      <c r="I58" s="412"/>
      <c r="J58" s="412"/>
      <c r="K58" s="412"/>
      <c r="L58" s="412"/>
      <c r="M58" s="413"/>
      <c r="N58" s="311"/>
      <c r="O58" s="309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312"/>
      <c r="D59" s="312"/>
      <c r="E59" s="312"/>
      <c r="F59" s="411"/>
      <c r="G59" s="412"/>
      <c r="H59" s="412"/>
      <c r="I59" s="412"/>
      <c r="J59" s="412"/>
      <c r="K59" s="412"/>
      <c r="L59" s="412"/>
      <c r="M59" s="413"/>
      <c r="N59" s="311"/>
      <c r="O59" s="309"/>
      <c r="P59" s="410"/>
      <c r="Q59" s="410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  <c r="AF59" s="87">
        <f>8*3000</f>
        <v>24000</v>
      </c>
    </row>
    <row r="60" spans="1:32" ht="27" customHeight="1" thickBot="1">
      <c r="A60" s="415"/>
      <c r="B60" s="416"/>
      <c r="C60" s="313"/>
      <c r="D60" s="313"/>
      <c r="E60" s="313"/>
      <c r="F60" s="417"/>
      <c r="G60" s="418"/>
      <c r="H60" s="418"/>
      <c r="I60" s="418"/>
      <c r="J60" s="418"/>
      <c r="K60" s="418"/>
      <c r="L60" s="418"/>
      <c r="M60" s="419"/>
      <c r="N60" s="124"/>
      <c r="O60" s="114"/>
      <c r="P60" s="420"/>
      <c r="Q60" s="420"/>
      <c r="R60" s="420"/>
      <c r="S60" s="420"/>
      <c r="T60" s="420"/>
      <c r="U60" s="420"/>
      <c r="V60" s="421"/>
      <c r="W60" s="421"/>
      <c r="X60" s="421"/>
      <c r="Y60" s="421"/>
      <c r="Z60" s="421"/>
      <c r="AA60" s="421"/>
      <c r="AB60" s="421"/>
      <c r="AC60" s="421"/>
      <c r="AD60" s="422"/>
      <c r="AF60" s="87">
        <f>16*3000</f>
        <v>48000</v>
      </c>
    </row>
    <row r="61" spans="1:32" ht="27.75" thickBot="1">
      <c r="A61" s="407" t="s">
        <v>494</v>
      </c>
      <c r="B61" s="407"/>
      <c r="C61" s="407"/>
      <c r="D61" s="407"/>
      <c r="E61" s="40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08" t="s">
        <v>113</v>
      </c>
      <c r="B62" s="405"/>
      <c r="C62" s="310" t="s">
        <v>2</v>
      </c>
      <c r="D62" s="310" t="s">
        <v>37</v>
      </c>
      <c r="E62" s="310" t="s">
        <v>3</v>
      </c>
      <c r="F62" s="405" t="s">
        <v>110</v>
      </c>
      <c r="G62" s="405"/>
      <c r="H62" s="405"/>
      <c r="I62" s="405"/>
      <c r="J62" s="405"/>
      <c r="K62" s="405" t="s">
        <v>39</v>
      </c>
      <c r="L62" s="405"/>
      <c r="M62" s="310" t="s">
        <v>40</v>
      </c>
      <c r="N62" s="405" t="s">
        <v>41</v>
      </c>
      <c r="O62" s="405"/>
      <c r="P62" s="402" t="s">
        <v>42</v>
      </c>
      <c r="Q62" s="404"/>
      <c r="R62" s="402" t="s">
        <v>43</v>
      </c>
      <c r="S62" s="403"/>
      <c r="T62" s="403"/>
      <c r="U62" s="403"/>
      <c r="V62" s="403"/>
      <c r="W62" s="403"/>
      <c r="X62" s="403"/>
      <c r="Y62" s="403"/>
      <c r="Z62" s="403"/>
      <c r="AA62" s="404"/>
      <c r="AB62" s="405" t="s">
        <v>44</v>
      </c>
      <c r="AC62" s="405"/>
      <c r="AD62" s="406"/>
      <c r="AF62" s="87">
        <f>SUM(AF59:AF61)</f>
        <v>96000</v>
      </c>
    </row>
    <row r="63" spans="1:32" ht="25.5" customHeight="1">
      <c r="A63" s="396">
        <v>1</v>
      </c>
      <c r="B63" s="397"/>
      <c r="C63" s="117" t="s">
        <v>142</v>
      </c>
      <c r="D63" s="305"/>
      <c r="E63" s="308" t="s">
        <v>117</v>
      </c>
      <c r="F63" s="398" t="s">
        <v>202</v>
      </c>
      <c r="G63" s="390"/>
      <c r="H63" s="390"/>
      <c r="I63" s="390"/>
      <c r="J63" s="390"/>
      <c r="K63" s="390" t="s">
        <v>199</v>
      </c>
      <c r="L63" s="390"/>
      <c r="M63" s="51" t="s">
        <v>207</v>
      </c>
      <c r="N63" s="401" t="s">
        <v>204</v>
      </c>
      <c r="O63" s="401"/>
      <c r="P63" s="399">
        <v>100</v>
      </c>
      <c r="Q63" s="399"/>
      <c r="R63" s="400" t="s">
        <v>495</v>
      </c>
      <c r="S63" s="400"/>
      <c r="T63" s="400"/>
      <c r="U63" s="400"/>
      <c r="V63" s="400"/>
      <c r="W63" s="400"/>
      <c r="X63" s="400"/>
      <c r="Y63" s="400"/>
      <c r="Z63" s="400"/>
      <c r="AA63" s="400"/>
      <c r="AB63" s="390"/>
      <c r="AC63" s="390"/>
      <c r="AD63" s="391"/>
      <c r="AF63" s="50"/>
    </row>
    <row r="64" spans="1:32" ht="25.5" customHeight="1">
      <c r="A64" s="396">
        <v>2</v>
      </c>
      <c r="B64" s="397"/>
      <c r="C64" s="117"/>
      <c r="D64" s="305"/>
      <c r="E64" s="308"/>
      <c r="F64" s="398"/>
      <c r="G64" s="390"/>
      <c r="H64" s="390"/>
      <c r="I64" s="390"/>
      <c r="J64" s="390"/>
      <c r="K64" s="390"/>
      <c r="L64" s="390"/>
      <c r="M64" s="51"/>
      <c r="N64" s="401"/>
      <c r="O64" s="401"/>
      <c r="P64" s="399"/>
      <c r="Q64" s="399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3</v>
      </c>
      <c r="B65" s="397"/>
      <c r="C65" s="117"/>
      <c r="D65" s="305"/>
      <c r="E65" s="308"/>
      <c r="F65" s="398"/>
      <c r="G65" s="390"/>
      <c r="H65" s="390"/>
      <c r="I65" s="390"/>
      <c r="J65" s="390"/>
      <c r="K65" s="390"/>
      <c r="L65" s="390"/>
      <c r="M65" s="51"/>
      <c r="N65" s="401"/>
      <c r="O65" s="401"/>
      <c r="P65" s="399"/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4</v>
      </c>
      <c r="B66" s="397"/>
      <c r="C66" s="117"/>
      <c r="D66" s="305"/>
      <c r="E66" s="308"/>
      <c r="F66" s="398"/>
      <c r="G66" s="390"/>
      <c r="H66" s="390"/>
      <c r="I66" s="390"/>
      <c r="J66" s="390"/>
      <c r="K66" s="390"/>
      <c r="L66" s="390"/>
      <c r="M66" s="51"/>
      <c r="N66" s="401"/>
      <c r="O66" s="401"/>
      <c r="P66" s="399"/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5</v>
      </c>
      <c r="B67" s="397"/>
      <c r="C67" s="117"/>
      <c r="D67" s="305"/>
      <c r="E67" s="308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6</v>
      </c>
      <c r="B68" s="397"/>
      <c r="C68" s="117"/>
      <c r="D68" s="305"/>
      <c r="E68" s="308"/>
      <c r="F68" s="398"/>
      <c r="G68" s="390"/>
      <c r="H68" s="390"/>
      <c r="I68" s="390"/>
      <c r="J68" s="390"/>
      <c r="K68" s="390"/>
      <c r="L68" s="390"/>
      <c r="M68" s="51"/>
      <c r="N68" s="390"/>
      <c r="O68" s="390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7</v>
      </c>
      <c r="B69" s="397"/>
      <c r="C69" s="117"/>
      <c r="D69" s="305"/>
      <c r="E69" s="308"/>
      <c r="F69" s="398"/>
      <c r="G69" s="390"/>
      <c r="H69" s="390"/>
      <c r="I69" s="390"/>
      <c r="J69" s="390"/>
      <c r="K69" s="390"/>
      <c r="L69" s="390"/>
      <c r="M69" s="51"/>
      <c r="N69" s="401"/>
      <c r="O69" s="401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8</v>
      </c>
      <c r="B70" s="397"/>
      <c r="C70" s="117"/>
      <c r="D70" s="305"/>
      <c r="E70" s="308"/>
      <c r="F70" s="398"/>
      <c r="G70" s="390"/>
      <c r="H70" s="390"/>
      <c r="I70" s="390"/>
      <c r="J70" s="390"/>
      <c r="K70" s="390"/>
      <c r="L70" s="390"/>
      <c r="M70" s="51"/>
      <c r="N70" s="390"/>
      <c r="O70" s="390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6.25" customHeight="1" thickBot="1">
      <c r="A71" s="370" t="s">
        <v>496</v>
      </c>
      <c r="B71" s="370"/>
      <c r="C71" s="370"/>
      <c r="D71" s="370"/>
      <c r="E71" s="370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371" t="s">
        <v>113</v>
      </c>
      <c r="B72" s="372"/>
      <c r="C72" s="307" t="s">
        <v>2</v>
      </c>
      <c r="D72" s="307" t="s">
        <v>37</v>
      </c>
      <c r="E72" s="307" t="s">
        <v>3</v>
      </c>
      <c r="F72" s="372" t="s">
        <v>38</v>
      </c>
      <c r="G72" s="372"/>
      <c r="H72" s="372"/>
      <c r="I72" s="372"/>
      <c r="J72" s="372"/>
      <c r="K72" s="392" t="s">
        <v>58</v>
      </c>
      <c r="L72" s="393"/>
      <c r="M72" s="393"/>
      <c r="N72" s="393"/>
      <c r="O72" s="393"/>
      <c r="P72" s="393"/>
      <c r="Q72" s="393"/>
      <c r="R72" s="393"/>
      <c r="S72" s="394"/>
      <c r="T72" s="372" t="s">
        <v>49</v>
      </c>
      <c r="U72" s="372"/>
      <c r="V72" s="392" t="s">
        <v>50</v>
      </c>
      <c r="W72" s="394"/>
      <c r="X72" s="393" t="s">
        <v>51</v>
      </c>
      <c r="Y72" s="393"/>
      <c r="Z72" s="393"/>
      <c r="AA72" s="393"/>
      <c r="AB72" s="393"/>
      <c r="AC72" s="393"/>
      <c r="AD72" s="395"/>
      <c r="AF72" s="50"/>
    </row>
    <row r="73" spans="1:32" ht="33.75" customHeight="1">
      <c r="A73" s="364">
        <v>1</v>
      </c>
      <c r="B73" s="365"/>
      <c r="C73" s="306" t="s">
        <v>114</v>
      </c>
      <c r="D73" s="306"/>
      <c r="E73" s="65" t="s">
        <v>119</v>
      </c>
      <c r="F73" s="379" t="s">
        <v>118</v>
      </c>
      <c r="G73" s="380"/>
      <c r="H73" s="380"/>
      <c r="I73" s="380"/>
      <c r="J73" s="381"/>
      <c r="K73" s="382" t="s">
        <v>156</v>
      </c>
      <c r="L73" s="383"/>
      <c r="M73" s="383"/>
      <c r="N73" s="383"/>
      <c r="O73" s="383"/>
      <c r="P73" s="383"/>
      <c r="Q73" s="383"/>
      <c r="R73" s="383"/>
      <c r="S73" s="384"/>
      <c r="T73" s="385">
        <v>43675</v>
      </c>
      <c r="U73" s="386"/>
      <c r="V73" s="387"/>
      <c r="W73" s="387"/>
      <c r="X73" s="388"/>
      <c r="Y73" s="388"/>
      <c r="Z73" s="388"/>
      <c r="AA73" s="388"/>
      <c r="AB73" s="388"/>
      <c r="AC73" s="388"/>
      <c r="AD73" s="389"/>
      <c r="AF73" s="50"/>
    </row>
    <row r="74" spans="1:32" ht="30" customHeight="1">
      <c r="A74" s="357">
        <f>A73+1</f>
        <v>2</v>
      </c>
      <c r="B74" s="358"/>
      <c r="C74" s="305"/>
      <c r="D74" s="305"/>
      <c r="E74" s="32"/>
      <c r="F74" s="358"/>
      <c r="G74" s="358"/>
      <c r="H74" s="358"/>
      <c r="I74" s="358"/>
      <c r="J74" s="358"/>
      <c r="K74" s="373"/>
      <c r="L74" s="374"/>
      <c r="M74" s="374"/>
      <c r="N74" s="374"/>
      <c r="O74" s="374"/>
      <c r="P74" s="374"/>
      <c r="Q74" s="374"/>
      <c r="R74" s="374"/>
      <c r="S74" s="375"/>
      <c r="T74" s="376"/>
      <c r="U74" s="376"/>
      <c r="V74" s="376"/>
      <c r="W74" s="376"/>
      <c r="X74" s="377"/>
      <c r="Y74" s="377"/>
      <c r="Z74" s="377"/>
      <c r="AA74" s="377"/>
      <c r="AB74" s="377"/>
      <c r="AC74" s="377"/>
      <c r="AD74" s="378"/>
      <c r="AF74" s="50"/>
    </row>
    <row r="75" spans="1:32" ht="30" customHeight="1">
      <c r="A75" s="357">
        <f t="shared" ref="A75:A81" si="14">A74+1</f>
        <v>3</v>
      </c>
      <c r="B75" s="358"/>
      <c r="C75" s="305"/>
      <c r="D75" s="305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si="14"/>
        <v>4</v>
      </c>
      <c r="B76" s="358"/>
      <c r="C76" s="305"/>
      <c r="D76" s="305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14"/>
        <v>5</v>
      </c>
      <c r="B77" s="358"/>
      <c r="C77" s="305"/>
      <c r="D77" s="305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14"/>
        <v>6</v>
      </c>
      <c r="B78" s="358"/>
      <c r="C78" s="305"/>
      <c r="D78" s="305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14"/>
        <v>7</v>
      </c>
      <c r="B79" s="358"/>
      <c r="C79" s="305"/>
      <c r="D79" s="305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14"/>
        <v>8</v>
      </c>
      <c r="B80" s="358"/>
      <c r="C80" s="305"/>
      <c r="D80" s="305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14"/>
        <v>9</v>
      </c>
      <c r="B81" s="358"/>
      <c r="C81" s="305"/>
      <c r="D81" s="305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6" thickBot="1">
      <c r="A82" s="370" t="s">
        <v>497</v>
      </c>
      <c r="B82" s="370"/>
      <c r="C82" s="370"/>
      <c r="D82" s="370"/>
      <c r="E82" s="370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371" t="s">
        <v>113</v>
      </c>
      <c r="B83" s="372"/>
      <c r="C83" s="362" t="s">
        <v>52</v>
      </c>
      <c r="D83" s="362"/>
      <c r="E83" s="362" t="s">
        <v>53</v>
      </c>
      <c r="F83" s="362"/>
      <c r="G83" s="362"/>
      <c r="H83" s="362"/>
      <c r="I83" s="362"/>
      <c r="J83" s="362"/>
      <c r="K83" s="362" t="s">
        <v>54</v>
      </c>
      <c r="L83" s="362"/>
      <c r="M83" s="362"/>
      <c r="N83" s="362"/>
      <c r="O83" s="362"/>
      <c r="P83" s="362"/>
      <c r="Q83" s="362"/>
      <c r="R83" s="362"/>
      <c r="S83" s="362"/>
      <c r="T83" s="362" t="s">
        <v>55</v>
      </c>
      <c r="U83" s="362"/>
      <c r="V83" s="362" t="s">
        <v>56</v>
      </c>
      <c r="W83" s="362"/>
      <c r="X83" s="362"/>
      <c r="Y83" s="362" t="s">
        <v>51</v>
      </c>
      <c r="Z83" s="362"/>
      <c r="AA83" s="362"/>
      <c r="AB83" s="362"/>
      <c r="AC83" s="362"/>
      <c r="AD83" s="363"/>
      <c r="AF83" s="50"/>
    </row>
    <row r="84" spans="1:32" ht="30.75" customHeight="1">
      <c r="A84" s="364">
        <v>1</v>
      </c>
      <c r="B84" s="365"/>
      <c r="C84" s="366">
        <v>11</v>
      </c>
      <c r="D84" s="366"/>
      <c r="E84" s="366" t="s">
        <v>485</v>
      </c>
      <c r="F84" s="366"/>
      <c r="G84" s="366"/>
      <c r="H84" s="366"/>
      <c r="I84" s="366"/>
      <c r="J84" s="366"/>
      <c r="K84" s="366" t="s">
        <v>486</v>
      </c>
      <c r="L84" s="366"/>
      <c r="M84" s="366"/>
      <c r="N84" s="366"/>
      <c r="O84" s="366"/>
      <c r="P84" s="366"/>
      <c r="Q84" s="366"/>
      <c r="R84" s="366"/>
      <c r="S84" s="366"/>
      <c r="T84" s="366" t="s">
        <v>487</v>
      </c>
      <c r="U84" s="366"/>
      <c r="V84" s="367">
        <v>700000</v>
      </c>
      <c r="W84" s="367"/>
      <c r="X84" s="367"/>
      <c r="Y84" s="368"/>
      <c r="Z84" s="368"/>
      <c r="AA84" s="368"/>
      <c r="AB84" s="368"/>
      <c r="AC84" s="368"/>
      <c r="AD84" s="369"/>
      <c r="AF84" s="50"/>
    </row>
    <row r="85" spans="1:32" ht="30.75" customHeight="1">
      <c r="A85" s="357">
        <v>2</v>
      </c>
      <c r="B85" s="358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60"/>
      <c r="U85" s="360"/>
      <c r="V85" s="361"/>
      <c r="W85" s="361"/>
      <c r="X85" s="361"/>
      <c r="Y85" s="350"/>
      <c r="Z85" s="350"/>
      <c r="AA85" s="350"/>
      <c r="AB85" s="350"/>
      <c r="AC85" s="350"/>
      <c r="AD85" s="351"/>
      <c r="AF85" s="50"/>
    </row>
    <row r="86" spans="1:32" ht="30.75" customHeight="1" thickBot="1">
      <c r="A86" s="352">
        <v>3</v>
      </c>
      <c r="B86" s="353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5"/>
      <c r="Z86" s="355"/>
      <c r="AA86" s="355"/>
      <c r="AB86" s="355"/>
      <c r="AC86" s="355"/>
      <c r="AD86" s="356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085F-7C7B-469B-BACA-F14A08D57F97}">
  <sheetPr codeName="Sheet2"/>
  <dimension ref="A1:AF86"/>
  <sheetViews>
    <sheetView topLeftCell="A61"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159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135" t="s">
        <v>17</v>
      </c>
      <c r="L5" s="135" t="s">
        <v>18</v>
      </c>
      <c r="M5" s="135" t="s">
        <v>19</v>
      </c>
      <c r="N5" s="13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18" si="8">$AD$21</f>
        <v>0.46388888888888885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0.46388888888888885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144</v>
      </c>
      <c r="F8" s="30" t="s">
        <v>123</v>
      </c>
      <c r="G8" s="33">
        <v>1</v>
      </c>
      <c r="H8" s="35">
        <v>24</v>
      </c>
      <c r="I8" s="7">
        <v>6000</v>
      </c>
      <c r="J8" s="14">
        <v>5830</v>
      </c>
      <c r="K8" s="15">
        <f>L8+2713</f>
        <v>8543</v>
      </c>
      <c r="L8" s="15">
        <f>2748+3082</f>
        <v>5830</v>
      </c>
      <c r="M8" s="15">
        <f t="shared" si="1"/>
        <v>5830</v>
      </c>
      <c r="N8" s="15">
        <v>0</v>
      </c>
      <c r="O8" s="58">
        <f t="shared" si="2"/>
        <v>0</v>
      </c>
      <c r="P8" s="39">
        <f t="shared" si="3"/>
        <v>24</v>
      </c>
      <c r="Q8" s="40">
        <f t="shared" si="4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1</v>
      </c>
      <c r="AD8" s="10">
        <f t="shared" si="7"/>
        <v>1</v>
      </c>
      <c r="AE8" s="36">
        <f t="shared" si="8"/>
        <v>0.46388888888888885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124</v>
      </c>
      <c r="D9" s="52" t="s">
        <v>133</v>
      </c>
      <c r="E9" s="53" t="s">
        <v>147</v>
      </c>
      <c r="F9" s="30" t="s">
        <v>131</v>
      </c>
      <c r="G9" s="33">
        <v>1</v>
      </c>
      <c r="H9" s="35">
        <v>24</v>
      </c>
      <c r="I9" s="7">
        <v>6000</v>
      </c>
      <c r="J9" s="14">
        <v>3735</v>
      </c>
      <c r="K9" s="15">
        <f>L9</f>
        <v>3735</v>
      </c>
      <c r="L9" s="15">
        <f>946+2789</f>
        <v>3735</v>
      </c>
      <c r="M9" s="15">
        <f t="shared" si="1"/>
        <v>3735</v>
      </c>
      <c r="N9" s="15">
        <v>0</v>
      </c>
      <c r="O9" s="58">
        <f t="shared" si="2"/>
        <v>0</v>
      </c>
      <c r="P9" s="39">
        <f t="shared" si="3"/>
        <v>20</v>
      </c>
      <c r="Q9" s="40">
        <f t="shared" si="4"/>
        <v>4</v>
      </c>
      <c r="R9" s="7"/>
      <c r="S9" s="6">
        <v>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0.83333333333333337</v>
      </c>
      <c r="AD9" s="10">
        <f t="shared" si="7"/>
        <v>0.83333333333333337</v>
      </c>
      <c r="AE9" s="36">
        <f t="shared" si="8"/>
        <v>0.46388888888888885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142</v>
      </c>
      <c r="D10" s="52" t="s">
        <v>152</v>
      </c>
      <c r="E10" s="53" t="s">
        <v>150</v>
      </c>
      <c r="F10" s="30" t="s">
        <v>121</v>
      </c>
      <c r="G10" s="33">
        <v>2</v>
      </c>
      <c r="H10" s="35">
        <v>24</v>
      </c>
      <c r="I10" s="7">
        <v>90000</v>
      </c>
      <c r="J10" s="5">
        <v>10992</v>
      </c>
      <c r="K10" s="15">
        <f>L10+1714+13656+15988+16420+5830+12022+8590</f>
        <v>85212</v>
      </c>
      <c r="L10" s="15">
        <f>1666*2+3830*2</f>
        <v>10992</v>
      </c>
      <c r="M10" s="15">
        <f t="shared" si="1"/>
        <v>10992</v>
      </c>
      <c r="N10" s="15">
        <v>0</v>
      </c>
      <c r="O10" s="58">
        <f t="shared" si="2"/>
        <v>0</v>
      </c>
      <c r="P10" s="39">
        <f t="shared" si="3"/>
        <v>21</v>
      </c>
      <c r="Q10" s="40">
        <f t="shared" si="4"/>
        <v>3</v>
      </c>
      <c r="R10" s="7"/>
      <c r="S10" s="6">
        <v>3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0.875</v>
      </c>
      <c r="AD10" s="10">
        <f>AC10*AB10*(1-O10)</f>
        <v>0.875</v>
      </c>
      <c r="AE10" s="36">
        <f t="shared" si="8"/>
        <v>0.46388888888888885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142</v>
      </c>
      <c r="D11" s="52" t="s">
        <v>154</v>
      </c>
      <c r="E11" s="53" t="s">
        <v>155</v>
      </c>
      <c r="F11" s="30" t="s">
        <v>121</v>
      </c>
      <c r="G11" s="33" t="s">
        <v>153</v>
      </c>
      <c r="H11" s="35">
        <v>20</v>
      </c>
      <c r="I11" s="7">
        <v>30000</v>
      </c>
      <c r="J11" s="14">
        <v>2055</v>
      </c>
      <c r="K11" s="15">
        <f>L11+3140+4571+411+3680+4703+3306</f>
        <v>21866</v>
      </c>
      <c r="L11" s="15">
        <v>2055</v>
      </c>
      <c r="M11" s="15">
        <f t="shared" si="1"/>
        <v>2055</v>
      </c>
      <c r="N11" s="15">
        <v>0</v>
      </c>
      <c r="O11" s="58">
        <f t="shared" si="2"/>
        <v>0</v>
      </c>
      <c r="P11" s="39">
        <f t="shared" si="3"/>
        <v>13</v>
      </c>
      <c r="Q11" s="40">
        <f t="shared" si="4"/>
        <v>11</v>
      </c>
      <c r="R11" s="7"/>
      <c r="S11" s="6">
        <v>11</v>
      </c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0.54166666666666663</v>
      </c>
      <c r="AD11" s="10">
        <f t="shared" ref="AD11" si="10">AC11*AB11*(1-O11)</f>
        <v>0.54166666666666663</v>
      </c>
      <c r="AE11" s="36">
        <f t="shared" si="8"/>
        <v>0.46388888888888885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158</v>
      </c>
      <c r="F12" s="30" t="s">
        <v>132</v>
      </c>
      <c r="G12" s="33">
        <v>1</v>
      </c>
      <c r="H12" s="35">
        <v>20</v>
      </c>
      <c r="I12" s="7">
        <v>30000</v>
      </c>
      <c r="J12" s="14">
        <v>3692</v>
      </c>
      <c r="K12" s="15">
        <f>L12</f>
        <v>3692</v>
      </c>
      <c r="L12" s="15">
        <f>1419+2273</f>
        <v>3692</v>
      </c>
      <c r="M12" s="15">
        <f t="shared" si="1"/>
        <v>3692</v>
      </c>
      <c r="N12" s="15">
        <v>0</v>
      </c>
      <c r="O12" s="58">
        <f t="shared" si="2"/>
        <v>0</v>
      </c>
      <c r="P12" s="39">
        <f t="shared" si="3"/>
        <v>20</v>
      </c>
      <c r="Q12" s="40">
        <f t="shared" si="4"/>
        <v>4</v>
      </c>
      <c r="R12" s="7"/>
      <c r="S12" s="6">
        <v>4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0.83333333333333337</v>
      </c>
      <c r="AD12" s="10">
        <f t="shared" si="7"/>
        <v>0.83333333333333337</v>
      </c>
      <c r="AE12" s="36">
        <f t="shared" si="8"/>
        <v>0.46388888888888885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124</v>
      </c>
      <c r="D13" s="52" t="s">
        <v>117</v>
      </c>
      <c r="E13" s="53" t="s">
        <v>157</v>
      </c>
      <c r="F13" s="30" t="s">
        <v>127</v>
      </c>
      <c r="G13" s="33">
        <v>1</v>
      </c>
      <c r="H13" s="35">
        <v>24</v>
      </c>
      <c r="I13" s="7">
        <v>1000</v>
      </c>
      <c r="J13" s="14">
        <v>1513</v>
      </c>
      <c r="K13" s="15">
        <f>L13+1513</f>
        <v>1513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5"/>
        <v>0</v>
      </c>
      <c r="AC13" s="9">
        <f t="shared" si="6"/>
        <v>0</v>
      </c>
      <c r="AD13" s="10">
        <f t="shared" si="7"/>
        <v>0</v>
      </c>
      <c r="AE13" s="36">
        <f t="shared" si="8"/>
        <v>0.46388888888888885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140</v>
      </c>
      <c r="D14" s="52" t="s">
        <v>141</v>
      </c>
      <c r="E14" s="53" t="s">
        <v>139</v>
      </c>
      <c r="F14" s="30" t="s">
        <v>116</v>
      </c>
      <c r="G14" s="12">
        <v>1</v>
      </c>
      <c r="H14" s="13">
        <v>28</v>
      </c>
      <c r="I14" s="7">
        <v>21000</v>
      </c>
      <c r="J14" s="5">
        <v>131</v>
      </c>
      <c r="K14" s="15">
        <f t="shared" ref="K14" si="11">L14</f>
        <v>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0.46388888888888885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114</v>
      </c>
      <c r="D15" s="52" t="s">
        <v>135</v>
      </c>
      <c r="E15" s="53" t="s">
        <v>148</v>
      </c>
      <c r="F15" s="12" t="s">
        <v>134</v>
      </c>
      <c r="G15" s="12">
        <v>1</v>
      </c>
      <c r="H15" s="13">
        <v>24</v>
      </c>
      <c r="I15" s="31">
        <v>1700</v>
      </c>
      <c r="J15" s="14">
        <v>878</v>
      </c>
      <c r="K15" s="15">
        <f>L15+878</f>
        <v>878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>
        <v>24</v>
      </c>
      <c r="T15" s="16"/>
      <c r="U15" s="16"/>
      <c r="V15" s="17"/>
      <c r="W15" s="5"/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0.46388888888888885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129</v>
      </c>
      <c r="E16" s="53" t="s">
        <v>161</v>
      </c>
      <c r="F16" s="30" t="s">
        <v>130</v>
      </c>
      <c r="G16" s="12">
        <v>1</v>
      </c>
      <c r="H16" s="13">
        <v>28</v>
      </c>
      <c r="I16" s="7">
        <v>4000</v>
      </c>
      <c r="J16" s="14">
        <v>3917</v>
      </c>
      <c r="K16" s="15">
        <f>L16</f>
        <v>3917</v>
      </c>
      <c r="L16" s="15">
        <f>1397+2520</f>
        <v>3917</v>
      </c>
      <c r="M16" s="15">
        <f t="shared" si="1"/>
        <v>3917</v>
      </c>
      <c r="N16" s="15">
        <v>0</v>
      </c>
      <c r="O16" s="58">
        <f t="shared" si="2"/>
        <v>0</v>
      </c>
      <c r="P16" s="39">
        <f t="shared" si="3"/>
        <v>21</v>
      </c>
      <c r="Q16" s="40">
        <f t="shared" si="4"/>
        <v>3</v>
      </c>
      <c r="R16" s="7"/>
      <c r="S16" s="6"/>
      <c r="T16" s="16">
        <v>3</v>
      </c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0.875</v>
      </c>
      <c r="AD16" s="10">
        <f t="shared" si="7"/>
        <v>0.875</v>
      </c>
      <c r="AE16" s="36">
        <f t="shared" si="8"/>
        <v>0.46388888888888885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114</v>
      </c>
      <c r="D17" s="52" t="s">
        <v>135</v>
      </c>
      <c r="E17" s="53" t="s">
        <v>148</v>
      </c>
      <c r="F17" s="30" t="s">
        <v>134</v>
      </c>
      <c r="G17" s="33">
        <v>1</v>
      </c>
      <c r="H17" s="35">
        <v>20</v>
      </c>
      <c r="I17" s="7">
        <v>1100</v>
      </c>
      <c r="J17" s="14">
        <v>1450</v>
      </c>
      <c r="K17" s="15">
        <f>L17</f>
        <v>1450</v>
      </c>
      <c r="L17" s="15">
        <f>1450</f>
        <v>1450</v>
      </c>
      <c r="M17" s="15">
        <f t="shared" si="1"/>
        <v>1450</v>
      </c>
      <c r="N17" s="15">
        <v>0</v>
      </c>
      <c r="O17" s="58">
        <f t="shared" si="2"/>
        <v>0</v>
      </c>
      <c r="P17" s="39">
        <f t="shared" si="3"/>
        <v>10</v>
      </c>
      <c r="Q17" s="40">
        <f t="shared" si="4"/>
        <v>14</v>
      </c>
      <c r="R17" s="7"/>
      <c r="S17" s="6"/>
      <c r="T17" s="16"/>
      <c r="U17" s="16"/>
      <c r="V17" s="17"/>
      <c r="W17" s="5">
        <v>14</v>
      </c>
      <c r="X17" s="16"/>
      <c r="Y17" s="16"/>
      <c r="Z17" s="16"/>
      <c r="AA17" s="18"/>
      <c r="AB17" s="8">
        <f t="shared" si="5"/>
        <v>1</v>
      </c>
      <c r="AC17" s="9">
        <f t="shared" si="6"/>
        <v>0.41666666666666669</v>
      </c>
      <c r="AD17" s="10">
        <f t="shared" si="7"/>
        <v>0.41666666666666669</v>
      </c>
      <c r="AE17" s="36">
        <f t="shared" si="8"/>
        <v>0.46388888888888885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125</v>
      </c>
      <c r="E18" s="53" t="s">
        <v>137</v>
      </c>
      <c r="F18" s="30" t="s">
        <v>127</v>
      </c>
      <c r="G18" s="33">
        <v>1</v>
      </c>
      <c r="H18" s="35">
        <v>24</v>
      </c>
      <c r="I18" s="7">
        <v>15000</v>
      </c>
      <c r="J18" s="5">
        <v>2756</v>
      </c>
      <c r="K18" s="15">
        <f>L18+2483+3339+2439</f>
        <v>11017</v>
      </c>
      <c r="L18" s="15">
        <f>739+2017</f>
        <v>2756</v>
      </c>
      <c r="M18" s="15">
        <f t="shared" si="1"/>
        <v>2756</v>
      </c>
      <c r="N18" s="15">
        <v>0</v>
      </c>
      <c r="O18" s="58">
        <f t="shared" si="2"/>
        <v>0</v>
      </c>
      <c r="P18" s="39">
        <f t="shared" si="3"/>
        <v>18</v>
      </c>
      <c r="Q18" s="40">
        <f t="shared" si="4"/>
        <v>6</v>
      </c>
      <c r="R18" s="7"/>
      <c r="S18" s="6">
        <v>6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0.75</v>
      </c>
      <c r="AD18" s="10">
        <f>AC18*AB18*(1-O18)</f>
        <v>0.75</v>
      </c>
      <c r="AE18" s="36">
        <f t="shared" si="8"/>
        <v>0.46388888888888885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146</v>
      </c>
      <c r="F19" s="30" t="s">
        <v>131</v>
      </c>
      <c r="G19" s="33">
        <v>1</v>
      </c>
      <c r="H19" s="35">
        <v>24</v>
      </c>
      <c r="I19" s="7">
        <v>6000</v>
      </c>
      <c r="J19" s="5">
        <v>5191</v>
      </c>
      <c r="K19" s="15">
        <f>L19+2020</f>
        <v>7211</v>
      </c>
      <c r="L19" s="15">
        <f>2721+2470</f>
        <v>5191</v>
      </c>
      <c r="M19" s="15">
        <f t="shared" si="1"/>
        <v>5191</v>
      </c>
      <c r="N19" s="15">
        <v>0</v>
      </c>
      <c r="O19" s="58">
        <f t="shared" si="2"/>
        <v>0</v>
      </c>
      <c r="P19" s="39">
        <f t="shared" si="3"/>
        <v>12</v>
      </c>
      <c r="Q19" s="40">
        <f t="shared" si="4"/>
        <v>12</v>
      </c>
      <c r="R19" s="7"/>
      <c r="S19" s="6"/>
      <c r="T19" s="16">
        <v>12</v>
      </c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0.5</v>
      </c>
      <c r="AD19" s="10">
        <f t="shared" ref="AD19" si="12">AC19*AB19*(1-O19)</f>
        <v>0.5</v>
      </c>
      <c r="AE19" s="36">
        <f>$AD$20</f>
        <v>0.33333333333333331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162</v>
      </c>
      <c r="F20" s="12" t="s">
        <v>116</v>
      </c>
      <c r="G20" s="12">
        <v>4</v>
      </c>
      <c r="H20" s="35">
        <v>20</v>
      </c>
      <c r="I20" s="7">
        <v>500000</v>
      </c>
      <c r="J20" s="14">
        <v>19752</v>
      </c>
      <c r="K20" s="15">
        <f>L20</f>
        <v>19752</v>
      </c>
      <c r="L20" s="15">
        <f>4938*4</f>
        <v>19752</v>
      </c>
      <c r="M20" s="15">
        <f t="shared" si="1"/>
        <v>19752</v>
      </c>
      <c r="N20" s="15">
        <v>0</v>
      </c>
      <c r="O20" s="58">
        <f t="shared" si="2"/>
        <v>0</v>
      </c>
      <c r="P20" s="39">
        <f t="shared" si="3"/>
        <v>8</v>
      </c>
      <c r="Q20" s="40">
        <f t="shared" si="4"/>
        <v>16</v>
      </c>
      <c r="R20" s="7"/>
      <c r="S20" s="6">
        <v>16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0.33333333333333331</v>
      </c>
      <c r="AD20" s="10">
        <f t="shared" si="7"/>
        <v>0.33333333333333331</v>
      </c>
      <c r="AE20" s="36">
        <f>$AD$21</f>
        <v>0.46388888888888885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3">SUM(I6:I20)</f>
        <v>732800</v>
      </c>
      <c r="J21" s="19">
        <f t="shared" si="13"/>
        <v>63953</v>
      </c>
      <c r="K21" s="20">
        <f t="shared" si="13"/>
        <v>180334</v>
      </c>
      <c r="L21" s="21">
        <f t="shared" si="13"/>
        <v>59370</v>
      </c>
      <c r="M21" s="20">
        <f t="shared" si="13"/>
        <v>59370</v>
      </c>
      <c r="N21" s="21">
        <f t="shared" si="13"/>
        <v>0</v>
      </c>
      <c r="O21" s="41">
        <f t="shared" si="2"/>
        <v>0</v>
      </c>
      <c r="P21" s="42">
        <f t="shared" ref="P21:AA21" si="14">SUM(P6:P20)</f>
        <v>167</v>
      </c>
      <c r="Q21" s="43">
        <f t="shared" si="14"/>
        <v>193</v>
      </c>
      <c r="R21" s="23">
        <f t="shared" si="14"/>
        <v>24</v>
      </c>
      <c r="S21" s="24">
        <f t="shared" si="14"/>
        <v>68</v>
      </c>
      <c r="T21" s="24">
        <f t="shared" si="14"/>
        <v>15</v>
      </c>
      <c r="U21" s="24">
        <f t="shared" si="14"/>
        <v>0</v>
      </c>
      <c r="V21" s="25">
        <f t="shared" si="14"/>
        <v>24</v>
      </c>
      <c r="W21" s="26">
        <f t="shared" si="14"/>
        <v>62</v>
      </c>
      <c r="X21" s="27">
        <f t="shared" si="14"/>
        <v>0</v>
      </c>
      <c r="Y21" s="27">
        <f t="shared" si="14"/>
        <v>0</v>
      </c>
      <c r="Z21" s="27">
        <f t="shared" si="14"/>
        <v>0</v>
      </c>
      <c r="AA21" s="27">
        <f t="shared" si="14"/>
        <v>0</v>
      </c>
      <c r="AB21" s="28">
        <f>SUM(AB6:AB20)/15</f>
        <v>0.66666666666666663</v>
      </c>
      <c r="AC21" s="4">
        <f>SUM(AC6:AC20)/15</f>
        <v>0.46388888888888885</v>
      </c>
      <c r="AD21" s="4">
        <f>SUM(AD6:AD20)/15</f>
        <v>0.46388888888888885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163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174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134" t="s">
        <v>46</v>
      </c>
      <c r="D50" s="134" t="s">
        <v>47</v>
      </c>
      <c r="E50" s="134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134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09" t="s">
        <v>142</v>
      </c>
      <c r="B51" s="410"/>
      <c r="C51" s="132" t="s">
        <v>136</v>
      </c>
      <c r="D51" s="132" t="s">
        <v>151</v>
      </c>
      <c r="E51" s="132" t="s">
        <v>150</v>
      </c>
      <c r="F51" s="411" t="s">
        <v>126</v>
      </c>
      <c r="G51" s="412"/>
      <c r="H51" s="412"/>
      <c r="I51" s="412"/>
      <c r="J51" s="412"/>
      <c r="K51" s="412"/>
      <c r="L51" s="412"/>
      <c r="M51" s="413"/>
      <c r="N51" s="131" t="s">
        <v>124</v>
      </c>
      <c r="O51" s="129" t="s">
        <v>145</v>
      </c>
      <c r="P51" s="423" t="s">
        <v>122</v>
      </c>
      <c r="Q51" s="424"/>
      <c r="R51" s="410" t="s">
        <v>175</v>
      </c>
      <c r="S51" s="410"/>
      <c r="T51" s="410"/>
      <c r="U51" s="410"/>
      <c r="V51" s="400" t="s">
        <v>120</v>
      </c>
      <c r="W51" s="400"/>
      <c r="X51" s="400"/>
      <c r="Y51" s="400"/>
      <c r="Z51" s="400"/>
      <c r="AA51" s="400"/>
      <c r="AB51" s="400"/>
      <c r="AC51" s="400"/>
      <c r="AD51" s="414"/>
    </row>
    <row r="52" spans="1:32" ht="27" customHeight="1">
      <c r="A52" s="409" t="s">
        <v>142</v>
      </c>
      <c r="B52" s="410"/>
      <c r="C52" s="132" t="s">
        <v>138</v>
      </c>
      <c r="D52" s="132" t="s">
        <v>154</v>
      </c>
      <c r="E52" s="132" t="s">
        <v>155</v>
      </c>
      <c r="F52" s="411" t="s">
        <v>164</v>
      </c>
      <c r="G52" s="412"/>
      <c r="H52" s="412"/>
      <c r="I52" s="412"/>
      <c r="J52" s="412"/>
      <c r="K52" s="412"/>
      <c r="L52" s="412"/>
      <c r="M52" s="413"/>
      <c r="N52" s="131" t="s">
        <v>124</v>
      </c>
      <c r="O52" s="129" t="s">
        <v>179</v>
      </c>
      <c r="P52" s="423" t="s">
        <v>122</v>
      </c>
      <c r="Q52" s="424"/>
      <c r="R52" s="410" t="s">
        <v>180</v>
      </c>
      <c r="S52" s="410"/>
      <c r="T52" s="410"/>
      <c r="U52" s="410"/>
      <c r="V52" s="400" t="s">
        <v>120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124</v>
      </c>
      <c r="B53" s="410"/>
      <c r="C53" s="132" t="s">
        <v>165</v>
      </c>
      <c r="D53" s="132" t="s">
        <v>129</v>
      </c>
      <c r="E53" s="132" t="s">
        <v>161</v>
      </c>
      <c r="F53" s="411" t="s">
        <v>120</v>
      </c>
      <c r="G53" s="412"/>
      <c r="H53" s="412"/>
      <c r="I53" s="412"/>
      <c r="J53" s="412"/>
      <c r="K53" s="412"/>
      <c r="L53" s="412"/>
      <c r="M53" s="413"/>
      <c r="N53" s="136" t="s">
        <v>124</v>
      </c>
      <c r="O53" s="137" t="s">
        <v>143</v>
      </c>
      <c r="P53" s="423" t="s">
        <v>135</v>
      </c>
      <c r="Q53" s="424"/>
      <c r="R53" s="410" t="s">
        <v>181</v>
      </c>
      <c r="S53" s="410"/>
      <c r="T53" s="410"/>
      <c r="U53" s="410"/>
      <c r="V53" s="400" t="s">
        <v>120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114</v>
      </c>
      <c r="B54" s="410"/>
      <c r="C54" s="138" t="s">
        <v>128</v>
      </c>
      <c r="D54" s="138" t="s">
        <v>125</v>
      </c>
      <c r="E54" s="138" t="s">
        <v>137</v>
      </c>
      <c r="F54" s="411" t="s">
        <v>166</v>
      </c>
      <c r="G54" s="412"/>
      <c r="H54" s="412"/>
      <c r="I54" s="412"/>
      <c r="J54" s="412"/>
      <c r="K54" s="412"/>
      <c r="L54" s="412"/>
      <c r="M54" s="413"/>
      <c r="N54" s="131"/>
      <c r="O54" s="129"/>
      <c r="P54" s="423"/>
      <c r="Q54" s="424"/>
      <c r="R54" s="410"/>
      <c r="S54" s="410"/>
      <c r="T54" s="410"/>
      <c r="U54" s="410"/>
      <c r="V54" s="400"/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 t="s">
        <v>167</v>
      </c>
      <c r="B55" s="410"/>
      <c r="C55" s="132" t="s">
        <v>168</v>
      </c>
      <c r="D55" s="132"/>
      <c r="E55" s="132" t="s">
        <v>169</v>
      </c>
      <c r="F55" s="411" t="s">
        <v>170</v>
      </c>
      <c r="G55" s="412"/>
      <c r="H55" s="412"/>
      <c r="I55" s="412"/>
      <c r="J55" s="412"/>
      <c r="K55" s="412"/>
      <c r="L55" s="412"/>
      <c r="M55" s="413"/>
      <c r="N55" s="131"/>
      <c r="O55" s="129"/>
      <c r="P55" s="423"/>
      <c r="Q55" s="424"/>
      <c r="R55" s="410"/>
      <c r="S55" s="410"/>
      <c r="T55" s="410"/>
      <c r="U55" s="410"/>
      <c r="V55" s="400"/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 t="s">
        <v>114</v>
      </c>
      <c r="B56" s="410"/>
      <c r="C56" s="132" t="s">
        <v>171</v>
      </c>
      <c r="D56" s="132" t="s">
        <v>172</v>
      </c>
      <c r="E56" s="132" t="s">
        <v>173</v>
      </c>
      <c r="F56" s="411" t="s">
        <v>126</v>
      </c>
      <c r="G56" s="412"/>
      <c r="H56" s="412"/>
      <c r="I56" s="412"/>
      <c r="J56" s="412"/>
      <c r="K56" s="412"/>
      <c r="L56" s="412"/>
      <c r="M56" s="413"/>
      <c r="N56" s="131"/>
      <c r="O56" s="129"/>
      <c r="P56" s="423"/>
      <c r="Q56" s="424"/>
      <c r="R56" s="410"/>
      <c r="S56" s="410"/>
      <c r="T56" s="410"/>
      <c r="U56" s="410"/>
      <c r="V56" s="400"/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 t="s">
        <v>124</v>
      </c>
      <c r="B57" s="410"/>
      <c r="C57" s="132" t="s">
        <v>176</v>
      </c>
      <c r="D57" s="132" t="s">
        <v>177</v>
      </c>
      <c r="E57" s="132" t="s">
        <v>178</v>
      </c>
      <c r="F57" s="411" t="s">
        <v>149</v>
      </c>
      <c r="G57" s="412"/>
      <c r="H57" s="412"/>
      <c r="I57" s="412"/>
      <c r="J57" s="412"/>
      <c r="K57" s="412"/>
      <c r="L57" s="412"/>
      <c r="M57" s="413"/>
      <c r="N57" s="131"/>
      <c r="O57" s="129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/>
      <c r="B58" s="410"/>
      <c r="C58" s="132"/>
      <c r="D58" s="132"/>
      <c r="E58" s="132"/>
      <c r="F58" s="411"/>
      <c r="G58" s="412"/>
      <c r="H58" s="412"/>
      <c r="I58" s="412"/>
      <c r="J58" s="412"/>
      <c r="K58" s="412"/>
      <c r="L58" s="412"/>
      <c r="M58" s="413"/>
      <c r="N58" s="131"/>
      <c r="O58" s="129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132"/>
      <c r="D59" s="132"/>
      <c r="E59" s="132"/>
      <c r="F59" s="411"/>
      <c r="G59" s="412"/>
      <c r="H59" s="412"/>
      <c r="I59" s="412"/>
      <c r="J59" s="412"/>
      <c r="K59" s="412"/>
      <c r="L59" s="412"/>
      <c r="M59" s="413"/>
      <c r="N59" s="131"/>
      <c r="O59" s="129"/>
      <c r="P59" s="410"/>
      <c r="Q59" s="410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  <c r="AF59" s="87">
        <f>8*3000</f>
        <v>24000</v>
      </c>
    </row>
    <row r="60" spans="1:32" ht="27" customHeight="1" thickBot="1">
      <c r="A60" s="415"/>
      <c r="B60" s="416"/>
      <c r="C60" s="133"/>
      <c r="D60" s="133"/>
      <c r="E60" s="133"/>
      <c r="F60" s="417"/>
      <c r="G60" s="418"/>
      <c r="H60" s="418"/>
      <c r="I60" s="418"/>
      <c r="J60" s="418"/>
      <c r="K60" s="418"/>
      <c r="L60" s="418"/>
      <c r="M60" s="419"/>
      <c r="N60" s="124"/>
      <c r="O60" s="114"/>
      <c r="P60" s="420"/>
      <c r="Q60" s="420"/>
      <c r="R60" s="420"/>
      <c r="S60" s="420"/>
      <c r="T60" s="420"/>
      <c r="U60" s="420"/>
      <c r="V60" s="421"/>
      <c r="W60" s="421"/>
      <c r="X60" s="421"/>
      <c r="Y60" s="421"/>
      <c r="Z60" s="421"/>
      <c r="AA60" s="421"/>
      <c r="AB60" s="421"/>
      <c r="AC60" s="421"/>
      <c r="AD60" s="422"/>
      <c r="AF60" s="87">
        <f>16*3000</f>
        <v>48000</v>
      </c>
    </row>
    <row r="61" spans="1:32" ht="27.75" thickBot="1">
      <c r="A61" s="407" t="s">
        <v>182</v>
      </c>
      <c r="B61" s="407"/>
      <c r="C61" s="407"/>
      <c r="D61" s="407"/>
      <c r="E61" s="40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08" t="s">
        <v>113</v>
      </c>
      <c r="B62" s="405"/>
      <c r="C62" s="130" t="s">
        <v>2</v>
      </c>
      <c r="D62" s="130" t="s">
        <v>37</v>
      </c>
      <c r="E62" s="130" t="s">
        <v>3</v>
      </c>
      <c r="F62" s="405" t="s">
        <v>110</v>
      </c>
      <c r="G62" s="405"/>
      <c r="H62" s="405"/>
      <c r="I62" s="405"/>
      <c r="J62" s="405"/>
      <c r="K62" s="405" t="s">
        <v>39</v>
      </c>
      <c r="L62" s="405"/>
      <c r="M62" s="130" t="s">
        <v>40</v>
      </c>
      <c r="N62" s="405" t="s">
        <v>41</v>
      </c>
      <c r="O62" s="405"/>
      <c r="P62" s="402" t="s">
        <v>42</v>
      </c>
      <c r="Q62" s="404"/>
      <c r="R62" s="402" t="s">
        <v>43</v>
      </c>
      <c r="S62" s="403"/>
      <c r="T62" s="403"/>
      <c r="U62" s="403"/>
      <c r="V62" s="403"/>
      <c r="W62" s="403"/>
      <c r="X62" s="403"/>
      <c r="Y62" s="403"/>
      <c r="Z62" s="403"/>
      <c r="AA62" s="404"/>
      <c r="AB62" s="405" t="s">
        <v>44</v>
      </c>
      <c r="AC62" s="405"/>
      <c r="AD62" s="406"/>
      <c r="AF62" s="87">
        <f>SUM(AF59:AF61)</f>
        <v>96000</v>
      </c>
    </row>
    <row r="63" spans="1:32" ht="25.5" customHeight="1">
      <c r="A63" s="396">
        <v>1</v>
      </c>
      <c r="B63" s="397"/>
      <c r="C63" s="117"/>
      <c r="D63" s="125"/>
      <c r="E63" s="128"/>
      <c r="F63" s="398"/>
      <c r="G63" s="390"/>
      <c r="H63" s="390"/>
      <c r="I63" s="390"/>
      <c r="J63" s="390"/>
      <c r="K63" s="390"/>
      <c r="L63" s="390"/>
      <c r="M63" s="51"/>
      <c r="N63" s="401"/>
      <c r="O63" s="401"/>
      <c r="P63" s="399"/>
      <c r="Q63" s="399"/>
      <c r="R63" s="400"/>
      <c r="S63" s="400"/>
      <c r="T63" s="400"/>
      <c r="U63" s="400"/>
      <c r="V63" s="400"/>
      <c r="W63" s="400"/>
      <c r="X63" s="400"/>
      <c r="Y63" s="400"/>
      <c r="Z63" s="400"/>
      <c r="AA63" s="400"/>
      <c r="AB63" s="390"/>
      <c r="AC63" s="390"/>
      <c r="AD63" s="391"/>
      <c r="AF63" s="50"/>
    </row>
    <row r="64" spans="1:32" ht="25.5" customHeight="1">
      <c r="A64" s="396">
        <v>2</v>
      </c>
      <c r="B64" s="397"/>
      <c r="C64" s="117"/>
      <c r="D64" s="125"/>
      <c r="E64" s="128"/>
      <c r="F64" s="398"/>
      <c r="G64" s="390"/>
      <c r="H64" s="390"/>
      <c r="I64" s="390"/>
      <c r="J64" s="390"/>
      <c r="K64" s="390"/>
      <c r="L64" s="390"/>
      <c r="M64" s="51"/>
      <c r="N64" s="401"/>
      <c r="O64" s="401"/>
      <c r="P64" s="399"/>
      <c r="Q64" s="399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3</v>
      </c>
      <c r="B65" s="397"/>
      <c r="C65" s="117"/>
      <c r="D65" s="125"/>
      <c r="E65" s="128"/>
      <c r="F65" s="398"/>
      <c r="G65" s="390"/>
      <c r="H65" s="390"/>
      <c r="I65" s="390"/>
      <c r="J65" s="390"/>
      <c r="K65" s="390"/>
      <c r="L65" s="390"/>
      <c r="M65" s="51"/>
      <c r="N65" s="401"/>
      <c r="O65" s="401"/>
      <c r="P65" s="399"/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4</v>
      </c>
      <c r="B66" s="397"/>
      <c r="C66" s="117"/>
      <c r="D66" s="125"/>
      <c r="E66" s="128"/>
      <c r="F66" s="398"/>
      <c r="G66" s="390"/>
      <c r="H66" s="390"/>
      <c r="I66" s="390"/>
      <c r="J66" s="390"/>
      <c r="K66" s="390"/>
      <c r="L66" s="390"/>
      <c r="M66" s="51"/>
      <c r="N66" s="401"/>
      <c r="O66" s="401"/>
      <c r="P66" s="399"/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5</v>
      </c>
      <c r="B67" s="397"/>
      <c r="C67" s="117"/>
      <c r="D67" s="125"/>
      <c r="E67" s="128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6</v>
      </c>
      <c r="B68" s="397"/>
      <c r="C68" s="117"/>
      <c r="D68" s="125"/>
      <c r="E68" s="128"/>
      <c r="F68" s="398"/>
      <c r="G68" s="390"/>
      <c r="H68" s="390"/>
      <c r="I68" s="390"/>
      <c r="J68" s="390"/>
      <c r="K68" s="390"/>
      <c r="L68" s="390"/>
      <c r="M68" s="51"/>
      <c r="N68" s="390"/>
      <c r="O68" s="390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7</v>
      </c>
      <c r="B69" s="397"/>
      <c r="C69" s="117"/>
      <c r="D69" s="125"/>
      <c r="E69" s="128"/>
      <c r="F69" s="398"/>
      <c r="G69" s="390"/>
      <c r="H69" s="390"/>
      <c r="I69" s="390"/>
      <c r="J69" s="390"/>
      <c r="K69" s="390"/>
      <c r="L69" s="390"/>
      <c r="M69" s="51"/>
      <c r="N69" s="390"/>
      <c r="O69" s="390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8</v>
      </c>
      <c r="B70" s="397"/>
      <c r="C70" s="117"/>
      <c r="D70" s="125"/>
      <c r="E70" s="128"/>
      <c r="F70" s="398"/>
      <c r="G70" s="390"/>
      <c r="H70" s="390"/>
      <c r="I70" s="390"/>
      <c r="J70" s="390"/>
      <c r="K70" s="390"/>
      <c r="L70" s="390"/>
      <c r="M70" s="51"/>
      <c r="N70" s="390"/>
      <c r="O70" s="390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6.25" customHeight="1" thickBot="1">
      <c r="A71" s="370" t="s">
        <v>183</v>
      </c>
      <c r="B71" s="370"/>
      <c r="C71" s="370"/>
      <c r="D71" s="370"/>
      <c r="E71" s="370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371" t="s">
        <v>113</v>
      </c>
      <c r="B72" s="372"/>
      <c r="C72" s="127" t="s">
        <v>2</v>
      </c>
      <c r="D72" s="127" t="s">
        <v>37</v>
      </c>
      <c r="E72" s="127" t="s">
        <v>3</v>
      </c>
      <c r="F72" s="372" t="s">
        <v>38</v>
      </c>
      <c r="G72" s="372"/>
      <c r="H72" s="372"/>
      <c r="I72" s="372"/>
      <c r="J72" s="372"/>
      <c r="K72" s="392" t="s">
        <v>58</v>
      </c>
      <c r="L72" s="393"/>
      <c r="M72" s="393"/>
      <c r="N72" s="393"/>
      <c r="O72" s="393"/>
      <c r="P72" s="393"/>
      <c r="Q72" s="393"/>
      <c r="R72" s="393"/>
      <c r="S72" s="394"/>
      <c r="T72" s="372" t="s">
        <v>49</v>
      </c>
      <c r="U72" s="372"/>
      <c r="V72" s="392" t="s">
        <v>50</v>
      </c>
      <c r="W72" s="394"/>
      <c r="X72" s="393" t="s">
        <v>51</v>
      </c>
      <c r="Y72" s="393"/>
      <c r="Z72" s="393"/>
      <c r="AA72" s="393"/>
      <c r="AB72" s="393"/>
      <c r="AC72" s="393"/>
      <c r="AD72" s="395"/>
      <c r="AF72" s="50"/>
    </row>
    <row r="73" spans="1:32" ht="33.75" customHeight="1">
      <c r="A73" s="364">
        <v>1</v>
      </c>
      <c r="B73" s="365"/>
      <c r="C73" s="126" t="s">
        <v>114</v>
      </c>
      <c r="D73" s="126"/>
      <c r="E73" s="65" t="s">
        <v>119</v>
      </c>
      <c r="F73" s="379" t="s">
        <v>118</v>
      </c>
      <c r="G73" s="380"/>
      <c r="H73" s="380"/>
      <c r="I73" s="380"/>
      <c r="J73" s="381"/>
      <c r="K73" s="382" t="s">
        <v>156</v>
      </c>
      <c r="L73" s="383"/>
      <c r="M73" s="383"/>
      <c r="N73" s="383"/>
      <c r="O73" s="383"/>
      <c r="P73" s="383"/>
      <c r="Q73" s="383"/>
      <c r="R73" s="383"/>
      <c r="S73" s="384"/>
      <c r="T73" s="385">
        <v>43675</v>
      </c>
      <c r="U73" s="386"/>
      <c r="V73" s="387"/>
      <c r="W73" s="387"/>
      <c r="X73" s="388"/>
      <c r="Y73" s="388"/>
      <c r="Z73" s="388"/>
      <c r="AA73" s="388"/>
      <c r="AB73" s="388"/>
      <c r="AC73" s="388"/>
      <c r="AD73" s="389"/>
      <c r="AF73" s="50"/>
    </row>
    <row r="74" spans="1:32" ht="30" customHeight="1">
      <c r="A74" s="357">
        <f>A73+1</f>
        <v>2</v>
      </c>
      <c r="B74" s="358"/>
      <c r="C74" s="125"/>
      <c r="D74" s="125"/>
      <c r="E74" s="32"/>
      <c r="F74" s="358"/>
      <c r="G74" s="358"/>
      <c r="H74" s="358"/>
      <c r="I74" s="358"/>
      <c r="J74" s="358"/>
      <c r="K74" s="373"/>
      <c r="L74" s="374"/>
      <c r="M74" s="374"/>
      <c r="N74" s="374"/>
      <c r="O74" s="374"/>
      <c r="P74" s="374"/>
      <c r="Q74" s="374"/>
      <c r="R74" s="374"/>
      <c r="S74" s="375"/>
      <c r="T74" s="376"/>
      <c r="U74" s="376"/>
      <c r="V74" s="376"/>
      <c r="W74" s="376"/>
      <c r="X74" s="377"/>
      <c r="Y74" s="377"/>
      <c r="Z74" s="377"/>
      <c r="AA74" s="377"/>
      <c r="AB74" s="377"/>
      <c r="AC74" s="377"/>
      <c r="AD74" s="378"/>
      <c r="AF74" s="50"/>
    </row>
    <row r="75" spans="1:32" ht="30" customHeight="1">
      <c r="A75" s="357">
        <f t="shared" ref="A75:A81" si="15">A74+1</f>
        <v>3</v>
      </c>
      <c r="B75" s="358"/>
      <c r="C75" s="125"/>
      <c r="D75" s="125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si="15"/>
        <v>4</v>
      </c>
      <c r="B76" s="358"/>
      <c r="C76" s="125"/>
      <c r="D76" s="125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15"/>
        <v>5</v>
      </c>
      <c r="B77" s="358"/>
      <c r="C77" s="125"/>
      <c r="D77" s="125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15"/>
        <v>6</v>
      </c>
      <c r="B78" s="358"/>
      <c r="C78" s="125"/>
      <c r="D78" s="125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15"/>
        <v>7</v>
      </c>
      <c r="B79" s="358"/>
      <c r="C79" s="125"/>
      <c r="D79" s="125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15"/>
        <v>8</v>
      </c>
      <c r="B80" s="358"/>
      <c r="C80" s="125"/>
      <c r="D80" s="125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15"/>
        <v>9</v>
      </c>
      <c r="B81" s="358"/>
      <c r="C81" s="125"/>
      <c r="D81" s="125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6" thickBot="1">
      <c r="A82" s="370" t="s">
        <v>184</v>
      </c>
      <c r="B82" s="370"/>
      <c r="C82" s="370"/>
      <c r="D82" s="370"/>
      <c r="E82" s="370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371" t="s">
        <v>113</v>
      </c>
      <c r="B83" s="372"/>
      <c r="C83" s="362" t="s">
        <v>52</v>
      </c>
      <c r="D83" s="362"/>
      <c r="E83" s="362" t="s">
        <v>53</v>
      </c>
      <c r="F83" s="362"/>
      <c r="G83" s="362"/>
      <c r="H83" s="362"/>
      <c r="I83" s="362"/>
      <c r="J83" s="362"/>
      <c r="K83" s="362" t="s">
        <v>54</v>
      </c>
      <c r="L83" s="362"/>
      <c r="M83" s="362"/>
      <c r="N83" s="362"/>
      <c r="O83" s="362"/>
      <c r="P83" s="362"/>
      <c r="Q83" s="362"/>
      <c r="R83" s="362"/>
      <c r="S83" s="362"/>
      <c r="T83" s="362" t="s">
        <v>55</v>
      </c>
      <c r="U83" s="362"/>
      <c r="V83" s="362" t="s">
        <v>56</v>
      </c>
      <c r="W83" s="362"/>
      <c r="X83" s="362"/>
      <c r="Y83" s="362" t="s">
        <v>51</v>
      </c>
      <c r="Z83" s="362"/>
      <c r="AA83" s="362"/>
      <c r="AB83" s="362"/>
      <c r="AC83" s="362"/>
      <c r="AD83" s="363"/>
      <c r="AF83" s="50"/>
    </row>
    <row r="84" spans="1:32" ht="30.75" customHeight="1">
      <c r="A84" s="364">
        <v>1</v>
      </c>
      <c r="B84" s="365"/>
      <c r="C84" s="366"/>
      <c r="D84" s="366"/>
      <c r="E84" s="366"/>
      <c r="F84" s="366"/>
      <c r="G84" s="366"/>
      <c r="H84" s="366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  <c r="U84" s="366"/>
      <c r="V84" s="367"/>
      <c r="W84" s="367"/>
      <c r="X84" s="367"/>
      <c r="Y84" s="368"/>
      <c r="Z84" s="368"/>
      <c r="AA84" s="368"/>
      <c r="AB84" s="368"/>
      <c r="AC84" s="368"/>
      <c r="AD84" s="369"/>
      <c r="AF84" s="50"/>
    </row>
    <row r="85" spans="1:32" ht="30.75" customHeight="1">
      <c r="A85" s="357">
        <v>2</v>
      </c>
      <c r="B85" s="358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60"/>
      <c r="U85" s="360"/>
      <c r="V85" s="361"/>
      <c r="W85" s="361"/>
      <c r="X85" s="361"/>
      <c r="Y85" s="350"/>
      <c r="Z85" s="350"/>
      <c r="AA85" s="350"/>
      <c r="AB85" s="350"/>
      <c r="AC85" s="350"/>
      <c r="AD85" s="351"/>
      <c r="AF85" s="50"/>
    </row>
    <row r="86" spans="1:32" ht="30.75" customHeight="1" thickBot="1">
      <c r="A86" s="352">
        <v>3</v>
      </c>
      <c r="B86" s="353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5"/>
      <c r="Z86" s="355"/>
      <c r="AA86" s="355"/>
      <c r="AB86" s="355"/>
      <c r="AC86" s="355"/>
      <c r="AD86" s="356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E49B-8C0E-4380-8DBD-566AAF571DD2}">
  <dimension ref="A1:AF86"/>
  <sheetViews>
    <sheetView zoomScale="72" zoomScaleNormal="72" zoomScaleSheetLayoutView="70" workbookViewId="0">
      <selection activeCell="F79" sqref="F79:J79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498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316" t="s">
        <v>17</v>
      </c>
      <c r="L5" s="316" t="s">
        <v>18</v>
      </c>
      <c r="M5" s="316" t="s">
        <v>19</v>
      </c>
      <c r="N5" s="31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17" si="7">AC6*AB6*(1-O6)</f>
        <v>0</v>
      </c>
      <c r="AE6" s="36">
        <f t="shared" ref="AE6:AE20" si="8">$AD$21</f>
        <v>0.37222222222222229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0.37222222222222229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40000</v>
      </c>
      <c r="J8" s="14">
        <v>5602</v>
      </c>
      <c r="K8" s="15">
        <f>L8+2529+4548+3870+3984</f>
        <v>20533</v>
      </c>
      <c r="L8" s="15">
        <f>2932+2670</f>
        <v>5602</v>
      </c>
      <c r="M8" s="15">
        <f t="shared" si="1"/>
        <v>5602</v>
      </c>
      <c r="N8" s="15">
        <v>0</v>
      </c>
      <c r="O8" s="58">
        <f t="shared" si="2"/>
        <v>0</v>
      </c>
      <c r="P8" s="39">
        <f t="shared" si="3"/>
        <v>24</v>
      </c>
      <c r="Q8" s="40">
        <f t="shared" si="4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1</v>
      </c>
      <c r="AD8" s="10">
        <f t="shared" si="7"/>
        <v>1</v>
      </c>
      <c r="AE8" s="36">
        <f t="shared" si="8"/>
        <v>0.37222222222222229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124</v>
      </c>
      <c r="D9" s="52" t="s">
        <v>221</v>
      </c>
      <c r="E9" s="53" t="s">
        <v>458</v>
      </c>
      <c r="F9" s="30" t="s">
        <v>127</v>
      </c>
      <c r="G9" s="33">
        <v>1</v>
      </c>
      <c r="H9" s="35">
        <v>24</v>
      </c>
      <c r="I9" s="7">
        <v>15000</v>
      </c>
      <c r="J9" s="14">
        <v>1014</v>
      </c>
      <c r="K9" s="15">
        <f>L9+1014</f>
        <v>1014</v>
      </c>
      <c r="L9" s="15">
        <v>0</v>
      </c>
      <c r="M9" s="15">
        <f t="shared" si="1"/>
        <v>0</v>
      </c>
      <c r="N9" s="15">
        <v>0</v>
      </c>
      <c r="O9" s="58" t="str">
        <f t="shared" si="2"/>
        <v>0</v>
      </c>
      <c r="P9" s="39" t="str">
        <f t="shared" si="3"/>
        <v>0</v>
      </c>
      <c r="Q9" s="40">
        <f t="shared" si="4"/>
        <v>24</v>
      </c>
      <c r="R9" s="7"/>
      <c r="S9" s="6">
        <v>24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0</v>
      </c>
      <c r="AC9" s="9">
        <f t="shared" si="6"/>
        <v>0</v>
      </c>
      <c r="AD9" s="10">
        <f t="shared" si="7"/>
        <v>0</v>
      </c>
      <c r="AE9" s="36">
        <f t="shared" si="8"/>
        <v>0.37222222222222229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480</v>
      </c>
      <c r="D10" s="52" t="s">
        <v>400</v>
      </c>
      <c r="E10" s="53" t="s">
        <v>479</v>
      </c>
      <c r="F10" s="30" t="s">
        <v>130</v>
      </c>
      <c r="G10" s="33">
        <v>2</v>
      </c>
      <c r="H10" s="35">
        <v>24</v>
      </c>
      <c r="I10" s="7">
        <v>1000</v>
      </c>
      <c r="J10" s="5">
        <v>6408</v>
      </c>
      <c r="K10" s="15">
        <f>L10+6408</f>
        <v>6408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/>
      <c r="T10" s="16"/>
      <c r="U10" s="16"/>
      <c r="V10" s="17"/>
      <c r="W10" s="5">
        <v>24</v>
      </c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0.37222222222222229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142</v>
      </c>
      <c r="D11" s="52" t="s">
        <v>221</v>
      </c>
      <c r="E11" s="53" t="s">
        <v>478</v>
      </c>
      <c r="F11" s="30" t="s">
        <v>121</v>
      </c>
      <c r="G11" s="33">
        <v>1</v>
      </c>
      <c r="H11" s="35">
        <v>24</v>
      </c>
      <c r="I11" s="7">
        <v>600</v>
      </c>
      <c r="J11" s="14">
        <v>1440</v>
      </c>
      <c r="K11" s="15">
        <f>L11+1440</f>
        <v>1440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ref="AD11" si="10">AC11*AB11*(1-O11)</f>
        <v>0</v>
      </c>
      <c r="AE11" s="36">
        <f t="shared" si="8"/>
        <v>0.37222222222222229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260</v>
      </c>
      <c r="F12" s="30" t="s">
        <v>121</v>
      </c>
      <c r="G12" s="33">
        <v>1</v>
      </c>
      <c r="H12" s="35">
        <v>20</v>
      </c>
      <c r="I12" s="7">
        <v>15000</v>
      </c>
      <c r="J12" s="14">
        <v>4302</v>
      </c>
      <c r="K12" s="15">
        <f>L12+3623+3013</f>
        <v>10938</v>
      </c>
      <c r="L12" s="15">
        <f>2180+2122</f>
        <v>4302</v>
      </c>
      <c r="M12" s="15">
        <f t="shared" si="1"/>
        <v>4302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si="7"/>
        <v>1</v>
      </c>
      <c r="AE12" s="36">
        <f t="shared" si="8"/>
        <v>0.37222222222222229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142</v>
      </c>
      <c r="D13" s="52" t="s">
        <v>117</v>
      </c>
      <c r="E13" s="53" t="s">
        <v>477</v>
      </c>
      <c r="F13" s="30" t="s">
        <v>199</v>
      </c>
      <c r="G13" s="33">
        <v>1</v>
      </c>
      <c r="H13" s="35">
        <v>24</v>
      </c>
      <c r="I13" s="7">
        <v>600</v>
      </c>
      <c r="J13" s="14">
        <v>793</v>
      </c>
      <c r="K13" s="15">
        <f>L13+793</f>
        <v>793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/>
      <c r="X13" s="16"/>
      <c r="Y13" s="16"/>
      <c r="Z13" s="16"/>
      <c r="AA13" s="18">
        <v>24</v>
      </c>
      <c r="AB13" s="8">
        <f t="shared" si="5"/>
        <v>0</v>
      </c>
      <c r="AC13" s="9">
        <f t="shared" si="6"/>
        <v>0</v>
      </c>
      <c r="AD13" s="10">
        <f t="shared" si="7"/>
        <v>0</v>
      </c>
      <c r="AE13" s="36">
        <f t="shared" si="8"/>
        <v>0.37222222222222229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140</v>
      </c>
      <c r="D14" s="52" t="s">
        <v>229</v>
      </c>
      <c r="E14" s="53"/>
      <c r="F14" s="30" t="s">
        <v>216</v>
      </c>
      <c r="G14" s="12" t="s">
        <v>470</v>
      </c>
      <c r="H14" s="13">
        <v>28</v>
      </c>
      <c r="I14" s="7">
        <v>3000</v>
      </c>
      <c r="J14" s="5">
        <v>628</v>
      </c>
      <c r="K14" s="15">
        <f>L14</f>
        <v>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0.37222222222222229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441</v>
      </c>
      <c r="D15" s="52"/>
      <c r="E15" s="53" t="s">
        <v>442</v>
      </c>
      <c r="F15" s="12" t="s">
        <v>443</v>
      </c>
      <c r="G15" s="12">
        <v>8</v>
      </c>
      <c r="H15" s="13">
        <v>24</v>
      </c>
      <c r="I15" s="31">
        <v>10000</v>
      </c>
      <c r="J15" s="14">
        <v>7008</v>
      </c>
      <c r="K15" s="15">
        <f>L15+17192+7008</f>
        <v>24200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0.37222222222222229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129</v>
      </c>
      <c r="E16" s="53" t="s">
        <v>259</v>
      </c>
      <c r="F16" s="30" t="s">
        <v>130</v>
      </c>
      <c r="G16" s="12">
        <v>1</v>
      </c>
      <c r="H16" s="13">
        <v>28</v>
      </c>
      <c r="I16" s="7">
        <v>9000</v>
      </c>
      <c r="J16" s="14">
        <v>4928</v>
      </c>
      <c r="K16" s="15">
        <f>L16+5027+5503+5566+4928</f>
        <v>21024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0.37222222222222229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449</v>
      </c>
      <c r="D17" s="52" t="s">
        <v>499</v>
      </c>
      <c r="E17" s="53" t="s">
        <v>500</v>
      </c>
      <c r="F17" s="30" t="s">
        <v>501</v>
      </c>
      <c r="G17" s="33">
        <v>3</v>
      </c>
      <c r="H17" s="35">
        <v>20</v>
      </c>
      <c r="I17" s="7">
        <v>30000</v>
      </c>
      <c r="J17" s="14">
        <v>9354</v>
      </c>
      <c r="K17" s="15">
        <f>L17</f>
        <v>9354</v>
      </c>
      <c r="L17" s="15">
        <f>3118*3</f>
        <v>9354</v>
      </c>
      <c r="M17" s="15">
        <f t="shared" si="1"/>
        <v>9354</v>
      </c>
      <c r="N17" s="15">
        <v>0</v>
      </c>
      <c r="O17" s="58">
        <f t="shared" si="2"/>
        <v>0</v>
      </c>
      <c r="P17" s="39">
        <f t="shared" si="3"/>
        <v>14</v>
      </c>
      <c r="Q17" s="40">
        <f t="shared" si="4"/>
        <v>10</v>
      </c>
      <c r="R17" s="7"/>
      <c r="S17" s="6"/>
      <c r="T17" s="16">
        <v>10</v>
      </c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0.58333333333333337</v>
      </c>
      <c r="AD17" s="10">
        <f t="shared" si="7"/>
        <v>0.58333333333333337</v>
      </c>
      <c r="AE17" s="36">
        <f t="shared" si="8"/>
        <v>0.37222222222222229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125</v>
      </c>
      <c r="E18" s="53" t="s">
        <v>492</v>
      </c>
      <c r="F18" s="30" t="s">
        <v>127</v>
      </c>
      <c r="G18" s="33">
        <v>1</v>
      </c>
      <c r="H18" s="35">
        <v>24</v>
      </c>
      <c r="I18" s="7">
        <v>45500</v>
      </c>
      <c r="J18" s="5">
        <v>5168</v>
      </c>
      <c r="K18" s="15">
        <f>L18</f>
        <v>5168</v>
      </c>
      <c r="L18" s="15">
        <f>2258+2910</f>
        <v>5168</v>
      </c>
      <c r="M18" s="15">
        <f t="shared" si="1"/>
        <v>5168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0.37222222222222229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114</v>
      </c>
      <c r="D19" s="52" t="s">
        <v>117</v>
      </c>
      <c r="E19" s="53" t="s">
        <v>493</v>
      </c>
      <c r="F19" s="30" t="s">
        <v>121</v>
      </c>
      <c r="G19" s="33">
        <v>1</v>
      </c>
      <c r="H19" s="35">
        <v>24</v>
      </c>
      <c r="I19" s="7">
        <v>45000</v>
      </c>
      <c r="J19" s="14">
        <v>4853</v>
      </c>
      <c r="K19" s="15">
        <f>L19</f>
        <v>4853</v>
      </c>
      <c r="L19" s="15">
        <f>2059+2794</f>
        <v>4853</v>
      </c>
      <c r="M19" s="15">
        <f t="shared" si="1"/>
        <v>4853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 t="shared" ref="AD19:AD20" si="11">AC19*AB19*(1-O19)</f>
        <v>1</v>
      </c>
      <c r="AE19" s="36">
        <f t="shared" si="8"/>
        <v>0.37222222222222229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383</v>
      </c>
      <c r="F20" s="12" t="s">
        <v>116</v>
      </c>
      <c r="G20" s="12">
        <v>3</v>
      </c>
      <c r="H20" s="35">
        <v>20</v>
      </c>
      <c r="I20" s="7">
        <v>100000</v>
      </c>
      <c r="J20" s="14">
        <v>85628</v>
      </c>
      <c r="K20" s="15">
        <f>L20+82592</f>
        <v>168220</v>
      </c>
      <c r="L20" s="15">
        <f>9996*4+11411*4</f>
        <v>85628</v>
      </c>
      <c r="M20" s="15">
        <f t="shared" si="1"/>
        <v>85628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si="11"/>
        <v>1</v>
      </c>
      <c r="AE20" s="36">
        <f t="shared" si="8"/>
        <v>0.37222222222222229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2">SUM(I6:I20)</f>
        <v>335700</v>
      </c>
      <c r="J21" s="19">
        <f t="shared" si="12"/>
        <v>139187</v>
      </c>
      <c r="K21" s="20">
        <f t="shared" si="12"/>
        <v>285493</v>
      </c>
      <c r="L21" s="21">
        <f t="shared" si="12"/>
        <v>114907</v>
      </c>
      <c r="M21" s="20">
        <f t="shared" si="12"/>
        <v>114907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134</v>
      </c>
      <c r="Q21" s="43">
        <f t="shared" si="13"/>
        <v>226</v>
      </c>
      <c r="R21" s="23">
        <f t="shared" si="13"/>
        <v>48</v>
      </c>
      <c r="S21" s="24">
        <f t="shared" si="13"/>
        <v>48</v>
      </c>
      <c r="T21" s="24">
        <f t="shared" si="13"/>
        <v>10</v>
      </c>
      <c r="U21" s="24">
        <f t="shared" si="13"/>
        <v>0</v>
      </c>
      <c r="V21" s="25">
        <f t="shared" si="13"/>
        <v>24</v>
      </c>
      <c r="W21" s="26">
        <f t="shared" si="13"/>
        <v>72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24</v>
      </c>
      <c r="AB21" s="28">
        <f>SUM(AB6:AB20)/15</f>
        <v>0.4</v>
      </c>
      <c r="AC21" s="4">
        <f>SUM(AC6:AC20)/15</f>
        <v>0.37222222222222229</v>
      </c>
      <c r="AD21" s="4">
        <f>SUM(AD6:AD20)/15</f>
        <v>0.37222222222222229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502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503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317" t="s">
        <v>46</v>
      </c>
      <c r="D50" s="317" t="s">
        <v>47</v>
      </c>
      <c r="E50" s="317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317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09" t="s">
        <v>124</v>
      </c>
      <c r="B51" s="410"/>
      <c r="C51" s="319" t="s">
        <v>189</v>
      </c>
      <c r="D51" s="319" t="s">
        <v>221</v>
      </c>
      <c r="E51" s="319" t="s">
        <v>458</v>
      </c>
      <c r="F51" s="411" t="s">
        <v>307</v>
      </c>
      <c r="G51" s="412"/>
      <c r="H51" s="412"/>
      <c r="I51" s="412"/>
      <c r="J51" s="412"/>
      <c r="K51" s="412"/>
      <c r="L51" s="412"/>
      <c r="M51" s="413"/>
      <c r="N51" s="318" t="s">
        <v>124</v>
      </c>
      <c r="O51" s="323" t="s">
        <v>189</v>
      </c>
      <c r="P51" s="423" t="s">
        <v>221</v>
      </c>
      <c r="Q51" s="424"/>
      <c r="R51" s="410" t="s">
        <v>458</v>
      </c>
      <c r="S51" s="410"/>
      <c r="T51" s="410"/>
      <c r="U51" s="410"/>
      <c r="V51" s="400" t="s">
        <v>126</v>
      </c>
      <c r="W51" s="400"/>
      <c r="X51" s="400"/>
      <c r="Y51" s="400"/>
      <c r="Z51" s="400"/>
      <c r="AA51" s="400"/>
      <c r="AB51" s="400"/>
      <c r="AC51" s="400"/>
      <c r="AD51" s="414"/>
    </row>
    <row r="52" spans="1:32" ht="27" customHeight="1">
      <c r="A52" s="409" t="s">
        <v>114</v>
      </c>
      <c r="B52" s="410"/>
      <c r="C52" s="319" t="s">
        <v>128</v>
      </c>
      <c r="D52" s="319" t="s">
        <v>125</v>
      </c>
      <c r="E52" s="319" t="s">
        <v>492</v>
      </c>
      <c r="F52" s="411" t="s">
        <v>120</v>
      </c>
      <c r="G52" s="412"/>
      <c r="H52" s="412"/>
      <c r="I52" s="412"/>
      <c r="J52" s="412"/>
      <c r="K52" s="412"/>
      <c r="L52" s="412"/>
      <c r="M52" s="413"/>
      <c r="N52" s="318" t="s">
        <v>124</v>
      </c>
      <c r="O52" s="323" t="s">
        <v>138</v>
      </c>
      <c r="P52" s="423" t="s">
        <v>221</v>
      </c>
      <c r="Q52" s="424"/>
      <c r="R52" s="410" t="s">
        <v>406</v>
      </c>
      <c r="S52" s="410"/>
      <c r="T52" s="410"/>
      <c r="U52" s="410"/>
      <c r="V52" s="400" t="s">
        <v>385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114</v>
      </c>
      <c r="B53" s="410"/>
      <c r="C53" s="319" t="s">
        <v>217</v>
      </c>
      <c r="D53" s="319" t="s">
        <v>117</v>
      </c>
      <c r="E53" s="319" t="s">
        <v>493</v>
      </c>
      <c r="F53" s="411" t="s">
        <v>120</v>
      </c>
      <c r="G53" s="412"/>
      <c r="H53" s="412"/>
      <c r="I53" s="412"/>
      <c r="J53" s="412"/>
      <c r="K53" s="412"/>
      <c r="L53" s="412"/>
      <c r="M53" s="413"/>
      <c r="N53" s="318" t="s">
        <v>140</v>
      </c>
      <c r="O53" s="323" t="s">
        <v>191</v>
      </c>
      <c r="P53" s="423"/>
      <c r="Q53" s="424"/>
      <c r="R53" s="410" t="s">
        <v>192</v>
      </c>
      <c r="S53" s="410"/>
      <c r="T53" s="410"/>
      <c r="U53" s="410"/>
      <c r="V53" s="400" t="s">
        <v>126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/>
      <c r="B54" s="410"/>
      <c r="C54" s="319"/>
      <c r="D54" s="319"/>
      <c r="E54" s="319"/>
      <c r="F54" s="411"/>
      <c r="G54" s="412"/>
      <c r="H54" s="412"/>
      <c r="I54" s="412"/>
      <c r="J54" s="412"/>
      <c r="K54" s="412"/>
      <c r="L54" s="412"/>
      <c r="M54" s="413"/>
      <c r="N54" s="318"/>
      <c r="O54" s="323"/>
      <c r="P54" s="423"/>
      <c r="Q54" s="424"/>
      <c r="R54" s="410"/>
      <c r="S54" s="410"/>
      <c r="T54" s="410"/>
      <c r="U54" s="410"/>
      <c r="V54" s="400"/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/>
      <c r="B55" s="410"/>
      <c r="C55" s="319"/>
      <c r="D55" s="319"/>
      <c r="E55" s="319"/>
      <c r="F55" s="411"/>
      <c r="G55" s="412"/>
      <c r="H55" s="412"/>
      <c r="I55" s="412"/>
      <c r="J55" s="412"/>
      <c r="K55" s="412"/>
      <c r="L55" s="412"/>
      <c r="M55" s="413"/>
      <c r="N55" s="318"/>
      <c r="O55" s="323"/>
      <c r="P55" s="423"/>
      <c r="Q55" s="424"/>
      <c r="R55" s="410"/>
      <c r="S55" s="410"/>
      <c r="T55" s="410"/>
      <c r="U55" s="410"/>
      <c r="V55" s="400"/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/>
      <c r="B56" s="410"/>
      <c r="C56" s="319"/>
      <c r="D56" s="319"/>
      <c r="E56" s="319"/>
      <c r="F56" s="411"/>
      <c r="G56" s="412"/>
      <c r="H56" s="412"/>
      <c r="I56" s="412"/>
      <c r="J56" s="412"/>
      <c r="K56" s="412"/>
      <c r="L56" s="412"/>
      <c r="M56" s="413"/>
      <c r="N56" s="318"/>
      <c r="O56" s="323"/>
      <c r="P56" s="423"/>
      <c r="Q56" s="424"/>
      <c r="R56" s="410"/>
      <c r="S56" s="410"/>
      <c r="T56" s="410"/>
      <c r="U56" s="410"/>
      <c r="V56" s="400"/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/>
      <c r="B57" s="410"/>
      <c r="C57" s="319"/>
      <c r="D57" s="319"/>
      <c r="E57" s="319"/>
      <c r="F57" s="411"/>
      <c r="G57" s="412"/>
      <c r="H57" s="412"/>
      <c r="I57" s="412"/>
      <c r="J57" s="412"/>
      <c r="K57" s="412"/>
      <c r="L57" s="412"/>
      <c r="M57" s="413"/>
      <c r="N57" s="318"/>
      <c r="O57" s="323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/>
      <c r="B58" s="410"/>
      <c r="C58" s="319"/>
      <c r="D58" s="319"/>
      <c r="E58" s="319"/>
      <c r="F58" s="411"/>
      <c r="G58" s="412"/>
      <c r="H58" s="412"/>
      <c r="I58" s="412"/>
      <c r="J58" s="412"/>
      <c r="K58" s="412"/>
      <c r="L58" s="412"/>
      <c r="M58" s="413"/>
      <c r="N58" s="318"/>
      <c r="O58" s="323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319"/>
      <c r="D59" s="319"/>
      <c r="E59" s="319"/>
      <c r="F59" s="411"/>
      <c r="G59" s="412"/>
      <c r="H59" s="412"/>
      <c r="I59" s="412"/>
      <c r="J59" s="412"/>
      <c r="K59" s="412"/>
      <c r="L59" s="412"/>
      <c r="M59" s="413"/>
      <c r="N59" s="318"/>
      <c r="O59" s="323"/>
      <c r="P59" s="410"/>
      <c r="Q59" s="410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  <c r="AF59" s="87">
        <f>8*3000</f>
        <v>24000</v>
      </c>
    </row>
    <row r="60" spans="1:32" ht="27" customHeight="1" thickBot="1">
      <c r="A60" s="415"/>
      <c r="B60" s="416"/>
      <c r="C60" s="320"/>
      <c r="D60" s="320"/>
      <c r="E60" s="320"/>
      <c r="F60" s="417"/>
      <c r="G60" s="418"/>
      <c r="H60" s="418"/>
      <c r="I60" s="418"/>
      <c r="J60" s="418"/>
      <c r="K60" s="418"/>
      <c r="L60" s="418"/>
      <c r="M60" s="419"/>
      <c r="N60" s="124"/>
      <c r="O60" s="114"/>
      <c r="P60" s="420"/>
      <c r="Q60" s="420"/>
      <c r="R60" s="420"/>
      <c r="S60" s="420"/>
      <c r="T60" s="420"/>
      <c r="U60" s="420"/>
      <c r="V60" s="421"/>
      <c r="W60" s="421"/>
      <c r="X60" s="421"/>
      <c r="Y60" s="421"/>
      <c r="Z60" s="421"/>
      <c r="AA60" s="421"/>
      <c r="AB60" s="421"/>
      <c r="AC60" s="421"/>
      <c r="AD60" s="422"/>
      <c r="AF60" s="87">
        <f>16*3000</f>
        <v>48000</v>
      </c>
    </row>
    <row r="61" spans="1:32" ht="27.75" thickBot="1">
      <c r="A61" s="407" t="s">
        <v>504</v>
      </c>
      <c r="B61" s="407"/>
      <c r="C61" s="407"/>
      <c r="D61" s="407"/>
      <c r="E61" s="40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08" t="s">
        <v>113</v>
      </c>
      <c r="B62" s="405"/>
      <c r="C62" s="321" t="s">
        <v>2</v>
      </c>
      <c r="D62" s="321" t="s">
        <v>37</v>
      </c>
      <c r="E62" s="321" t="s">
        <v>3</v>
      </c>
      <c r="F62" s="405" t="s">
        <v>110</v>
      </c>
      <c r="G62" s="405"/>
      <c r="H62" s="405"/>
      <c r="I62" s="405"/>
      <c r="J62" s="405"/>
      <c r="K62" s="405" t="s">
        <v>39</v>
      </c>
      <c r="L62" s="405"/>
      <c r="M62" s="321" t="s">
        <v>40</v>
      </c>
      <c r="N62" s="405" t="s">
        <v>41</v>
      </c>
      <c r="O62" s="405"/>
      <c r="P62" s="402" t="s">
        <v>42</v>
      </c>
      <c r="Q62" s="404"/>
      <c r="R62" s="402" t="s">
        <v>43</v>
      </c>
      <c r="S62" s="403"/>
      <c r="T62" s="403"/>
      <c r="U62" s="403"/>
      <c r="V62" s="403"/>
      <c r="W62" s="403"/>
      <c r="X62" s="403"/>
      <c r="Y62" s="403"/>
      <c r="Z62" s="403"/>
      <c r="AA62" s="404"/>
      <c r="AB62" s="405" t="s">
        <v>44</v>
      </c>
      <c r="AC62" s="405"/>
      <c r="AD62" s="406"/>
      <c r="AF62" s="87">
        <f>SUM(AF59:AF61)</f>
        <v>96000</v>
      </c>
    </row>
    <row r="63" spans="1:32" ht="25.5" customHeight="1">
      <c r="A63" s="396">
        <v>1</v>
      </c>
      <c r="B63" s="397"/>
      <c r="C63" s="117" t="s">
        <v>140</v>
      </c>
      <c r="D63" s="325"/>
      <c r="E63" s="322" t="s">
        <v>129</v>
      </c>
      <c r="F63" s="398" t="s">
        <v>505</v>
      </c>
      <c r="G63" s="390"/>
      <c r="H63" s="390"/>
      <c r="I63" s="390"/>
      <c r="J63" s="390"/>
      <c r="K63" s="390" t="s">
        <v>130</v>
      </c>
      <c r="L63" s="390"/>
      <c r="M63" s="51" t="s">
        <v>203</v>
      </c>
      <c r="N63" s="401" t="s">
        <v>204</v>
      </c>
      <c r="O63" s="401"/>
      <c r="P63" s="399">
        <v>50</v>
      </c>
      <c r="Q63" s="399"/>
      <c r="R63" s="400"/>
      <c r="S63" s="400"/>
      <c r="T63" s="400"/>
      <c r="U63" s="400"/>
      <c r="V63" s="400"/>
      <c r="W63" s="400"/>
      <c r="X63" s="400"/>
      <c r="Y63" s="400"/>
      <c r="Z63" s="400"/>
      <c r="AA63" s="400"/>
      <c r="AB63" s="390"/>
      <c r="AC63" s="390"/>
      <c r="AD63" s="391"/>
      <c r="AF63" s="50"/>
    </row>
    <row r="64" spans="1:32" ht="25.5" customHeight="1">
      <c r="A64" s="396">
        <v>2</v>
      </c>
      <c r="B64" s="397"/>
      <c r="C64" s="117" t="s">
        <v>124</v>
      </c>
      <c r="D64" s="325"/>
      <c r="E64" s="322" t="s">
        <v>135</v>
      </c>
      <c r="F64" s="398" t="s">
        <v>408</v>
      </c>
      <c r="G64" s="390"/>
      <c r="H64" s="390"/>
      <c r="I64" s="390"/>
      <c r="J64" s="390"/>
      <c r="K64" s="390" t="s">
        <v>134</v>
      </c>
      <c r="L64" s="390"/>
      <c r="M64" s="51" t="s">
        <v>207</v>
      </c>
      <c r="N64" s="401" t="s">
        <v>138</v>
      </c>
      <c r="O64" s="401"/>
      <c r="P64" s="399">
        <v>50</v>
      </c>
      <c r="Q64" s="399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3</v>
      </c>
      <c r="B65" s="397"/>
      <c r="C65" s="117"/>
      <c r="D65" s="325"/>
      <c r="E65" s="322"/>
      <c r="F65" s="398"/>
      <c r="G65" s="390"/>
      <c r="H65" s="390"/>
      <c r="I65" s="390"/>
      <c r="J65" s="390"/>
      <c r="K65" s="390"/>
      <c r="L65" s="390"/>
      <c r="M65" s="51"/>
      <c r="N65" s="401"/>
      <c r="O65" s="401"/>
      <c r="P65" s="399"/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4</v>
      </c>
      <c r="B66" s="397"/>
      <c r="C66" s="117"/>
      <c r="D66" s="325"/>
      <c r="E66" s="322"/>
      <c r="F66" s="398"/>
      <c r="G66" s="390"/>
      <c r="H66" s="390"/>
      <c r="I66" s="390"/>
      <c r="J66" s="390"/>
      <c r="K66" s="390"/>
      <c r="L66" s="390"/>
      <c r="M66" s="51"/>
      <c r="N66" s="401"/>
      <c r="O66" s="401"/>
      <c r="P66" s="399"/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5</v>
      </c>
      <c r="B67" s="397"/>
      <c r="C67" s="117"/>
      <c r="D67" s="325"/>
      <c r="E67" s="322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6</v>
      </c>
      <c r="B68" s="397"/>
      <c r="C68" s="117"/>
      <c r="D68" s="325"/>
      <c r="E68" s="322"/>
      <c r="F68" s="398"/>
      <c r="G68" s="390"/>
      <c r="H68" s="390"/>
      <c r="I68" s="390"/>
      <c r="J68" s="390"/>
      <c r="K68" s="390"/>
      <c r="L68" s="390"/>
      <c r="M68" s="51"/>
      <c r="N68" s="390"/>
      <c r="O68" s="390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7</v>
      </c>
      <c r="B69" s="397"/>
      <c r="C69" s="117"/>
      <c r="D69" s="325"/>
      <c r="E69" s="322"/>
      <c r="F69" s="398"/>
      <c r="G69" s="390"/>
      <c r="H69" s="390"/>
      <c r="I69" s="390"/>
      <c r="J69" s="390"/>
      <c r="K69" s="390"/>
      <c r="L69" s="390"/>
      <c r="M69" s="51"/>
      <c r="N69" s="401"/>
      <c r="O69" s="401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8</v>
      </c>
      <c r="B70" s="397"/>
      <c r="C70" s="117"/>
      <c r="D70" s="325"/>
      <c r="E70" s="322"/>
      <c r="F70" s="398"/>
      <c r="G70" s="390"/>
      <c r="H70" s="390"/>
      <c r="I70" s="390"/>
      <c r="J70" s="390"/>
      <c r="K70" s="390"/>
      <c r="L70" s="390"/>
      <c r="M70" s="51"/>
      <c r="N70" s="390"/>
      <c r="O70" s="390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6.25" customHeight="1" thickBot="1">
      <c r="A71" s="370" t="s">
        <v>506</v>
      </c>
      <c r="B71" s="370"/>
      <c r="C71" s="370"/>
      <c r="D71" s="370"/>
      <c r="E71" s="370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371" t="s">
        <v>113</v>
      </c>
      <c r="B72" s="372"/>
      <c r="C72" s="324" t="s">
        <v>2</v>
      </c>
      <c r="D72" s="324" t="s">
        <v>37</v>
      </c>
      <c r="E72" s="324" t="s">
        <v>3</v>
      </c>
      <c r="F72" s="372" t="s">
        <v>38</v>
      </c>
      <c r="G72" s="372"/>
      <c r="H72" s="372"/>
      <c r="I72" s="372"/>
      <c r="J72" s="372"/>
      <c r="K72" s="392" t="s">
        <v>58</v>
      </c>
      <c r="L72" s="393"/>
      <c r="M72" s="393"/>
      <c r="N72" s="393"/>
      <c r="O72" s="393"/>
      <c r="P72" s="393"/>
      <c r="Q72" s="393"/>
      <c r="R72" s="393"/>
      <c r="S72" s="394"/>
      <c r="T72" s="372" t="s">
        <v>49</v>
      </c>
      <c r="U72" s="372"/>
      <c r="V72" s="392" t="s">
        <v>50</v>
      </c>
      <c r="W72" s="394"/>
      <c r="X72" s="393" t="s">
        <v>51</v>
      </c>
      <c r="Y72" s="393"/>
      <c r="Z72" s="393"/>
      <c r="AA72" s="393"/>
      <c r="AB72" s="393"/>
      <c r="AC72" s="393"/>
      <c r="AD72" s="395"/>
      <c r="AF72" s="50"/>
    </row>
    <row r="73" spans="1:32" ht="33.75" customHeight="1">
      <c r="A73" s="364">
        <v>1</v>
      </c>
      <c r="B73" s="365"/>
      <c r="C73" s="326" t="s">
        <v>114</v>
      </c>
      <c r="D73" s="326"/>
      <c r="E73" s="65" t="s">
        <v>119</v>
      </c>
      <c r="F73" s="379" t="s">
        <v>118</v>
      </c>
      <c r="G73" s="380"/>
      <c r="H73" s="380"/>
      <c r="I73" s="380"/>
      <c r="J73" s="381"/>
      <c r="K73" s="382" t="s">
        <v>156</v>
      </c>
      <c r="L73" s="383"/>
      <c r="M73" s="383"/>
      <c r="N73" s="383"/>
      <c r="O73" s="383"/>
      <c r="P73" s="383"/>
      <c r="Q73" s="383"/>
      <c r="R73" s="383"/>
      <c r="S73" s="384"/>
      <c r="T73" s="385">
        <v>43675</v>
      </c>
      <c r="U73" s="386"/>
      <c r="V73" s="387"/>
      <c r="W73" s="387"/>
      <c r="X73" s="388"/>
      <c r="Y73" s="388"/>
      <c r="Z73" s="388"/>
      <c r="AA73" s="388"/>
      <c r="AB73" s="388"/>
      <c r="AC73" s="388"/>
      <c r="AD73" s="389"/>
      <c r="AF73" s="50"/>
    </row>
    <row r="74" spans="1:32" ht="30" customHeight="1">
      <c r="A74" s="357">
        <f>A73+1</f>
        <v>2</v>
      </c>
      <c r="B74" s="358"/>
      <c r="C74" s="325"/>
      <c r="D74" s="325"/>
      <c r="E74" s="32"/>
      <c r="F74" s="358"/>
      <c r="G74" s="358"/>
      <c r="H74" s="358"/>
      <c r="I74" s="358"/>
      <c r="J74" s="358"/>
      <c r="K74" s="373"/>
      <c r="L74" s="374"/>
      <c r="M74" s="374"/>
      <c r="N74" s="374"/>
      <c r="O74" s="374"/>
      <c r="P74" s="374"/>
      <c r="Q74" s="374"/>
      <c r="R74" s="374"/>
      <c r="S74" s="375"/>
      <c r="T74" s="376"/>
      <c r="U74" s="376"/>
      <c r="V74" s="376"/>
      <c r="W74" s="376"/>
      <c r="X74" s="377"/>
      <c r="Y74" s="377"/>
      <c r="Z74" s="377"/>
      <c r="AA74" s="377"/>
      <c r="AB74" s="377"/>
      <c r="AC74" s="377"/>
      <c r="AD74" s="378"/>
      <c r="AF74" s="50"/>
    </row>
    <row r="75" spans="1:32" ht="30" customHeight="1">
      <c r="A75" s="357">
        <f t="shared" ref="A75:A81" si="14">A74+1</f>
        <v>3</v>
      </c>
      <c r="B75" s="358"/>
      <c r="C75" s="325"/>
      <c r="D75" s="325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si="14"/>
        <v>4</v>
      </c>
      <c r="B76" s="358"/>
      <c r="C76" s="325"/>
      <c r="D76" s="325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14"/>
        <v>5</v>
      </c>
      <c r="B77" s="358"/>
      <c r="C77" s="325"/>
      <c r="D77" s="325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14"/>
        <v>6</v>
      </c>
      <c r="B78" s="358"/>
      <c r="C78" s="325"/>
      <c r="D78" s="325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14"/>
        <v>7</v>
      </c>
      <c r="B79" s="358"/>
      <c r="C79" s="325"/>
      <c r="D79" s="325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14"/>
        <v>8</v>
      </c>
      <c r="B80" s="358"/>
      <c r="C80" s="325"/>
      <c r="D80" s="325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14"/>
        <v>9</v>
      </c>
      <c r="B81" s="358"/>
      <c r="C81" s="325"/>
      <c r="D81" s="325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6" thickBot="1">
      <c r="A82" s="370" t="s">
        <v>507</v>
      </c>
      <c r="B82" s="370"/>
      <c r="C82" s="370"/>
      <c r="D82" s="370"/>
      <c r="E82" s="370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371" t="s">
        <v>113</v>
      </c>
      <c r="B83" s="372"/>
      <c r="C83" s="362" t="s">
        <v>52</v>
      </c>
      <c r="D83" s="362"/>
      <c r="E83" s="362" t="s">
        <v>53</v>
      </c>
      <c r="F83" s="362"/>
      <c r="G83" s="362"/>
      <c r="H83" s="362"/>
      <c r="I83" s="362"/>
      <c r="J83" s="362"/>
      <c r="K83" s="362" t="s">
        <v>54</v>
      </c>
      <c r="L83" s="362"/>
      <c r="M83" s="362"/>
      <c r="N83" s="362"/>
      <c r="O83" s="362"/>
      <c r="P83" s="362"/>
      <c r="Q83" s="362"/>
      <c r="R83" s="362"/>
      <c r="S83" s="362"/>
      <c r="T83" s="362" t="s">
        <v>55</v>
      </c>
      <c r="U83" s="362"/>
      <c r="V83" s="362" t="s">
        <v>56</v>
      </c>
      <c r="W83" s="362"/>
      <c r="X83" s="362"/>
      <c r="Y83" s="362" t="s">
        <v>51</v>
      </c>
      <c r="Z83" s="362"/>
      <c r="AA83" s="362"/>
      <c r="AB83" s="362"/>
      <c r="AC83" s="362"/>
      <c r="AD83" s="363"/>
      <c r="AF83" s="50"/>
    </row>
    <row r="84" spans="1:32" ht="30.75" customHeight="1">
      <c r="A84" s="364">
        <v>1</v>
      </c>
      <c r="B84" s="365"/>
      <c r="C84" s="366">
        <v>11</v>
      </c>
      <c r="D84" s="366"/>
      <c r="E84" s="366" t="s">
        <v>485</v>
      </c>
      <c r="F84" s="366"/>
      <c r="G84" s="366"/>
      <c r="H84" s="366"/>
      <c r="I84" s="366"/>
      <c r="J84" s="366"/>
      <c r="K84" s="366" t="s">
        <v>486</v>
      </c>
      <c r="L84" s="366"/>
      <c r="M84" s="366"/>
      <c r="N84" s="366"/>
      <c r="O84" s="366"/>
      <c r="P84" s="366"/>
      <c r="Q84" s="366"/>
      <c r="R84" s="366"/>
      <c r="S84" s="366"/>
      <c r="T84" s="366" t="s">
        <v>487</v>
      </c>
      <c r="U84" s="366"/>
      <c r="V84" s="367">
        <v>700000</v>
      </c>
      <c r="W84" s="367"/>
      <c r="X84" s="367"/>
      <c r="Y84" s="368"/>
      <c r="Z84" s="368"/>
      <c r="AA84" s="368"/>
      <c r="AB84" s="368"/>
      <c r="AC84" s="368"/>
      <c r="AD84" s="369"/>
      <c r="AF84" s="50"/>
    </row>
    <row r="85" spans="1:32" ht="30.75" customHeight="1">
      <c r="A85" s="357">
        <v>2</v>
      </c>
      <c r="B85" s="358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60"/>
      <c r="U85" s="360"/>
      <c r="V85" s="361"/>
      <c r="W85" s="361"/>
      <c r="X85" s="361"/>
      <c r="Y85" s="350"/>
      <c r="Z85" s="350"/>
      <c r="AA85" s="350"/>
      <c r="AB85" s="350"/>
      <c r="AC85" s="350"/>
      <c r="AD85" s="351"/>
      <c r="AF85" s="50"/>
    </row>
    <row r="86" spans="1:32" ht="30.75" customHeight="1" thickBot="1">
      <c r="A86" s="352">
        <v>3</v>
      </c>
      <c r="B86" s="353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5"/>
      <c r="Z86" s="355"/>
      <c r="AA86" s="355"/>
      <c r="AB86" s="355"/>
      <c r="AC86" s="355"/>
      <c r="AD86" s="356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69D7-F3F8-4783-BF0A-9EF20FB4A72E}">
  <dimension ref="A1:AF86"/>
  <sheetViews>
    <sheetView zoomScale="72" zoomScaleNormal="72" zoomScaleSheetLayoutView="70" workbookViewId="0">
      <selection activeCell="O17" sqref="O17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508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337" t="s">
        <v>17</v>
      </c>
      <c r="L5" s="337" t="s">
        <v>18</v>
      </c>
      <c r="M5" s="337" t="s">
        <v>19</v>
      </c>
      <c r="N5" s="33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17" si="7">AC6*AB6*(1-O6)</f>
        <v>0</v>
      </c>
      <c r="AE6" s="36">
        <f t="shared" ref="AE6:AE20" si="8">$AD$21</f>
        <v>0.33333333333333331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0.33333333333333331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40000</v>
      </c>
      <c r="J8" s="14">
        <v>3423</v>
      </c>
      <c r="K8" s="15">
        <f>L8+2529+4548+3870+3984+5602</f>
        <v>23956</v>
      </c>
      <c r="L8" s="15">
        <f>2496+927</f>
        <v>3423</v>
      </c>
      <c r="M8" s="15">
        <f t="shared" si="1"/>
        <v>3423</v>
      </c>
      <c r="N8" s="15">
        <v>0</v>
      </c>
      <c r="O8" s="58">
        <f t="shared" si="2"/>
        <v>0</v>
      </c>
      <c r="P8" s="39">
        <f t="shared" si="3"/>
        <v>17</v>
      </c>
      <c r="Q8" s="40">
        <f t="shared" si="4"/>
        <v>7</v>
      </c>
      <c r="R8" s="7"/>
      <c r="S8" s="6">
        <v>7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0.70833333333333337</v>
      </c>
      <c r="AD8" s="10">
        <f t="shared" si="7"/>
        <v>0.70833333333333337</v>
      </c>
      <c r="AE8" s="36">
        <f t="shared" si="8"/>
        <v>0.33333333333333331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124</v>
      </c>
      <c r="D9" s="52" t="s">
        <v>221</v>
      </c>
      <c r="E9" s="53" t="s">
        <v>458</v>
      </c>
      <c r="F9" s="30" t="s">
        <v>127</v>
      </c>
      <c r="G9" s="33">
        <v>1</v>
      </c>
      <c r="H9" s="35">
        <v>24</v>
      </c>
      <c r="I9" s="7">
        <v>15000</v>
      </c>
      <c r="J9" s="14">
        <v>1697</v>
      </c>
      <c r="K9" s="15">
        <f>L9+1014</f>
        <v>2711</v>
      </c>
      <c r="L9" s="15">
        <f>461+1236</f>
        <v>1697</v>
      </c>
      <c r="M9" s="15">
        <f t="shared" si="1"/>
        <v>1697</v>
      </c>
      <c r="N9" s="15">
        <v>0</v>
      </c>
      <c r="O9" s="58">
        <f t="shared" si="2"/>
        <v>0</v>
      </c>
      <c r="P9" s="39">
        <f t="shared" si="3"/>
        <v>10</v>
      </c>
      <c r="Q9" s="40">
        <f t="shared" si="4"/>
        <v>14</v>
      </c>
      <c r="R9" s="7"/>
      <c r="S9" s="6">
        <v>14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0.41666666666666669</v>
      </c>
      <c r="AD9" s="10">
        <f t="shared" si="7"/>
        <v>0.41666666666666669</v>
      </c>
      <c r="AE9" s="36">
        <f t="shared" si="8"/>
        <v>0.33333333333333331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480</v>
      </c>
      <c r="D10" s="52" t="s">
        <v>400</v>
      </c>
      <c r="E10" s="53" t="s">
        <v>479</v>
      </c>
      <c r="F10" s="30" t="s">
        <v>130</v>
      </c>
      <c r="G10" s="33">
        <v>2</v>
      </c>
      <c r="H10" s="35">
        <v>24</v>
      </c>
      <c r="I10" s="7">
        <v>1000</v>
      </c>
      <c r="J10" s="5">
        <v>6408</v>
      </c>
      <c r="K10" s="15">
        <f>L10+6408</f>
        <v>6408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/>
      <c r="T10" s="16"/>
      <c r="U10" s="16"/>
      <c r="V10" s="17"/>
      <c r="W10" s="5">
        <v>24</v>
      </c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0.33333333333333331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124</v>
      </c>
      <c r="D11" s="52" t="s">
        <v>221</v>
      </c>
      <c r="E11" s="53" t="s">
        <v>406</v>
      </c>
      <c r="F11" s="30" t="s">
        <v>132</v>
      </c>
      <c r="G11" s="33">
        <v>1</v>
      </c>
      <c r="H11" s="35">
        <v>24</v>
      </c>
      <c r="I11" s="7">
        <v>1200</v>
      </c>
      <c r="J11" s="14">
        <v>1200</v>
      </c>
      <c r="K11" s="15">
        <f>L11</f>
        <v>1200</v>
      </c>
      <c r="L11" s="15">
        <f>1200</f>
        <v>1200</v>
      </c>
      <c r="M11" s="15">
        <f t="shared" si="1"/>
        <v>1200</v>
      </c>
      <c r="N11" s="15">
        <v>0</v>
      </c>
      <c r="O11" s="58">
        <f t="shared" si="2"/>
        <v>0</v>
      </c>
      <c r="P11" s="39">
        <f t="shared" si="3"/>
        <v>7</v>
      </c>
      <c r="Q11" s="40">
        <f t="shared" si="4"/>
        <v>17</v>
      </c>
      <c r="R11" s="7"/>
      <c r="S11" s="6">
        <v>5</v>
      </c>
      <c r="T11" s="16"/>
      <c r="U11" s="16"/>
      <c r="V11" s="17"/>
      <c r="W11" s="5">
        <v>12</v>
      </c>
      <c r="X11" s="16"/>
      <c r="Y11" s="16"/>
      <c r="Z11" s="16"/>
      <c r="AA11" s="18"/>
      <c r="AB11" s="8">
        <f t="shared" si="5"/>
        <v>1</v>
      </c>
      <c r="AC11" s="9">
        <f t="shared" si="6"/>
        <v>0.29166666666666669</v>
      </c>
      <c r="AD11" s="10">
        <f t="shared" ref="AD11" si="10">AC11*AB11*(1-O11)</f>
        <v>0.29166666666666669</v>
      </c>
      <c r="AE11" s="36">
        <f t="shared" si="8"/>
        <v>0.33333333333333331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260</v>
      </c>
      <c r="F12" s="30" t="s">
        <v>121</v>
      </c>
      <c r="G12" s="33">
        <v>1</v>
      </c>
      <c r="H12" s="35">
        <v>20</v>
      </c>
      <c r="I12" s="7">
        <v>15000</v>
      </c>
      <c r="J12" s="14">
        <v>4302</v>
      </c>
      <c r="K12" s="15">
        <f>L12+3623+3013+4302</f>
        <v>10938</v>
      </c>
      <c r="L12" s="15"/>
      <c r="M12" s="15">
        <f t="shared" si="1"/>
        <v>0</v>
      </c>
      <c r="N12" s="15">
        <v>0</v>
      </c>
      <c r="O12" s="58" t="str">
        <f t="shared" si="2"/>
        <v>0</v>
      </c>
      <c r="P12" s="39" t="str">
        <f t="shared" si="3"/>
        <v>0</v>
      </c>
      <c r="Q12" s="40">
        <f t="shared" si="4"/>
        <v>24</v>
      </c>
      <c r="R12" s="7"/>
      <c r="S12" s="6"/>
      <c r="T12" s="16"/>
      <c r="U12" s="16"/>
      <c r="V12" s="17"/>
      <c r="W12" s="5"/>
      <c r="X12" s="16"/>
      <c r="Y12" s="16"/>
      <c r="Z12" s="16"/>
      <c r="AA12" s="18">
        <v>24</v>
      </c>
      <c r="AB12" s="8">
        <f t="shared" si="5"/>
        <v>0</v>
      </c>
      <c r="AC12" s="9">
        <f t="shared" si="6"/>
        <v>0</v>
      </c>
      <c r="AD12" s="10">
        <f t="shared" si="7"/>
        <v>0</v>
      </c>
      <c r="AE12" s="36">
        <f t="shared" si="8"/>
        <v>0.33333333333333331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142</v>
      </c>
      <c r="D13" s="52" t="s">
        <v>117</v>
      </c>
      <c r="E13" s="53" t="s">
        <v>477</v>
      </c>
      <c r="F13" s="30" t="s">
        <v>199</v>
      </c>
      <c r="G13" s="33">
        <v>1</v>
      </c>
      <c r="H13" s="35">
        <v>24</v>
      </c>
      <c r="I13" s="7">
        <v>600</v>
      </c>
      <c r="J13" s="14">
        <v>793</v>
      </c>
      <c r="K13" s="15">
        <f>L13+793</f>
        <v>793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/>
      <c r="X13" s="16"/>
      <c r="Y13" s="16"/>
      <c r="Z13" s="16"/>
      <c r="AA13" s="18">
        <v>24</v>
      </c>
      <c r="AB13" s="8">
        <f t="shared" si="5"/>
        <v>0</v>
      </c>
      <c r="AC13" s="9">
        <f t="shared" si="6"/>
        <v>0</v>
      </c>
      <c r="AD13" s="10">
        <f t="shared" si="7"/>
        <v>0</v>
      </c>
      <c r="AE13" s="36">
        <f t="shared" si="8"/>
        <v>0.33333333333333331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140</v>
      </c>
      <c r="D14" s="52" t="s">
        <v>229</v>
      </c>
      <c r="E14" s="53"/>
      <c r="F14" s="30" t="s">
        <v>216</v>
      </c>
      <c r="G14" s="12" t="s">
        <v>470</v>
      </c>
      <c r="H14" s="13">
        <v>28</v>
      </c>
      <c r="I14" s="7">
        <v>3000</v>
      </c>
      <c r="J14" s="5">
        <v>628</v>
      </c>
      <c r="K14" s="15">
        <f>L14</f>
        <v>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0.33333333333333331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441</v>
      </c>
      <c r="D15" s="52"/>
      <c r="E15" s="53" t="s">
        <v>442</v>
      </c>
      <c r="F15" s="12" t="s">
        <v>443</v>
      </c>
      <c r="G15" s="12">
        <v>8</v>
      </c>
      <c r="H15" s="13">
        <v>24</v>
      </c>
      <c r="I15" s="31">
        <v>10000</v>
      </c>
      <c r="J15" s="14">
        <v>7008</v>
      </c>
      <c r="K15" s="15">
        <f>L15+17192+7008</f>
        <v>24200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0.33333333333333331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129</v>
      </c>
      <c r="E16" s="53" t="s">
        <v>259</v>
      </c>
      <c r="F16" s="30" t="s">
        <v>130</v>
      </c>
      <c r="G16" s="12">
        <v>1</v>
      </c>
      <c r="H16" s="13">
        <v>28</v>
      </c>
      <c r="I16" s="7">
        <v>9000</v>
      </c>
      <c r="J16" s="14">
        <v>4928</v>
      </c>
      <c r="K16" s="15">
        <f>L16+5027+5503+5566+4928</f>
        <v>21024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0.33333333333333331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449</v>
      </c>
      <c r="D17" s="52" t="s">
        <v>499</v>
      </c>
      <c r="E17" s="53" t="s">
        <v>500</v>
      </c>
      <c r="F17" s="30" t="s">
        <v>501</v>
      </c>
      <c r="G17" s="33">
        <v>3</v>
      </c>
      <c r="H17" s="35">
        <v>20</v>
      </c>
      <c r="I17" s="7">
        <v>30000</v>
      </c>
      <c r="J17" s="14">
        <v>18369</v>
      </c>
      <c r="K17" s="15">
        <f>L17+9354</f>
        <v>27723</v>
      </c>
      <c r="L17" s="15">
        <f>2992*3+3131*3</f>
        <v>18369</v>
      </c>
      <c r="M17" s="15">
        <f t="shared" si="1"/>
        <v>18369</v>
      </c>
      <c r="N17" s="15">
        <v>0</v>
      </c>
      <c r="O17" s="58">
        <f t="shared" si="2"/>
        <v>0</v>
      </c>
      <c r="P17" s="39">
        <f t="shared" si="3"/>
        <v>14</v>
      </c>
      <c r="Q17" s="40">
        <f t="shared" si="4"/>
        <v>10</v>
      </c>
      <c r="R17" s="7"/>
      <c r="S17" s="6"/>
      <c r="T17" s="16">
        <v>10</v>
      </c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0.58333333333333337</v>
      </c>
      <c r="AD17" s="10">
        <f t="shared" si="7"/>
        <v>0.58333333333333337</v>
      </c>
      <c r="AE17" s="36">
        <f t="shared" si="8"/>
        <v>0.33333333333333331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125</v>
      </c>
      <c r="E18" s="53" t="s">
        <v>492</v>
      </c>
      <c r="F18" s="30" t="s">
        <v>127</v>
      </c>
      <c r="G18" s="33">
        <v>1</v>
      </c>
      <c r="H18" s="35">
        <v>24</v>
      </c>
      <c r="I18" s="7">
        <v>45500</v>
      </c>
      <c r="J18" s="5">
        <v>5602</v>
      </c>
      <c r="K18" s="15">
        <f>L18+5168</f>
        <v>10770</v>
      </c>
      <c r="L18" s="15">
        <f>2918+2684</f>
        <v>5602</v>
      </c>
      <c r="M18" s="15">
        <f t="shared" si="1"/>
        <v>5602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0.33333333333333331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114</v>
      </c>
      <c r="D19" s="52" t="s">
        <v>117</v>
      </c>
      <c r="E19" s="53" t="s">
        <v>493</v>
      </c>
      <c r="F19" s="30" t="s">
        <v>121</v>
      </c>
      <c r="G19" s="33">
        <v>1</v>
      </c>
      <c r="H19" s="35">
        <v>24</v>
      </c>
      <c r="I19" s="7">
        <v>45000</v>
      </c>
      <c r="J19" s="14">
        <v>5291</v>
      </c>
      <c r="K19" s="15">
        <f>L19+4853</f>
        <v>10144</v>
      </c>
      <c r="L19" s="15">
        <f>2736+2555</f>
        <v>5291</v>
      </c>
      <c r="M19" s="15">
        <f t="shared" si="1"/>
        <v>5291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 t="shared" ref="AD19:AD20" si="11">AC19*AB19*(1-O19)</f>
        <v>1</v>
      </c>
      <c r="AE19" s="36">
        <f t="shared" si="8"/>
        <v>0.33333333333333331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383</v>
      </c>
      <c r="F20" s="12" t="s">
        <v>116</v>
      </c>
      <c r="G20" s="12">
        <v>3</v>
      </c>
      <c r="H20" s="35">
        <v>20</v>
      </c>
      <c r="I20" s="7">
        <v>100000</v>
      </c>
      <c r="J20" s="14">
        <v>86908</v>
      </c>
      <c r="K20" s="15">
        <f>L20+82592+85628</f>
        <v>255128</v>
      </c>
      <c r="L20" s="15">
        <f>11304*4+10423*4</f>
        <v>86908</v>
      </c>
      <c r="M20" s="15">
        <f t="shared" si="1"/>
        <v>86908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si="11"/>
        <v>1</v>
      </c>
      <c r="AE20" s="36">
        <f t="shared" si="8"/>
        <v>0.33333333333333331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2">SUM(I6:I20)</f>
        <v>336300</v>
      </c>
      <c r="J21" s="19">
        <f t="shared" si="12"/>
        <v>148618</v>
      </c>
      <c r="K21" s="20">
        <f t="shared" si="12"/>
        <v>406543</v>
      </c>
      <c r="L21" s="21">
        <f t="shared" si="12"/>
        <v>122490</v>
      </c>
      <c r="M21" s="20">
        <f t="shared" si="12"/>
        <v>122490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120</v>
      </c>
      <c r="Q21" s="43">
        <f t="shared" si="13"/>
        <v>240</v>
      </c>
      <c r="R21" s="23">
        <f t="shared" si="13"/>
        <v>48</v>
      </c>
      <c r="S21" s="24">
        <f t="shared" si="13"/>
        <v>50</v>
      </c>
      <c r="T21" s="24">
        <f t="shared" si="13"/>
        <v>10</v>
      </c>
      <c r="U21" s="24">
        <f t="shared" si="13"/>
        <v>0</v>
      </c>
      <c r="V21" s="25">
        <f t="shared" si="13"/>
        <v>24</v>
      </c>
      <c r="W21" s="26">
        <f t="shared" si="13"/>
        <v>60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48</v>
      </c>
      <c r="AB21" s="28">
        <f>SUM(AB6:AB20)/15</f>
        <v>0.46666666666666667</v>
      </c>
      <c r="AC21" s="4">
        <f>SUM(AC6:AC20)/15</f>
        <v>0.33333333333333331</v>
      </c>
      <c r="AD21" s="4">
        <f>SUM(AD6:AD20)/15</f>
        <v>0.33333333333333331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509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511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336" t="s">
        <v>46</v>
      </c>
      <c r="D50" s="336" t="s">
        <v>47</v>
      </c>
      <c r="E50" s="336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336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09" t="s">
        <v>124</v>
      </c>
      <c r="B51" s="410"/>
      <c r="C51" s="334" t="s">
        <v>189</v>
      </c>
      <c r="D51" s="334" t="s">
        <v>221</v>
      </c>
      <c r="E51" s="334" t="s">
        <v>458</v>
      </c>
      <c r="F51" s="411" t="s">
        <v>510</v>
      </c>
      <c r="G51" s="412"/>
      <c r="H51" s="412"/>
      <c r="I51" s="412"/>
      <c r="J51" s="412"/>
      <c r="K51" s="412"/>
      <c r="L51" s="412"/>
      <c r="M51" s="413"/>
      <c r="N51" s="333" t="s">
        <v>124</v>
      </c>
      <c r="O51" s="331" t="s">
        <v>189</v>
      </c>
      <c r="P51" s="423" t="s">
        <v>221</v>
      </c>
      <c r="Q51" s="424"/>
      <c r="R51" s="410" t="s">
        <v>458</v>
      </c>
      <c r="S51" s="410"/>
      <c r="T51" s="410"/>
      <c r="U51" s="410"/>
      <c r="V51" s="400" t="s">
        <v>126</v>
      </c>
      <c r="W51" s="400"/>
      <c r="X51" s="400"/>
      <c r="Y51" s="400"/>
      <c r="Z51" s="400"/>
      <c r="AA51" s="400"/>
      <c r="AB51" s="400"/>
      <c r="AC51" s="400"/>
      <c r="AD51" s="414"/>
    </row>
    <row r="52" spans="1:32" ht="27" customHeight="1">
      <c r="A52" s="409" t="s">
        <v>124</v>
      </c>
      <c r="B52" s="410"/>
      <c r="C52" s="334" t="s">
        <v>138</v>
      </c>
      <c r="D52" s="334" t="s">
        <v>221</v>
      </c>
      <c r="E52" s="334" t="s">
        <v>406</v>
      </c>
      <c r="F52" s="411" t="s">
        <v>385</v>
      </c>
      <c r="G52" s="412"/>
      <c r="H52" s="412"/>
      <c r="I52" s="412"/>
      <c r="J52" s="412"/>
      <c r="K52" s="412"/>
      <c r="L52" s="412"/>
      <c r="M52" s="413"/>
      <c r="N52" s="333" t="s">
        <v>124</v>
      </c>
      <c r="O52" s="331" t="s">
        <v>136</v>
      </c>
      <c r="P52" s="423" t="s">
        <v>416</v>
      </c>
      <c r="Q52" s="424"/>
      <c r="R52" s="410" t="s">
        <v>512</v>
      </c>
      <c r="S52" s="410"/>
      <c r="T52" s="410"/>
      <c r="U52" s="410"/>
      <c r="V52" s="400" t="s">
        <v>120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124</v>
      </c>
      <c r="B53" s="410"/>
      <c r="C53" s="334" t="s">
        <v>145</v>
      </c>
      <c r="D53" s="334" t="s">
        <v>122</v>
      </c>
      <c r="E53" s="334" t="s">
        <v>175</v>
      </c>
      <c r="F53" s="411" t="s">
        <v>337</v>
      </c>
      <c r="G53" s="412"/>
      <c r="H53" s="412"/>
      <c r="I53" s="412"/>
      <c r="J53" s="412"/>
      <c r="K53" s="412"/>
      <c r="L53" s="412"/>
      <c r="M53" s="413"/>
      <c r="N53" s="333" t="s">
        <v>140</v>
      </c>
      <c r="O53" s="331" t="s">
        <v>191</v>
      </c>
      <c r="P53" s="423"/>
      <c r="Q53" s="424"/>
      <c r="R53" s="410" t="s">
        <v>192</v>
      </c>
      <c r="S53" s="410"/>
      <c r="T53" s="410"/>
      <c r="U53" s="410"/>
      <c r="V53" s="400" t="s">
        <v>126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/>
      <c r="B54" s="410"/>
      <c r="C54" s="334"/>
      <c r="D54" s="334"/>
      <c r="E54" s="334"/>
      <c r="F54" s="411"/>
      <c r="G54" s="412"/>
      <c r="H54" s="412"/>
      <c r="I54" s="412"/>
      <c r="J54" s="412"/>
      <c r="K54" s="412"/>
      <c r="L54" s="412"/>
      <c r="M54" s="413"/>
      <c r="N54" s="333" t="s">
        <v>124</v>
      </c>
      <c r="O54" s="331" t="s">
        <v>176</v>
      </c>
      <c r="P54" s="423" t="s">
        <v>117</v>
      </c>
      <c r="Q54" s="424"/>
      <c r="R54" s="410" t="s">
        <v>158</v>
      </c>
      <c r="S54" s="410"/>
      <c r="T54" s="410"/>
      <c r="U54" s="410"/>
      <c r="V54" s="400" t="s">
        <v>120</v>
      </c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/>
      <c r="B55" s="410"/>
      <c r="C55" s="334"/>
      <c r="D55" s="334"/>
      <c r="E55" s="334"/>
      <c r="F55" s="411"/>
      <c r="G55" s="412"/>
      <c r="H55" s="412"/>
      <c r="I55" s="412"/>
      <c r="J55" s="412"/>
      <c r="K55" s="412"/>
      <c r="L55" s="412"/>
      <c r="M55" s="413"/>
      <c r="N55" s="333"/>
      <c r="O55" s="331"/>
      <c r="P55" s="423"/>
      <c r="Q55" s="424"/>
      <c r="R55" s="410"/>
      <c r="S55" s="410"/>
      <c r="T55" s="410"/>
      <c r="U55" s="410"/>
      <c r="V55" s="400"/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/>
      <c r="B56" s="410"/>
      <c r="C56" s="334"/>
      <c r="D56" s="334"/>
      <c r="E56" s="334"/>
      <c r="F56" s="411"/>
      <c r="G56" s="412"/>
      <c r="H56" s="412"/>
      <c r="I56" s="412"/>
      <c r="J56" s="412"/>
      <c r="K56" s="412"/>
      <c r="L56" s="412"/>
      <c r="M56" s="413"/>
      <c r="N56" s="333"/>
      <c r="O56" s="331"/>
      <c r="P56" s="423"/>
      <c r="Q56" s="424"/>
      <c r="R56" s="410"/>
      <c r="S56" s="410"/>
      <c r="T56" s="410"/>
      <c r="U56" s="410"/>
      <c r="V56" s="400"/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/>
      <c r="B57" s="410"/>
      <c r="C57" s="334"/>
      <c r="D57" s="334"/>
      <c r="E57" s="334"/>
      <c r="F57" s="411"/>
      <c r="G57" s="412"/>
      <c r="H57" s="412"/>
      <c r="I57" s="412"/>
      <c r="J57" s="412"/>
      <c r="K57" s="412"/>
      <c r="L57" s="412"/>
      <c r="M57" s="413"/>
      <c r="N57" s="333"/>
      <c r="O57" s="331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/>
      <c r="B58" s="410"/>
      <c r="C58" s="334"/>
      <c r="D58" s="334"/>
      <c r="E58" s="334"/>
      <c r="F58" s="411"/>
      <c r="G58" s="412"/>
      <c r="H58" s="412"/>
      <c r="I58" s="412"/>
      <c r="J58" s="412"/>
      <c r="K58" s="412"/>
      <c r="L58" s="412"/>
      <c r="M58" s="413"/>
      <c r="N58" s="333"/>
      <c r="O58" s="331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334"/>
      <c r="D59" s="334"/>
      <c r="E59" s="334"/>
      <c r="F59" s="411"/>
      <c r="G59" s="412"/>
      <c r="H59" s="412"/>
      <c r="I59" s="412"/>
      <c r="J59" s="412"/>
      <c r="K59" s="412"/>
      <c r="L59" s="412"/>
      <c r="M59" s="413"/>
      <c r="N59" s="333"/>
      <c r="O59" s="331"/>
      <c r="P59" s="410"/>
      <c r="Q59" s="410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  <c r="AF59" s="87">
        <f>8*3000</f>
        <v>24000</v>
      </c>
    </row>
    <row r="60" spans="1:32" ht="27" customHeight="1" thickBot="1">
      <c r="A60" s="415"/>
      <c r="B60" s="416"/>
      <c r="C60" s="335"/>
      <c r="D60" s="335"/>
      <c r="E60" s="335"/>
      <c r="F60" s="417"/>
      <c r="G60" s="418"/>
      <c r="H60" s="418"/>
      <c r="I60" s="418"/>
      <c r="J60" s="418"/>
      <c r="K60" s="418"/>
      <c r="L60" s="418"/>
      <c r="M60" s="419"/>
      <c r="N60" s="124"/>
      <c r="O60" s="114"/>
      <c r="P60" s="420"/>
      <c r="Q60" s="420"/>
      <c r="R60" s="420"/>
      <c r="S60" s="420"/>
      <c r="T60" s="420"/>
      <c r="U60" s="420"/>
      <c r="V60" s="421"/>
      <c r="W60" s="421"/>
      <c r="X60" s="421"/>
      <c r="Y60" s="421"/>
      <c r="Z60" s="421"/>
      <c r="AA60" s="421"/>
      <c r="AB60" s="421"/>
      <c r="AC60" s="421"/>
      <c r="AD60" s="422"/>
      <c r="AF60" s="87">
        <f>16*3000</f>
        <v>48000</v>
      </c>
    </row>
    <row r="61" spans="1:32" ht="27.75" thickBot="1">
      <c r="A61" s="407" t="s">
        <v>513</v>
      </c>
      <c r="B61" s="407"/>
      <c r="C61" s="407"/>
      <c r="D61" s="407"/>
      <c r="E61" s="40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08" t="s">
        <v>113</v>
      </c>
      <c r="B62" s="405"/>
      <c r="C62" s="332" t="s">
        <v>2</v>
      </c>
      <c r="D62" s="332" t="s">
        <v>37</v>
      </c>
      <c r="E62" s="332" t="s">
        <v>3</v>
      </c>
      <c r="F62" s="405" t="s">
        <v>110</v>
      </c>
      <c r="G62" s="405"/>
      <c r="H62" s="405"/>
      <c r="I62" s="405"/>
      <c r="J62" s="405"/>
      <c r="K62" s="405" t="s">
        <v>39</v>
      </c>
      <c r="L62" s="405"/>
      <c r="M62" s="332" t="s">
        <v>40</v>
      </c>
      <c r="N62" s="405" t="s">
        <v>41</v>
      </c>
      <c r="O62" s="405"/>
      <c r="P62" s="402" t="s">
        <v>42</v>
      </c>
      <c r="Q62" s="404"/>
      <c r="R62" s="402" t="s">
        <v>43</v>
      </c>
      <c r="S62" s="403"/>
      <c r="T62" s="403"/>
      <c r="U62" s="403"/>
      <c r="V62" s="403"/>
      <c r="W62" s="403"/>
      <c r="X62" s="403"/>
      <c r="Y62" s="403"/>
      <c r="Z62" s="403"/>
      <c r="AA62" s="404"/>
      <c r="AB62" s="405" t="s">
        <v>44</v>
      </c>
      <c r="AC62" s="405"/>
      <c r="AD62" s="406"/>
      <c r="AF62" s="87">
        <f>SUM(AF59:AF61)</f>
        <v>96000</v>
      </c>
    </row>
    <row r="63" spans="1:32" ht="25.5" customHeight="1">
      <c r="A63" s="396">
        <v>1</v>
      </c>
      <c r="B63" s="397"/>
      <c r="C63" s="117" t="s">
        <v>140</v>
      </c>
      <c r="D63" s="327"/>
      <c r="E63" s="330" t="s">
        <v>117</v>
      </c>
      <c r="F63" s="398" t="s">
        <v>514</v>
      </c>
      <c r="G63" s="390"/>
      <c r="H63" s="390"/>
      <c r="I63" s="390"/>
      <c r="J63" s="390"/>
      <c r="K63" s="390" t="s">
        <v>121</v>
      </c>
      <c r="L63" s="390"/>
      <c r="M63" s="51" t="s">
        <v>203</v>
      </c>
      <c r="N63" s="401" t="s">
        <v>136</v>
      </c>
      <c r="O63" s="401"/>
      <c r="P63" s="399">
        <v>50</v>
      </c>
      <c r="Q63" s="399"/>
      <c r="R63" s="400" t="s">
        <v>515</v>
      </c>
      <c r="S63" s="400"/>
      <c r="T63" s="400"/>
      <c r="U63" s="400"/>
      <c r="V63" s="400"/>
      <c r="W63" s="400"/>
      <c r="X63" s="400"/>
      <c r="Y63" s="400"/>
      <c r="Z63" s="400"/>
      <c r="AA63" s="400"/>
      <c r="AB63" s="390"/>
      <c r="AC63" s="390"/>
      <c r="AD63" s="391"/>
      <c r="AF63" s="50"/>
    </row>
    <row r="64" spans="1:32" ht="25.5" customHeight="1">
      <c r="A64" s="396">
        <v>2</v>
      </c>
      <c r="B64" s="397"/>
      <c r="C64" s="117" t="s">
        <v>124</v>
      </c>
      <c r="D64" s="327"/>
      <c r="E64" s="330" t="s">
        <v>221</v>
      </c>
      <c r="F64" s="398" t="s">
        <v>406</v>
      </c>
      <c r="G64" s="390"/>
      <c r="H64" s="390"/>
      <c r="I64" s="390"/>
      <c r="J64" s="390"/>
      <c r="K64" s="390" t="s">
        <v>132</v>
      </c>
      <c r="L64" s="390"/>
      <c r="M64" s="51" t="s">
        <v>207</v>
      </c>
      <c r="N64" s="401" t="s">
        <v>138</v>
      </c>
      <c r="O64" s="401"/>
      <c r="P64" s="399">
        <v>50</v>
      </c>
      <c r="Q64" s="399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3</v>
      </c>
      <c r="B65" s="397"/>
      <c r="C65" s="117" t="s">
        <v>140</v>
      </c>
      <c r="D65" s="327"/>
      <c r="E65" s="330" t="s">
        <v>317</v>
      </c>
      <c r="F65" s="398" t="s">
        <v>516</v>
      </c>
      <c r="G65" s="390"/>
      <c r="H65" s="390"/>
      <c r="I65" s="390"/>
      <c r="J65" s="390"/>
      <c r="K65" s="390" t="s">
        <v>121</v>
      </c>
      <c r="L65" s="390"/>
      <c r="M65" s="51" t="s">
        <v>203</v>
      </c>
      <c r="N65" s="401" t="s">
        <v>176</v>
      </c>
      <c r="O65" s="401"/>
      <c r="P65" s="399">
        <v>50</v>
      </c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4</v>
      </c>
      <c r="B66" s="397"/>
      <c r="C66" s="117" t="s">
        <v>140</v>
      </c>
      <c r="D66" s="327"/>
      <c r="E66" s="330" t="s">
        <v>400</v>
      </c>
      <c r="F66" s="398" t="s">
        <v>517</v>
      </c>
      <c r="G66" s="390"/>
      <c r="H66" s="390"/>
      <c r="I66" s="390"/>
      <c r="J66" s="390"/>
      <c r="K66" s="390" t="s">
        <v>130</v>
      </c>
      <c r="L66" s="390"/>
      <c r="M66" s="51" t="s">
        <v>203</v>
      </c>
      <c r="N66" s="401" t="s">
        <v>176</v>
      </c>
      <c r="O66" s="401"/>
      <c r="P66" s="399">
        <v>100</v>
      </c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5</v>
      </c>
      <c r="B67" s="397"/>
      <c r="C67" s="117" t="s">
        <v>142</v>
      </c>
      <c r="D67" s="327"/>
      <c r="E67" s="330" t="s">
        <v>117</v>
      </c>
      <c r="F67" s="398" t="s">
        <v>518</v>
      </c>
      <c r="G67" s="390"/>
      <c r="H67" s="390"/>
      <c r="I67" s="390"/>
      <c r="J67" s="390"/>
      <c r="K67" s="390" t="s">
        <v>521</v>
      </c>
      <c r="L67" s="390"/>
      <c r="M67" s="51" t="s">
        <v>207</v>
      </c>
      <c r="N67" s="401" t="s">
        <v>204</v>
      </c>
      <c r="O67" s="401"/>
      <c r="P67" s="399">
        <v>50</v>
      </c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6</v>
      </c>
      <c r="B68" s="397"/>
      <c r="C68" s="117" t="s">
        <v>142</v>
      </c>
      <c r="D68" s="327"/>
      <c r="E68" s="330" t="s">
        <v>221</v>
      </c>
      <c r="F68" s="398" t="s">
        <v>519</v>
      </c>
      <c r="G68" s="390"/>
      <c r="H68" s="390"/>
      <c r="I68" s="390"/>
      <c r="J68" s="390"/>
      <c r="K68" s="390" t="s">
        <v>121</v>
      </c>
      <c r="L68" s="390"/>
      <c r="M68" s="51" t="s">
        <v>207</v>
      </c>
      <c r="N68" s="390">
        <v>8</v>
      </c>
      <c r="O68" s="390"/>
      <c r="P68" s="399">
        <v>50</v>
      </c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7</v>
      </c>
      <c r="B69" s="397"/>
      <c r="C69" s="117" t="s">
        <v>142</v>
      </c>
      <c r="D69" s="327"/>
      <c r="E69" s="330" t="s">
        <v>135</v>
      </c>
      <c r="F69" s="398" t="s">
        <v>208</v>
      </c>
      <c r="G69" s="390"/>
      <c r="H69" s="390"/>
      <c r="I69" s="390"/>
      <c r="J69" s="390"/>
      <c r="K69" s="390" t="s">
        <v>209</v>
      </c>
      <c r="L69" s="390"/>
      <c r="M69" s="51" t="s">
        <v>207</v>
      </c>
      <c r="N69" s="401" t="s">
        <v>210</v>
      </c>
      <c r="O69" s="401"/>
      <c r="P69" s="399">
        <v>100</v>
      </c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8</v>
      </c>
      <c r="B70" s="397"/>
      <c r="C70" s="117" t="s">
        <v>140</v>
      </c>
      <c r="D70" s="327"/>
      <c r="E70" s="330" t="s">
        <v>522</v>
      </c>
      <c r="F70" s="398" t="s">
        <v>520</v>
      </c>
      <c r="G70" s="390"/>
      <c r="H70" s="390"/>
      <c r="I70" s="390"/>
      <c r="J70" s="390"/>
      <c r="K70" s="390">
        <v>8301</v>
      </c>
      <c r="L70" s="390"/>
      <c r="M70" s="51" t="s">
        <v>203</v>
      </c>
      <c r="N70" s="390">
        <v>10</v>
      </c>
      <c r="O70" s="390"/>
      <c r="P70" s="399">
        <v>50</v>
      </c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6.25" customHeight="1" thickBot="1">
      <c r="A71" s="370" t="s">
        <v>523</v>
      </c>
      <c r="B71" s="370"/>
      <c r="C71" s="370"/>
      <c r="D71" s="370"/>
      <c r="E71" s="370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371" t="s">
        <v>113</v>
      </c>
      <c r="B72" s="372"/>
      <c r="C72" s="329" t="s">
        <v>2</v>
      </c>
      <c r="D72" s="329" t="s">
        <v>37</v>
      </c>
      <c r="E72" s="329" t="s">
        <v>3</v>
      </c>
      <c r="F72" s="372" t="s">
        <v>38</v>
      </c>
      <c r="G72" s="372"/>
      <c r="H72" s="372"/>
      <c r="I72" s="372"/>
      <c r="J72" s="372"/>
      <c r="K72" s="392" t="s">
        <v>58</v>
      </c>
      <c r="L72" s="393"/>
      <c r="M72" s="393"/>
      <c r="N72" s="393"/>
      <c r="O72" s="393"/>
      <c r="P72" s="393"/>
      <c r="Q72" s="393"/>
      <c r="R72" s="393"/>
      <c r="S72" s="394"/>
      <c r="T72" s="372" t="s">
        <v>49</v>
      </c>
      <c r="U72" s="372"/>
      <c r="V72" s="392" t="s">
        <v>50</v>
      </c>
      <c r="W72" s="394"/>
      <c r="X72" s="393" t="s">
        <v>51</v>
      </c>
      <c r="Y72" s="393"/>
      <c r="Z72" s="393"/>
      <c r="AA72" s="393"/>
      <c r="AB72" s="393"/>
      <c r="AC72" s="393"/>
      <c r="AD72" s="395"/>
      <c r="AF72" s="50"/>
    </row>
    <row r="73" spans="1:32" ht="33.75" customHeight="1">
      <c r="A73" s="364">
        <v>1</v>
      </c>
      <c r="B73" s="365"/>
      <c r="C73" s="328" t="s">
        <v>114</v>
      </c>
      <c r="D73" s="328"/>
      <c r="E73" s="65" t="s">
        <v>119</v>
      </c>
      <c r="F73" s="379" t="s">
        <v>118</v>
      </c>
      <c r="G73" s="380"/>
      <c r="H73" s="380"/>
      <c r="I73" s="380"/>
      <c r="J73" s="381"/>
      <c r="K73" s="382" t="s">
        <v>156</v>
      </c>
      <c r="L73" s="383"/>
      <c r="M73" s="383"/>
      <c r="N73" s="383"/>
      <c r="O73" s="383"/>
      <c r="P73" s="383"/>
      <c r="Q73" s="383"/>
      <c r="R73" s="383"/>
      <c r="S73" s="384"/>
      <c r="T73" s="385">
        <v>43675</v>
      </c>
      <c r="U73" s="386"/>
      <c r="V73" s="387"/>
      <c r="W73" s="387"/>
      <c r="X73" s="388"/>
      <c r="Y73" s="388"/>
      <c r="Z73" s="388"/>
      <c r="AA73" s="388"/>
      <c r="AB73" s="388"/>
      <c r="AC73" s="388"/>
      <c r="AD73" s="389"/>
      <c r="AF73" s="50"/>
    </row>
    <row r="74" spans="1:32" ht="30" customHeight="1">
      <c r="A74" s="357">
        <f>A73+1</f>
        <v>2</v>
      </c>
      <c r="B74" s="358"/>
      <c r="C74" s="327"/>
      <c r="D74" s="327"/>
      <c r="E74" s="32"/>
      <c r="F74" s="358"/>
      <c r="G74" s="358"/>
      <c r="H74" s="358"/>
      <c r="I74" s="358"/>
      <c r="J74" s="358"/>
      <c r="K74" s="373"/>
      <c r="L74" s="374"/>
      <c r="M74" s="374"/>
      <c r="N74" s="374"/>
      <c r="O74" s="374"/>
      <c r="P74" s="374"/>
      <c r="Q74" s="374"/>
      <c r="R74" s="374"/>
      <c r="S74" s="375"/>
      <c r="T74" s="376"/>
      <c r="U74" s="376"/>
      <c r="V74" s="376"/>
      <c r="W74" s="376"/>
      <c r="X74" s="377"/>
      <c r="Y74" s="377"/>
      <c r="Z74" s="377"/>
      <c r="AA74" s="377"/>
      <c r="AB74" s="377"/>
      <c r="AC74" s="377"/>
      <c r="AD74" s="378"/>
      <c r="AF74" s="50"/>
    </row>
    <row r="75" spans="1:32" ht="30" customHeight="1">
      <c r="A75" s="357">
        <f t="shared" ref="A75:A81" si="14">A74+1</f>
        <v>3</v>
      </c>
      <c r="B75" s="358"/>
      <c r="C75" s="327"/>
      <c r="D75" s="327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si="14"/>
        <v>4</v>
      </c>
      <c r="B76" s="358"/>
      <c r="C76" s="327"/>
      <c r="D76" s="327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14"/>
        <v>5</v>
      </c>
      <c r="B77" s="358"/>
      <c r="C77" s="327"/>
      <c r="D77" s="327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14"/>
        <v>6</v>
      </c>
      <c r="B78" s="358"/>
      <c r="C78" s="327"/>
      <c r="D78" s="327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14"/>
        <v>7</v>
      </c>
      <c r="B79" s="358"/>
      <c r="C79" s="327"/>
      <c r="D79" s="327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14"/>
        <v>8</v>
      </c>
      <c r="B80" s="358"/>
      <c r="C80" s="327"/>
      <c r="D80" s="327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14"/>
        <v>9</v>
      </c>
      <c r="B81" s="358"/>
      <c r="C81" s="327"/>
      <c r="D81" s="327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6" thickBot="1">
      <c r="A82" s="370" t="s">
        <v>524</v>
      </c>
      <c r="B82" s="370"/>
      <c r="C82" s="370"/>
      <c r="D82" s="370"/>
      <c r="E82" s="370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371" t="s">
        <v>113</v>
      </c>
      <c r="B83" s="372"/>
      <c r="C83" s="362" t="s">
        <v>52</v>
      </c>
      <c r="D83" s="362"/>
      <c r="E83" s="362" t="s">
        <v>53</v>
      </c>
      <c r="F83" s="362"/>
      <c r="G83" s="362"/>
      <c r="H83" s="362"/>
      <c r="I83" s="362"/>
      <c r="J83" s="362"/>
      <c r="K83" s="362" t="s">
        <v>54</v>
      </c>
      <c r="L83" s="362"/>
      <c r="M83" s="362"/>
      <c r="N83" s="362"/>
      <c r="O83" s="362"/>
      <c r="P83" s="362"/>
      <c r="Q83" s="362"/>
      <c r="R83" s="362"/>
      <c r="S83" s="362"/>
      <c r="T83" s="362" t="s">
        <v>55</v>
      </c>
      <c r="U83" s="362"/>
      <c r="V83" s="362" t="s">
        <v>56</v>
      </c>
      <c r="W83" s="362"/>
      <c r="X83" s="362"/>
      <c r="Y83" s="362" t="s">
        <v>51</v>
      </c>
      <c r="Z83" s="362"/>
      <c r="AA83" s="362"/>
      <c r="AB83" s="362"/>
      <c r="AC83" s="362"/>
      <c r="AD83" s="363"/>
      <c r="AF83" s="50"/>
    </row>
    <row r="84" spans="1:32" ht="30.75" customHeight="1">
      <c r="A84" s="364">
        <v>1</v>
      </c>
      <c r="B84" s="365"/>
      <c r="C84" s="366">
        <v>11</v>
      </c>
      <c r="D84" s="366"/>
      <c r="E84" s="366" t="s">
        <v>485</v>
      </c>
      <c r="F84" s="366"/>
      <c r="G84" s="366"/>
      <c r="H84" s="366"/>
      <c r="I84" s="366"/>
      <c r="J84" s="366"/>
      <c r="K84" s="366" t="s">
        <v>486</v>
      </c>
      <c r="L84" s="366"/>
      <c r="M84" s="366"/>
      <c r="N84" s="366"/>
      <c r="O84" s="366"/>
      <c r="P84" s="366"/>
      <c r="Q84" s="366"/>
      <c r="R84" s="366"/>
      <c r="S84" s="366"/>
      <c r="T84" s="366" t="s">
        <v>487</v>
      </c>
      <c r="U84" s="366"/>
      <c r="V84" s="367">
        <v>700000</v>
      </c>
      <c r="W84" s="367"/>
      <c r="X84" s="367"/>
      <c r="Y84" s="368"/>
      <c r="Z84" s="368"/>
      <c r="AA84" s="368"/>
      <c r="AB84" s="368"/>
      <c r="AC84" s="368"/>
      <c r="AD84" s="369"/>
      <c r="AF84" s="50"/>
    </row>
    <row r="85" spans="1:32" ht="30.75" customHeight="1">
      <c r="A85" s="357">
        <v>2</v>
      </c>
      <c r="B85" s="358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60"/>
      <c r="U85" s="360"/>
      <c r="V85" s="361"/>
      <c r="W85" s="361"/>
      <c r="X85" s="361"/>
      <c r="Y85" s="350"/>
      <c r="Z85" s="350"/>
      <c r="AA85" s="350"/>
      <c r="AB85" s="350"/>
      <c r="AC85" s="350"/>
      <c r="AD85" s="351"/>
      <c r="AF85" s="50"/>
    </row>
    <row r="86" spans="1:32" ht="30.75" customHeight="1" thickBot="1">
      <c r="A86" s="352">
        <v>3</v>
      </c>
      <c r="B86" s="353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5"/>
      <c r="Z86" s="355"/>
      <c r="AA86" s="355"/>
      <c r="AB86" s="355"/>
      <c r="AC86" s="355"/>
      <c r="AD86" s="356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EA65-85E6-4884-982A-DF2F0BAD3C96}"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525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338" t="s">
        <v>17</v>
      </c>
      <c r="L5" s="338" t="s">
        <v>18</v>
      </c>
      <c r="M5" s="338" t="s">
        <v>19</v>
      </c>
      <c r="N5" s="33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17" si="7">AC6*AB6*(1-O6)</f>
        <v>0</v>
      </c>
      <c r="AE6" s="36">
        <f t="shared" ref="AE6:AE20" si="8">$AD$21</f>
        <v>0.44607299607299616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0.44607299607299616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40000</v>
      </c>
      <c r="J8" s="14">
        <v>5313</v>
      </c>
      <c r="K8" s="15">
        <f>L8+2529+4548+3870+3984+5602+3423</f>
        <v>29269</v>
      </c>
      <c r="L8" s="15">
        <f>3141+2172</f>
        <v>5313</v>
      </c>
      <c r="M8" s="15">
        <f t="shared" si="1"/>
        <v>5313</v>
      </c>
      <c r="N8" s="15">
        <v>0</v>
      </c>
      <c r="O8" s="58">
        <f t="shared" si="2"/>
        <v>0</v>
      </c>
      <c r="P8" s="39">
        <f t="shared" si="3"/>
        <v>23</v>
      </c>
      <c r="Q8" s="40">
        <f t="shared" si="4"/>
        <v>1</v>
      </c>
      <c r="R8" s="7"/>
      <c r="S8" s="6">
        <v>1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0.95833333333333337</v>
      </c>
      <c r="AD8" s="10">
        <f t="shared" si="7"/>
        <v>0.95833333333333337</v>
      </c>
      <c r="AE8" s="36">
        <f t="shared" si="8"/>
        <v>0.44607299607299616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124</v>
      </c>
      <c r="D9" s="52" t="s">
        <v>221</v>
      </c>
      <c r="E9" s="53" t="s">
        <v>458</v>
      </c>
      <c r="F9" s="30" t="s">
        <v>127</v>
      </c>
      <c r="G9" s="33">
        <v>1</v>
      </c>
      <c r="H9" s="35">
        <v>24</v>
      </c>
      <c r="I9" s="7">
        <v>15000</v>
      </c>
      <c r="J9" s="14">
        <v>4367</v>
      </c>
      <c r="K9" s="15">
        <f>L9+1014+1697</f>
        <v>7078</v>
      </c>
      <c r="L9" s="15">
        <f>3177+1190</f>
        <v>4367</v>
      </c>
      <c r="M9" s="15">
        <f t="shared" si="1"/>
        <v>4367</v>
      </c>
      <c r="N9" s="15">
        <v>0</v>
      </c>
      <c r="O9" s="58">
        <f t="shared" si="2"/>
        <v>0</v>
      </c>
      <c r="P9" s="39">
        <f t="shared" si="3"/>
        <v>21</v>
      </c>
      <c r="Q9" s="40">
        <f t="shared" si="4"/>
        <v>3</v>
      </c>
      <c r="R9" s="7"/>
      <c r="S9" s="6">
        <v>3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0.875</v>
      </c>
      <c r="AD9" s="10">
        <f t="shared" si="7"/>
        <v>0.875</v>
      </c>
      <c r="AE9" s="36">
        <f t="shared" si="8"/>
        <v>0.44607299607299616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124</v>
      </c>
      <c r="D10" s="52" t="s">
        <v>416</v>
      </c>
      <c r="E10" s="53" t="s">
        <v>512</v>
      </c>
      <c r="F10" s="30" t="s">
        <v>526</v>
      </c>
      <c r="G10" s="33">
        <v>14</v>
      </c>
      <c r="H10" s="35">
        <v>24</v>
      </c>
      <c r="I10" s="7">
        <v>100000</v>
      </c>
      <c r="J10" s="5">
        <v>87374</v>
      </c>
      <c r="K10" s="15">
        <f>L10</f>
        <v>87374</v>
      </c>
      <c r="L10" s="15">
        <f>2684*14+3557*14</f>
        <v>87374</v>
      </c>
      <c r="M10" s="15">
        <f t="shared" si="1"/>
        <v>87374</v>
      </c>
      <c r="N10" s="15">
        <v>0</v>
      </c>
      <c r="O10" s="58">
        <f t="shared" si="2"/>
        <v>0</v>
      </c>
      <c r="P10" s="39">
        <f t="shared" si="3"/>
        <v>22</v>
      </c>
      <c r="Q10" s="40">
        <f t="shared" si="4"/>
        <v>2</v>
      </c>
      <c r="R10" s="7"/>
      <c r="S10" s="6"/>
      <c r="T10" s="16">
        <v>2</v>
      </c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0.91666666666666663</v>
      </c>
      <c r="AD10" s="10">
        <f>AC10*AB10*(1-O10)</f>
        <v>0.91666666666666663</v>
      </c>
      <c r="AE10" s="36">
        <f t="shared" si="8"/>
        <v>0.44607299607299616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124</v>
      </c>
      <c r="D11" s="52" t="s">
        <v>221</v>
      </c>
      <c r="E11" s="53" t="s">
        <v>406</v>
      </c>
      <c r="F11" s="30" t="s">
        <v>132</v>
      </c>
      <c r="G11" s="33">
        <v>1</v>
      </c>
      <c r="H11" s="35">
        <v>24</v>
      </c>
      <c r="I11" s="7">
        <v>1200</v>
      </c>
      <c r="J11" s="14">
        <v>1200</v>
      </c>
      <c r="K11" s="15">
        <f>L11+1200</f>
        <v>1200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ref="AD11" si="10">AC11*AB11*(1-O11)</f>
        <v>0</v>
      </c>
      <c r="AE11" s="36">
        <f t="shared" si="8"/>
        <v>0.44607299607299616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158</v>
      </c>
      <c r="F12" s="30" t="s">
        <v>121</v>
      </c>
      <c r="G12" s="33">
        <v>1</v>
      </c>
      <c r="H12" s="35">
        <v>20</v>
      </c>
      <c r="I12" s="7">
        <v>15000</v>
      </c>
      <c r="J12" s="14">
        <v>4654</v>
      </c>
      <c r="K12" s="15">
        <f>L12</f>
        <v>4654</v>
      </c>
      <c r="L12" s="15">
        <f>2006+2648</f>
        <v>4654</v>
      </c>
      <c r="M12" s="15">
        <f t="shared" si="1"/>
        <v>4654</v>
      </c>
      <c r="N12" s="15">
        <v>0</v>
      </c>
      <c r="O12" s="58">
        <f t="shared" si="2"/>
        <v>0</v>
      </c>
      <c r="P12" s="39">
        <f t="shared" si="3"/>
        <v>23</v>
      </c>
      <c r="Q12" s="40">
        <f t="shared" si="4"/>
        <v>1</v>
      </c>
      <c r="R12" s="7"/>
      <c r="S12" s="6"/>
      <c r="T12" s="16">
        <v>1</v>
      </c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0.95833333333333337</v>
      </c>
      <c r="AD12" s="10">
        <f t="shared" si="7"/>
        <v>0.95833333333333337</v>
      </c>
      <c r="AE12" s="36">
        <f t="shared" si="8"/>
        <v>0.44607299607299616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142</v>
      </c>
      <c r="D13" s="52" t="s">
        <v>117</v>
      </c>
      <c r="E13" s="53" t="s">
        <v>477</v>
      </c>
      <c r="F13" s="30" t="s">
        <v>199</v>
      </c>
      <c r="G13" s="33">
        <v>1</v>
      </c>
      <c r="H13" s="35">
        <v>24</v>
      </c>
      <c r="I13" s="7">
        <v>600</v>
      </c>
      <c r="J13" s="14">
        <v>793</v>
      </c>
      <c r="K13" s="15">
        <f>L13+793</f>
        <v>793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/>
      <c r="X13" s="16"/>
      <c r="Y13" s="16"/>
      <c r="Z13" s="16"/>
      <c r="AA13" s="18">
        <v>24</v>
      </c>
      <c r="AB13" s="8">
        <f t="shared" si="5"/>
        <v>0</v>
      </c>
      <c r="AC13" s="9">
        <f t="shared" si="6"/>
        <v>0</v>
      </c>
      <c r="AD13" s="10">
        <f t="shared" si="7"/>
        <v>0</v>
      </c>
      <c r="AE13" s="36">
        <f t="shared" si="8"/>
        <v>0.44607299607299616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140</v>
      </c>
      <c r="D14" s="52" t="s">
        <v>229</v>
      </c>
      <c r="E14" s="53"/>
      <c r="F14" s="30" t="s">
        <v>216</v>
      </c>
      <c r="G14" s="12" t="s">
        <v>470</v>
      </c>
      <c r="H14" s="13">
        <v>28</v>
      </c>
      <c r="I14" s="7">
        <v>3000</v>
      </c>
      <c r="J14" s="5">
        <v>628</v>
      </c>
      <c r="K14" s="15">
        <f>L14</f>
        <v>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0.44607299607299616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441</v>
      </c>
      <c r="D15" s="52"/>
      <c r="E15" s="53" t="s">
        <v>442</v>
      </c>
      <c r="F15" s="12" t="s">
        <v>443</v>
      </c>
      <c r="G15" s="12">
        <v>8</v>
      </c>
      <c r="H15" s="13">
        <v>24</v>
      </c>
      <c r="I15" s="31">
        <v>10000</v>
      </c>
      <c r="J15" s="14">
        <v>7008</v>
      </c>
      <c r="K15" s="15">
        <f>L15+17192+7008</f>
        <v>24200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0.44607299607299616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129</v>
      </c>
      <c r="E16" s="53" t="s">
        <v>259</v>
      </c>
      <c r="F16" s="30" t="s">
        <v>130</v>
      </c>
      <c r="G16" s="12">
        <v>1</v>
      </c>
      <c r="H16" s="13">
        <v>28</v>
      </c>
      <c r="I16" s="7">
        <v>9000</v>
      </c>
      <c r="J16" s="14">
        <v>4928</v>
      </c>
      <c r="K16" s="15">
        <f>L16+5027+5503+5566+4928</f>
        <v>21024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0.44607299607299616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449</v>
      </c>
      <c r="D17" s="52" t="s">
        <v>499</v>
      </c>
      <c r="E17" s="53" t="s">
        <v>500</v>
      </c>
      <c r="F17" s="30" t="s">
        <v>501</v>
      </c>
      <c r="G17" s="33">
        <v>3</v>
      </c>
      <c r="H17" s="35">
        <v>20</v>
      </c>
      <c r="I17" s="7">
        <v>30000</v>
      </c>
      <c r="J17" s="14">
        <v>1374</v>
      </c>
      <c r="K17" s="15">
        <f>L17+9354+18369</f>
        <v>29097</v>
      </c>
      <c r="L17" s="15">
        <f>458*3</f>
        <v>1374</v>
      </c>
      <c r="M17" s="15">
        <f t="shared" si="1"/>
        <v>1374</v>
      </c>
      <c r="N17" s="15">
        <v>0</v>
      </c>
      <c r="O17" s="58">
        <f t="shared" si="2"/>
        <v>0</v>
      </c>
      <c r="P17" s="39">
        <f t="shared" si="3"/>
        <v>3</v>
      </c>
      <c r="Q17" s="40">
        <f t="shared" si="4"/>
        <v>21</v>
      </c>
      <c r="R17" s="7"/>
      <c r="S17" s="6"/>
      <c r="T17" s="16"/>
      <c r="U17" s="16"/>
      <c r="V17" s="17"/>
      <c r="W17" s="5">
        <v>21</v>
      </c>
      <c r="X17" s="16"/>
      <c r="Y17" s="16"/>
      <c r="Z17" s="16"/>
      <c r="AA17" s="18"/>
      <c r="AB17" s="8">
        <f t="shared" si="5"/>
        <v>1</v>
      </c>
      <c r="AC17" s="9">
        <f t="shared" si="6"/>
        <v>0.125</v>
      </c>
      <c r="AD17" s="10">
        <f t="shared" si="7"/>
        <v>0.125</v>
      </c>
      <c r="AE17" s="36">
        <f t="shared" si="8"/>
        <v>0.44607299607299616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125</v>
      </c>
      <c r="E18" s="53" t="s">
        <v>492</v>
      </c>
      <c r="F18" s="30" t="s">
        <v>127</v>
      </c>
      <c r="G18" s="33">
        <v>1</v>
      </c>
      <c r="H18" s="35">
        <v>24</v>
      </c>
      <c r="I18" s="7">
        <v>45500</v>
      </c>
      <c r="J18" s="5">
        <v>5615</v>
      </c>
      <c r="K18" s="15">
        <f>L18+5168+5602</f>
        <v>16385</v>
      </c>
      <c r="L18" s="15">
        <f>3031+2584</f>
        <v>5615</v>
      </c>
      <c r="M18" s="15">
        <f t="shared" si="1"/>
        <v>5615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0.44607299607299616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114</v>
      </c>
      <c r="D19" s="52" t="s">
        <v>117</v>
      </c>
      <c r="E19" s="53" t="s">
        <v>493</v>
      </c>
      <c r="F19" s="30" t="s">
        <v>121</v>
      </c>
      <c r="G19" s="33">
        <v>1</v>
      </c>
      <c r="H19" s="35">
        <v>24</v>
      </c>
      <c r="I19" s="7">
        <v>45000</v>
      </c>
      <c r="J19" s="14">
        <v>5291</v>
      </c>
      <c r="K19" s="15">
        <f>L19+4853+5291</f>
        <v>15095</v>
      </c>
      <c r="L19" s="15">
        <f>2079+2872</f>
        <v>4951</v>
      </c>
      <c r="M19" s="15">
        <f t="shared" si="1"/>
        <v>4951</v>
      </c>
      <c r="N19" s="15">
        <v>0</v>
      </c>
      <c r="O19" s="58">
        <f t="shared" si="2"/>
        <v>0</v>
      </c>
      <c r="P19" s="39">
        <f t="shared" si="3"/>
        <v>22</v>
      </c>
      <c r="Q19" s="40">
        <f t="shared" si="4"/>
        <v>2</v>
      </c>
      <c r="R19" s="7"/>
      <c r="S19" s="6">
        <v>2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0.93573993573993575</v>
      </c>
      <c r="AC19" s="9">
        <f t="shared" si="6"/>
        <v>0.91666666666666663</v>
      </c>
      <c r="AD19" s="10">
        <f t="shared" ref="AD19:AD20" si="11">AC19*AB19*(1-O19)</f>
        <v>0.8577616077616077</v>
      </c>
      <c r="AE19" s="36">
        <f t="shared" si="8"/>
        <v>0.44607299607299616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383</v>
      </c>
      <c r="F20" s="12" t="s">
        <v>116</v>
      </c>
      <c r="G20" s="12">
        <v>3</v>
      </c>
      <c r="H20" s="35">
        <v>20</v>
      </c>
      <c r="I20" s="7">
        <v>100000</v>
      </c>
      <c r="J20" s="14">
        <v>81400</v>
      </c>
      <c r="K20" s="15">
        <f>L20+82592+85628+86908</f>
        <v>336528</v>
      </c>
      <c r="L20" s="15">
        <f>10038*4+10312*4</f>
        <v>81400</v>
      </c>
      <c r="M20" s="15">
        <f t="shared" si="1"/>
        <v>81400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si="11"/>
        <v>1</v>
      </c>
      <c r="AE20" s="36">
        <f t="shared" si="8"/>
        <v>0.44607299607299616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2">SUM(I6:I20)</f>
        <v>435300</v>
      </c>
      <c r="J21" s="19">
        <f t="shared" si="12"/>
        <v>212006</v>
      </c>
      <c r="K21" s="20">
        <f t="shared" si="12"/>
        <v>584245</v>
      </c>
      <c r="L21" s="21">
        <f t="shared" si="12"/>
        <v>195048</v>
      </c>
      <c r="M21" s="20">
        <f t="shared" si="12"/>
        <v>195048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162</v>
      </c>
      <c r="Q21" s="43">
        <f t="shared" si="13"/>
        <v>198</v>
      </c>
      <c r="R21" s="23">
        <f t="shared" si="13"/>
        <v>48</v>
      </c>
      <c r="S21" s="24">
        <f t="shared" si="13"/>
        <v>30</v>
      </c>
      <c r="T21" s="24">
        <f t="shared" si="13"/>
        <v>3</v>
      </c>
      <c r="U21" s="24">
        <f t="shared" si="13"/>
        <v>0</v>
      </c>
      <c r="V21" s="25">
        <f t="shared" si="13"/>
        <v>24</v>
      </c>
      <c r="W21" s="26">
        <f t="shared" si="13"/>
        <v>69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24</v>
      </c>
      <c r="AB21" s="28">
        <f>SUM(AB6:AB20)/15</f>
        <v>0.52904932904932911</v>
      </c>
      <c r="AC21" s="4">
        <f>SUM(AC6:AC20)/15</f>
        <v>0.45000000000000007</v>
      </c>
      <c r="AD21" s="4">
        <f>SUM(AD6:AD20)/15</f>
        <v>0.44607299607299616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527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530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339" t="s">
        <v>46</v>
      </c>
      <c r="D50" s="339" t="s">
        <v>47</v>
      </c>
      <c r="E50" s="339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339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09" t="s">
        <v>124</v>
      </c>
      <c r="B51" s="410"/>
      <c r="C51" s="341" t="s">
        <v>189</v>
      </c>
      <c r="D51" s="341" t="s">
        <v>221</v>
      </c>
      <c r="E51" s="341" t="s">
        <v>458</v>
      </c>
      <c r="F51" s="411" t="s">
        <v>528</v>
      </c>
      <c r="G51" s="412"/>
      <c r="H51" s="412"/>
      <c r="I51" s="412"/>
      <c r="J51" s="412"/>
      <c r="K51" s="412"/>
      <c r="L51" s="412"/>
      <c r="M51" s="413"/>
      <c r="N51" s="340" t="s">
        <v>140</v>
      </c>
      <c r="O51" s="345" t="s">
        <v>191</v>
      </c>
      <c r="P51" s="423"/>
      <c r="Q51" s="424"/>
      <c r="R51" s="410" t="s">
        <v>192</v>
      </c>
      <c r="S51" s="410"/>
      <c r="T51" s="410"/>
      <c r="U51" s="410"/>
      <c r="V51" s="400" t="s">
        <v>126</v>
      </c>
      <c r="W51" s="400"/>
      <c r="X51" s="400"/>
      <c r="Y51" s="400"/>
      <c r="Z51" s="400"/>
      <c r="AA51" s="400"/>
      <c r="AB51" s="400"/>
      <c r="AC51" s="400"/>
      <c r="AD51" s="414"/>
    </row>
    <row r="52" spans="1:32" ht="27" customHeight="1">
      <c r="A52" s="409" t="s">
        <v>124</v>
      </c>
      <c r="B52" s="410"/>
      <c r="C52" s="341" t="s">
        <v>136</v>
      </c>
      <c r="D52" s="341" t="s">
        <v>416</v>
      </c>
      <c r="E52" s="341" t="s">
        <v>512</v>
      </c>
      <c r="F52" s="411" t="s">
        <v>120</v>
      </c>
      <c r="G52" s="412"/>
      <c r="H52" s="412"/>
      <c r="I52" s="412"/>
      <c r="J52" s="412"/>
      <c r="K52" s="412"/>
      <c r="L52" s="412"/>
      <c r="M52" s="413"/>
      <c r="N52" s="340" t="s">
        <v>531</v>
      </c>
      <c r="O52" s="345" t="s">
        <v>143</v>
      </c>
      <c r="P52" s="423"/>
      <c r="Q52" s="424"/>
      <c r="R52" s="410" t="s">
        <v>532</v>
      </c>
      <c r="S52" s="410"/>
      <c r="T52" s="410"/>
      <c r="U52" s="410"/>
      <c r="V52" s="400" t="s">
        <v>120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124</v>
      </c>
      <c r="B53" s="410"/>
      <c r="C53" s="341" t="s">
        <v>145</v>
      </c>
      <c r="D53" s="341" t="s">
        <v>122</v>
      </c>
      <c r="E53" s="341" t="s">
        <v>175</v>
      </c>
      <c r="F53" s="411" t="s">
        <v>337</v>
      </c>
      <c r="G53" s="412"/>
      <c r="H53" s="412"/>
      <c r="I53" s="412"/>
      <c r="J53" s="412"/>
      <c r="K53" s="412"/>
      <c r="L53" s="412"/>
      <c r="M53" s="413"/>
      <c r="N53" s="340"/>
      <c r="O53" s="345"/>
      <c r="P53" s="423"/>
      <c r="Q53" s="424"/>
      <c r="R53" s="410"/>
      <c r="S53" s="410"/>
      <c r="T53" s="410"/>
      <c r="U53" s="410"/>
      <c r="V53" s="400"/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124</v>
      </c>
      <c r="B54" s="410"/>
      <c r="C54" s="341" t="s">
        <v>176</v>
      </c>
      <c r="D54" s="341" t="s">
        <v>117</v>
      </c>
      <c r="E54" s="341" t="s">
        <v>158</v>
      </c>
      <c r="F54" s="411" t="s">
        <v>120</v>
      </c>
      <c r="G54" s="412"/>
      <c r="H54" s="412"/>
      <c r="I54" s="412"/>
      <c r="J54" s="412"/>
      <c r="K54" s="412"/>
      <c r="L54" s="412"/>
      <c r="M54" s="413"/>
      <c r="N54" s="340"/>
      <c r="O54" s="345"/>
      <c r="P54" s="423"/>
      <c r="Q54" s="424"/>
      <c r="R54" s="410"/>
      <c r="S54" s="410"/>
      <c r="T54" s="410"/>
      <c r="U54" s="410"/>
      <c r="V54" s="400"/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 t="s">
        <v>140</v>
      </c>
      <c r="B55" s="410"/>
      <c r="C55" s="341" t="s">
        <v>191</v>
      </c>
      <c r="D55" s="341"/>
      <c r="E55" s="341" t="s">
        <v>192</v>
      </c>
      <c r="F55" s="411" t="s">
        <v>529</v>
      </c>
      <c r="G55" s="412"/>
      <c r="H55" s="412"/>
      <c r="I55" s="412"/>
      <c r="J55" s="412"/>
      <c r="K55" s="412"/>
      <c r="L55" s="412"/>
      <c r="M55" s="413"/>
      <c r="N55" s="340"/>
      <c r="O55" s="345"/>
      <c r="P55" s="423"/>
      <c r="Q55" s="424"/>
      <c r="R55" s="410"/>
      <c r="S55" s="410"/>
      <c r="T55" s="410"/>
      <c r="U55" s="410"/>
      <c r="V55" s="400"/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/>
      <c r="B56" s="410"/>
      <c r="C56" s="341"/>
      <c r="D56" s="341"/>
      <c r="E56" s="341"/>
      <c r="F56" s="411"/>
      <c r="G56" s="412"/>
      <c r="H56" s="412"/>
      <c r="I56" s="412"/>
      <c r="J56" s="412"/>
      <c r="K56" s="412"/>
      <c r="L56" s="412"/>
      <c r="M56" s="413"/>
      <c r="N56" s="340"/>
      <c r="O56" s="345"/>
      <c r="P56" s="423"/>
      <c r="Q56" s="424"/>
      <c r="R56" s="410"/>
      <c r="S56" s="410"/>
      <c r="T56" s="410"/>
      <c r="U56" s="410"/>
      <c r="V56" s="400"/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/>
      <c r="B57" s="410"/>
      <c r="C57" s="341"/>
      <c r="D57" s="341"/>
      <c r="E57" s="341"/>
      <c r="F57" s="411"/>
      <c r="G57" s="412"/>
      <c r="H57" s="412"/>
      <c r="I57" s="412"/>
      <c r="J57" s="412"/>
      <c r="K57" s="412"/>
      <c r="L57" s="412"/>
      <c r="M57" s="413"/>
      <c r="N57" s="340"/>
      <c r="O57" s="345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/>
      <c r="B58" s="410"/>
      <c r="C58" s="341"/>
      <c r="D58" s="341"/>
      <c r="E58" s="341"/>
      <c r="F58" s="411"/>
      <c r="G58" s="412"/>
      <c r="H58" s="412"/>
      <c r="I58" s="412"/>
      <c r="J58" s="412"/>
      <c r="K58" s="412"/>
      <c r="L58" s="412"/>
      <c r="M58" s="413"/>
      <c r="N58" s="340"/>
      <c r="O58" s="345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341"/>
      <c r="D59" s="341"/>
      <c r="E59" s="341"/>
      <c r="F59" s="411"/>
      <c r="G59" s="412"/>
      <c r="H59" s="412"/>
      <c r="I59" s="412"/>
      <c r="J59" s="412"/>
      <c r="K59" s="412"/>
      <c r="L59" s="412"/>
      <c r="M59" s="413"/>
      <c r="N59" s="340"/>
      <c r="O59" s="345"/>
      <c r="P59" s="410"/>
      <c r="Q59" s="410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  <c r="AF59" s="87">
        <f>8*3000</f>
        <v>24000</v>
      </c>
    </row>
    <row r="60" spans="1:32" ht="27" customHeight="1" thickBot="1">
      <c r="A60" s="415"/>
      <c r="B60" s="416"/>
      <c r="C60" s="342"/>
      <c r="D60" s="342"/>
      <c r="E60" s="342"/>
      <c r="F60" s="417"/>
      <c r="G60" s="418"/>
      <c r="H60" s="418"/>
      <c r="I60" s="418"/>
      <c r="J60" s="418"/>
      <c r="K60" s="418"/>
      <c r="L60" s="418"/>
      <c r="M60" s="419"/>
      <c r="N60" s="124"/>
      <c r="O60" s="114"/>
      <c r="P60" s="420"/>
      <c r="Q60" s="420"/>
      <c r="R60" s="420"/>
      <c r="S60" s="420"/>
      <c r="T60" s="420"/>
      <c r="U60" s="420"/>
      <c r="V60" s="421"/>
      <c r="W60" s="421"/>
      <c r="X60" s="421"/>
      <c r="Y60" s="421"/>
      <c r="Z60" s="421"/>
      <c r="AA60" s="421"/>
      <c r="AB60" s="421"/>
      <c r="AC60" s="421"/>
      <c r="AD60" s="422"/>
      <c r="AF60" s="87">
        <f>16*3000</f>
        <v>48000</v>
      </c>
    </row>
    <row r="61" spans="1:32" ht="27.75" thickBot="1">
      <c r="A61" s="407" t="s">
        <v>533</v>
      </c>
      <c r="B61" s="407"/>
      <c r="C61" s="407"/>
      <c r="D61" s="407"/>
      <c r="E61" s="40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08" t="s">
        <v>113</v>
      </c>
      <c r="B62" s="405"/>
      <c r="C62" s="343" t="s">
        <v>2</v>
      </c>
      <c r="D62" s="343" t="s">
        <v>37</v>
      </c>
      <c r="E62" s="343" t="s">
        <v>3</v>
      </c>
      <c r="F62" s="405" t="s">
        <v>110</v>
      </c>
      <c r="G62" s="405"/>
      <c r="H62" s="405"/>
      <c r="I62" s="405"/>
      <c r="J62" s="405"/>
      <c r="K62" s="405" t="s">
        <v>39</v>
      </c>
      <c r="L62" s="405"/>
      <c r="M62" s="343" t="s">
        <v>40</v>
      </c>
      <c r="N62" s="405" t="s">
        <v>41</v>
      </c>
      <c r="O62" s="405"/>
      <c r="P62" s="402" t="s">
        <v>42</v>
      </c>
      <c r="Q62" s="404"/>
      <c r="R62" s="402" t="s">
        <v>43</v>
      </c>
      <c r="S62" s="403"/>
      <c r="T62" s="403"/>
      <c r="U62" s="403"/>
      <c r="V62" s="403"/>
      <c r="W62" s="403"/>
      <c r="X62" s="403"/>
      <c r="Y62" s="403"/>
      <c r="Z62" s="403"/>
      <c r="AA62" s="404"/>
      <c r="AB62" s="405" t="s">
        <v>44</v>
      </c>
      <c r="AC62" s="405"/>
      <c r="AD62" s="406"/>
      <c r="AF62" s="87">
        <f>SUM(AF59:AF61)</f>
        <v>96000</v>
      </c>
    </row>
    <row r="63" spans="1:32" ht="25.5" customHeight="1">
      <c r="A63" s="396">
        <v>1</v>
      </c>
      <c r="B63" s="397"/>
      <c r="C63" s="117" t="s">
        <v>140</v>
      </c>
      <c r="D63" s="347"/>
      <c r="E63" s="344" t="s">
        <v>117</v>
      </c>
      <c r="F63" s="398" t="s">
        <v>514</v>
      </c>
      <c r="G63" s="390"/>
      <c r="H63" s="390"/>
      <c r="I63" s="390"/>
      <c r="J63" s="390"/>
      <c r="K63" s="390" t="s">
        <v>121</v>
      </c>
      <c r="L63" s="390"/>
      <c r="M63" s="51" t="s">
        <v>203</v>
      </c>
      <c r="N63" s="401" t="s">
        <v>204</v>
      </c>
      <c r="O63" s="401"/>
      <c r="P63" s="399">
        <v>50</v>
      </c>
      <c r="Q63" s="399"/>
      <c r="R63" s="400" t="s">
        <v>534</v>
      </c>
      <c r="S63" s="400"/>
      <c r="T63" s="400"/>
      <c r="U63" s="400"/>
      <c r="V63" s="400"/>
      <c r="W63" s="400"/>
      <c r="X63" s="400"/>
      <c r="Y63" s="400"/>
      <c r="Z63" s="400"/>
      <c r="AA63" s="400"/>
      <c r="AB63" s="390"/>
      <c r="AC63" s="390"/>
      <c r="AD63" s="391"/>
      <c r="AF63" s="50"/>
    </row>
    <row r="64" spans="1:32" ht="25.5" customHeight="1">
      <c r="A64" s="396">
        <v>2</v>
      </c>
      <c r="B64" s="397"/>
      <c r="C64" s="117"/>
      <c r="D64" s="347"/>
      <c r="E64" s="344"/>
      <c r="F64" s="398"/>
      <c r="G64" s="390"/>
      <c r="H64" s="390"/>
      <c r="I64" s="390"/>
      <c r="J64" s="390"/>
      <c r="K64" s="390"/>
      <c r="L64" s="390"/>
      <c r="M64" s="51"/>
      <c r="N64" s="401"/>
      <c r="O64" s="401"/>
      <c r="P64" s="399"/>
      <c r="Q64" s="399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3</v>
      </c>
      <c r="B65" s="397"/>
      <c r="C65" s="117"/>
      <c r="D65" s="347"/>
      <c r="E65" s="344"/>
      <c r="F65" s="398"/>
      <c r="G65" s="390"/>
      <c r="H65" s="390"/>
      <c r="I65" s="390"/>
      <c r="J65" s="390"/>
      <c r="K65" s="390"/>
      <c r="L65" s="390"/>
      <c r="M65" s="51"/>
      <c r="N65" s="401"/>
      <c r="O65" s="401"/>
      <c r="P65" s="399"/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4</v>
      </c>
      <c r="B66" s="397"/>
      <c r="C66" s="117"/>
      <c r="D66" s="347"/>
      <c r="E66" s="344"/>
      <c r="F66" s="398"/>
      <c r="G66" s="390"/>
      <c r="H66" s="390"/>
      <c r="I66" s="390"/>
      <c r="J66" s="390"/>
      <c r="K66" s="390"/>
      <c r="L66" s="390"/>
      <c r="M66" s="51"/>
      <c r="N66" s="401"/>
      <c r="O66" s="401"/>
      <c r="P66" s="399"/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5</v>
      </c>
      <c r="B67" s="397"/>
      <c r="C67" s="117"/>
      <c r="D67" s="347"/>
      <c r="E67" s="344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6</v>
      </c>
      <c r="B68" s="397"/>
      <c r="C68" s="117"/>
      <c r="D68" s="347"/>
      <c r="E68" s="344"/>
      <c r="F68" s="398"/>
      <c r="G68" s="390"/>
      <c r="H68" s="390"/>
      <c r="I68" s="390"/>
      <c r="J68" s="390"/>
      <c r="K68" s="390"/>
      <c r="L68" s="390"/>
      <c r="M68" s="51"/>
      <c r="N68" s="390"/>
      <c r="O68" s="390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7</v>
      </c>
      <c r="B69" s="397"/>
      <c r="C69" s="117"/>
      <c r="D69" s="347"/>
      <c r="E69" s="344"/>
      <c r="F69" s="398"/>
      <c r="G69" s="390"/>
      <c r="H69" s="390"/>
      <c r="I69" s="390"/>
      <c r="J69" s="390"/>
      <c r="K69" s="390"/>
      <c r="L69" s="390"/>
      <c r="M69" s="51"/>
      <c r="N69" s="401"/>
      <c r="O69" s="401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8</v>
      </c>
      <c r="B70" s="397"/>
      <c r="C70" s="117"/>
      <c r="D70" s="347"/>
      <c r="E70" s="344"/>
      <c r="F70" s="398"/>
      <c r="G70" s="390"/>
      <c r="H70" s="390"/>
      <c r="I70" s="390"/>
      <c r="J70" s="390"/>
      <c r="K70" s="390"/>
      <c r="L70" s="390"/>
      <c r="M70" s="51"/>
      <c r="N70" s="390"/>
      <c r="O70" s="390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6.25" customHeight="1" thickBot="1">
      <c r="A71" s="370" t="s">
        <v>535</v>
      </c>
      <c r="B71" s="370"/>
      <c r="C71" s="370"/>
      <c r="D71" s="370"/>
      <c r="E71" s="370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371" t="s">
        <v>113</v>
      </c>
      <c r="B72" s="372"/>
      <c r="C72" s="346" t="s">
        <v>2</v>
      </c>
      <c r="D72" s="346" t="s">
        <v>37</v>
      </c>
      <c r="E72" s="346" t="s">
        <v>3</v>
      </c>
      <c r="F72" s="372" t="s">
        <v>38</v>
      </c>
      <c r="G72" s="372"/>
      <c r="H72" s="372"/>
      <c r="I72" s="372"/>
      <c r="J72" s="372"/>
      <c r="K72" s="392" t="s">
        <v>58</v>
      </c>
      <c r="L72" s="393"/>
      <c r="M72" s="393"/>
      <c r="N72" s="393"/>
      <c r="O72" s="393"/>
      <c r="P72" s="393"/>
      <c r="Q72" s="393"/>
      <c r="R72" s="393"/>
      <c r="S72" s="394"/>
      <c r="T72" s="372" t="s">
        <v>49</v>
      </c>
      <c r="U72" s="372"/>
      <c r="V72" s="392" t="s">
        <v>50</v>
      </c>
      <c r="W72" s="394"/>
      <c r="X72" s="393" t="s">
        <v>51</v>
      </c>
      <c r="Y72" s="393"/>
      <c r="Z72" s="393"/>
      <c r="AA72" s="393"/>
      <c r="AB72" s="393"/>
      <c r="AC72" s="393"/>
      <c r="AD72" s="395"/>
      <c r="AF72" s="50"/>
    </row>
    <row r="73" spans="1:32" ht="33.75" customHeight="1">
      <c r="A73" s="364">
        <v>1</v>
      </c>
      <c r="B73" s="365"/>
      <c r="C73" s="348" t="s">
        <v>114</v>
      </c>
      <c r="D73" s="348"/>
      <c r="E73" s="65" t="s">
        <v>119</v>
      </c>
      <c r="F73" s="379" t="s">
        <v>118</v>
      </c>
      <c r="G73" s="380"/>
      <c r="H73" s="380"/>
      <c r="I73" s="380"/>
      <c r="J73" s="381"/>
      <c r="K73" s="382" t="s">
        <v>156</v>
      </c>
      <c r="L73" s="383"/>
      <c r="M73" s="383"/>
      <c r="N73" s="383"/>
      <c r="O73" s="383"/>
      <c r="P73" s="383"/>
      <c r="Q73" s="383"/>
      <c r="R73" s="383"/>
      <c r="S73" s="384"/>
      <c r="T73" s="385">
        <v>43675</v>
      </c>
      <c r="U73" s="386"/>
      <c r="V73" s="387"/>
      <c r="W73" s="387"/>
      <c r="X73" s="388"/>
      <c r="Y73" s="388"/>
      <c r="Z73" s="388"/>
      <c r="AA73" s="388"/>
      <c r="AB73" s="388"/>
      <c r="AC73" s="388"/>
      <c r="AD73" s="389"/>
      <c r="AF73" s="50"/>
    </row>
    <row r="74" spans="1:32" ht="30" customHeight="1">
      <c r="A74" s="357">
        <f>A73+1</f>
        <v>2</v>
      </c>
      <c r="B74" s="358"/>
      <c r="C74" s="347"/>
      <c r="D74" s="347"/>
      <c r="E74" s="32"/>
      <c r="F74" s="358"/>
      <c r="G74" s="358"/>
      <c r="H74" s="358"/>
      <c r="I74" s="358"/>
      <c r="J74" s="358"/>
      <c r="K74" s="373"/>
      <c r="L74" s="374"/>
      <c r="M74" s="374"/>
      <c r="N74" s="374"/>
      <c r="O74" s="374"/>
      <c r="P74" s="374"/>
      <c r="Q74" s="374"/>
      <c r="R74" s="374"/>
      <c r="S74" s="375"/>
      <c r="T74" s="376"/>
      <c r="U74" s="376"/>
      <c r="V74" s="376"/>
      <c r="W74" s="376"/>
      <c r="X74" s="377"/>
      <c r="Y74" s="377"/>
      <c r="Z74" s="377"/>
      <c r="AA74" s="377"/>
      <c r="AB74" s="377"/>
      <c r="AC74" s="377"/>
      <c r="AD74" s="378"/>
      <c r="AF74" s="50"/>
    </row>
    <row r="75" spans="1:32" ht="30" customHeight="1">
      <c r="A75" s="357">
        <f t="shared" ref="A75:A81" si="14">A74+1</f>
        <v>3</v>
      </c>
      <c r="B75" s="358"/>
      <c r="C75" s="347"/>
      <c r="D75" s="347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si="14"/>
        <v>4</v>
      </c>
      <c r="B76" s="358"/>
      <c r="C76" s="347"/>
      <c r="D76" s="347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14"/>
        <v>5</v>
      </c>
      <c r="B77" s="358"/>
      <c r="C77" s="347"/>
      <c r="D77" s="347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14"/>
        <v>6</v>
      </c>
      <c r="B78" s="358"/>
      <c r="C78" s="347"/>
      <c r="D78" s="347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14"/>
        <v>7</v>
      </c>
      <c r="B79" s="358"/>
      <c r="C79" s="347"/>
      <c r="D79" s="347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14"/>
        <v>8</v>
      </c>
      <c r="B80" s="358"/>
      <c r="C80" s="347"/>
      <c r="D80" s="347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14"/>
        <v>9</v>
      </c>
      <c r="B81" s="358"/>
      <c r="C81" s="347"/>
      <c r="D81" s="347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6" thickBot="1">
      <c r="A82" s="370" t="s">
        <v>536</v>
      </c>
      <c r="B82" s="370"/>
      <c r="C82" s="370"/>
      <c r="D82" s="370"/>
      <c r="E82" s="370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371" t="s">
        <v>113</v>
      </c>
      <c r="B83" s="372"/>
      <c r="C83" s="362" t="s">
        <v>52</v>
      </c>
      <c r="D83" s="362"/>
      <c r="E83" s="362" t="s">
        <v>53</v>
      </c>
      <c r="F83" s="362"/>
      <c r="G83" s="362"/>
      <c r="H83" s="362"/>
      <c r="I83" s="362"/>
      <c r="J83" s="362"/>
      <c r="K83" s="362" t="s">
        <v>54</v>
      </c>
      <c r="L83" s="362"/>
      <c r="M83" s="362"/>
      <c r="N83" s="362"/>
      <c r="O83" s="362"/>
      <c r="P83" s="362"/>
      <c r="Q83" s="362"/>
      <c r="R83" s="362"/>
      <c r="S83" s="362"/>
      <c r="T83" s="362" t="s">
        <v>55</v>
      </c>
      <c r="U83" s="362"/>
      <c r="V83" s="362" t="s">
        <v>56</v>
      </c>
      <c r="W83" s="362"/>
      <c r="X83" s="362"/>
      <c r="Y83" s="362" t="s">
        <v>51</v>
      </c>
      <c r="Z83" s="362"/>
      <c r="AA83" s="362"/>
      <c r="AB83" s="362"/>
      <c r="AC83" s="362"/>
      <c r="AD83" s="363"/>
      <c r="AF83" s="50"/>
    </row>
    <row r="84" spans="1:32" ht="30.75" customHeight="1">
      <c r="A84" s="364">
        <v>1</v>
      </c>
      <c r="B84" s="365"/>
      <c r="C84" s="366">
        <v>11</v>
      </c>
      <c r="D84" s="366"/>
      <c r="E84" s="366" t="s">
        <v>485</v>
      </c>
      <c r="F84" s="366"/>
      <c r="G84" s="366"/>
      <c r="H84" s="366"/>
      <c r="I84" s="366"/>
      <c r="J84" s="366"/>
      <c r="K84" s="366" t="s">
        <v>486</v>
      </c>
      <c r="L84" s="366"/>
      <c r="M84" s="366"/>
      <c r="N84" s="366"/>
      <c r="O84" s="366"/>
      <c r="P84" s="366"/>
      <c r="Q84" s="366"/>
      <c r="R84" s="366"/>
      <c r="S84" s="366"/>
      <c r="T84" s="366" t="s">
        <v>487</v>
      </c>
      <c r="U84" s="366"/>
      <c r="V84" s="367">
        <v>700000</v>
      </c>
      <c r="W84" s="367"/>
      <c r="X84" s="367"/>
      <c r="Y84" s="368"/>
      <c r="Z84" s="368"/>
      <c r="AA84" s="368"/>
      <c r="AB84" s="368"/>
      <c r="AC84" s="368"/>
      <c r="AD84" s="369"/>
      <c r="AF84" s="50"/>
    </row>
    <row r="85" spans="1:32" ht="30.75" customHeight="1">
      <c r="A85" s="357">
        <v>2</v>
      </c>
      <c r="B85" s="358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60"/>
      <c r="U85" s="360"/>
      <c r="V85" s="361"/>
      <c r="W85" s="361"/>
      <c r="X85" s="361"/>
      <c r="Y85" s="350"/>
      <c r="Z85" s="350"/>
      <c r="AA85" s="350"/>
      <c r="AB85" s="350"/>
      <c r="AC85" s="350"/>
      <c r="AD85" s="351"/>
      <c r="AF85" s="50"/>
    </row>
    <row r="86" spans="1:32" ht="30.75" customHeight="1" thickBot="1">
      <c r="A86" s="352">
        <v>3</v>
      </c>
      <c r="B86" s="353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5"/>
      <c r="Z86" s="355"/>
      <c r="AA86" s="355"/>
      <c r="AB86" s="355"/>
      <c r="AC86" s="355"/>
      <c r="AD86" s="356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FAFB-95C4-472B-A6D6-7B5115CC4766}">
  <dimension ref="A1:AF86"/>
  <sheetViews>
    <sheetView tabSelected="1"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537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338" t="s">
        <v>17</v>
      </c>
      <c r="L5" s="338" t="s">
        <v>18</v>
      </c>
      <c r="M5" s="338" t="s">
        <v>19</v>
      </c>
      <c r="N5" s="33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17" si="7">AC6*AB6*(1-O6)</f>
        <v>0</v>
      </c>
      <c r="AE6" s="36">
        <f t="shared" ref="AE6:AE20" si="8">$AD$21</f>
        <v>0.40555555555555561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0.40555555555555561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40000</v>
      </c>
      <c r="J8" s="14">
        <v>4646</v>
      </c>
      <c r="K8" s="15">
        <f>L8+2529+4548+3870+3984+5602+3423+5313</f>
        <v>33915</v>
      </c>
      <c r="L8" s="15">
        <f>1950+2696</f>
        <v>4646</v>
      </c>
      <c r="M8" s="15">
        <f t="shared" si="1"/>
        <v>4646</v>
      </c>
      <c r="N8" s="15">
        <v>0</v>
      </c>
      <c r="O8" s="58">
        <f t="shared" si="2"/>
        <v>0</v>
      </c>
      <c r="P8" s="39">
        <f t="shared" si="3"/>
        <v>18</v>
      </c>
      <c r="Q8" s="40">
        <f t="shared" si="4"/>
        <v>6</v>
      </c>
      <c r="R8" s="7"/>
      <c r="S8" s="6">
        <v>6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0.75</v>
      </c>
      <c r="AD8" s="10">
        <f t="shared" si="7"/>
        <v>0.75</v>
      </c>
      <c r="AE8" s="36">
        <f t="shared" si="8"/>
        <v>0.40555555555555561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124</v>
      </c>
      <c r="D9" s="52" t="s">
        <v>221</v>
      </c>
      <c r="E9" s="53" t="s">
        <v>458</v>
      </c>
      <c r="F9" s="30" t="s">
        <v>127</v>
      </c>
      <c r="G9" s="33">
        <v>1</v>
      </c>
      <c r="H9" s="35">
        <v>24</v>
      </c>
      <c r="I9" s="7">
        <v>15000</v>
      </c>
      <c r="J9" s="14">
        <v>5989</v>
      </c>
      <c r="K9" s="15">
        <f>L9+1014+1697+4367</f>
        <v>13067</v>
      </c>
      <c r="L9" s="15">
        <f>3298+2691</f>
        <v>5989</v>
      </c>
      <c r="M9" s="15">
        <f t="shared" si="1"/>
        <v>5989</v>
      </c>
      <c r="N9" s="15">
        <v>0</v>
      </c>
      <c r="O9" s="58">
        <f t="shared" si="2"/>
        <v>0</v>
      </c>
      <c r="P9" s="39">
        <f t="shared" si="3"/>
        <v>24</v>
      </c>
      <c r="Q9" s="40">
        <f t="shared" si="4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1</v>
      </c>
      <c r="AD9" s="10">
        <f t="shared" si="7"/>
        <v>1</v>
      </c>
      <c r="AE9" s="36">
        <f t="shared" si="8"/>
        <v>0.40555555555555561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124</v>
      </c>
      <c r="D10" s="52" t="s">
        <v>416</v>
      </c>
      <c r="E10" s="53" t="s">
        <v>512</v>
      </c>
      <c r="F10" s="30" t="s">
        <v>526</v>
      </c>
      <c r="G10" s="33">
        <v>14</v>
      </c>
      <c r="H10" s="35">
        <v>24</v>
      </c>
      <c r="I10" s="7">
        <v>100000</v>
      </c>
      <c r="J10" s="5">
        <v>70882</v>
      </c>
      <c r="K10" s="15">
        <f>L10+87374</f>
        <v>158256</v>
      </c>
      <c r="L10" s="15">
        <f>1976*14+3087*14</f>
        <v>70882</v>
      </c>
      <c r="M10" s="15">
        <f t="shared" si="1"/>
        <v>70882</v>
      </c>
      <c r="N10" s="15">
        <v>0</v>
      </c>
      <c r="O10" s="58">
        <f t="shared" si="2"/>
        <v>0</v>
      </c>
      <c r="P10" s="39">
        <f t="shared" si="3"/>
        <v>21</v>
      </c>
      <c r="Q10" s="40">
        <f t="shared" si="4"/>
        <v>3</v>
      </c>
      <c r="R10" s="7"/>
      <c r="S10" s="6"/>
      <c r="T10" s="16"/>
      <c r="U10" s="16"/>
      <c r="V10" s="17"/>
      <c r="W10" s="5">
        <v>3</v>
      </c>
      <c r="X10" s="16"/>
      <c r="Y10" s="16"/>
      <c r="Z10" s="16"/>
      <c r="AA10" s="18"/>
      <c r="AB10" s="8">
        <f t="shared" si="5"/>
        <v>1</v>
      </c>
      <c r="AC10" s="9">
        <f t="shared" si="6"/>
        <v>0.875</v>
      </c>
      <c r="AD10" s="10">
        <f>AC10*AB10*(1-O10)</f>
        <v>0.875</v>
      </c>
      <c r="AE10" s="36">
        <f t="shared" si="8"/>
        <v>0.40555555555555561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124</v>
      </c>
      <c r="D11" s="52" t="s">
        <v>221</v>
      </c>
      <c r="E11" s="53" t="s">
        <v>406</v>
      </c>
      <c r="F11" s="30" t="s">
        <v>132</v>
      </c>
      <c r="G11" s="33">
        <v>1</v>
      </c>
      <c r="H11" s="35">
        <v>24</v>
      </c>
      <c r="I11" s="7">
        <v>1200</v>
      </c>
      <c r="J11" s="14">
        <v>1200</v>
      </c>
      <c r="K11" s="15">
        <f>L11+1200</f>
        <v>1200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ref="AD11" si="10">AC11*AB11*(1-O11)</f>
        <v>0</v>
      </c>
      <c r="AE11" s="36">
        <f t="shared" si="8"/>
        <v>0.40555555555555561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158</v>
      </c>
      <c r="F12" s="30" t="s">
        <v>121</v>
      </c>
      <c r="G12" s="33">
        <v>1</v>
      </c>
      <c r="H12" s="35">
        <v>20</v>
      </c>
      <c r="I12" s="7">
        <v>15000</v>
      </c>
      <c r="J12" s="14">
        <v>2343</v>
      </c>
      <c r="K12" s="15">
        <f>L12+4654</f>
        <v>6997</v>
      </c>
      <c r="L12" s="15">
        <f>87+2256</f>
        <v>2343</v>
      </c>
      <c r="M12" s="15">
        <f t="shared" si="1"/>
        <v>2343</v>
      </c>
      <c r="N12" s="15">
        <v>0</v>
      </c>
      <c r="O12" s="58">
        <f t="shared" si="2"/>
        <v>0</v>
      </c>
      <c r="P12" s="39">
        <f t="shared" si="3"/>
        <v>11</v>
      </c>
      <c r="Q12" s="40">
        <f t="shared" si="4"/>
        <v>13</v>
      </c>
      <c r="R12" s="7"/>
      <c r="S12" s="6">
        <v>13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0.45833333333333331</v>
      </c>
      <c r="AD12" s="10">
        <f t="shared" si="7"/>
        <v>0.45833333333333331</v>
      </c>
      <c r="AE12" s="36">
        <f t="shared" si="8"/>
        <v>0.40555555555555561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142</v>
      </c>
      <c r="D13" s="52" t="s">
        <v>117</v>
      </c>
      <c r="E13" s="53" t="s">
        <v>477</v>
      </c>
      <c r="F13" s="30" t="s">
        <v>199</v>
      </c>
      <c r="G13" s="33">
        <v>1</v>
      </c>
      <c r="H13" s="35">
        <v>24</v>
      </c>
      <c r="I13" s="7">
        <v>600</v>
      </c>
      <c r="J13" s="14">
        <v>793</v>
      </c>
      <c r="K13" s="15">
        <f>L13+793</f>
        <v>793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/>
      <c r="X13" s="16"/>
      <c r="Y13" s="16"/>
      <c r="Z13" s="16"/>
      <c r="AA13" s="18">
        <v>24</v>
      </c>
      <c r="AB13" s="8">
        <f t="shared" si="5"/>
        <v>0</v>
      </c>
      <c r="AC13" s="9">
        <f t="shared" si="6"/>
        <v>0</v>
      </c>
      <c r="AD13" s="10">
        <f t="shared" si="7"/>
        <v>0</v>
      </c>
      <c r="AE13" s="36">
        <f t="shared" si="8"/>
        <v>0.40555555555555561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140</v>
      </c>
      <c r="D14" s="52" t="s">
        <v>229</v>
      </c>
      <c r="E14" s="53"/>
      <c r="F14" s="30" t="s">
        <v>216</v>
      </c>
      <c r="G14" s="12" t="s">
        <v>470</v>
      </c>
      <c r="H14" s="13">
        <v>28</v>
      </c>
      <c r="I14" s="7">
        <v>3000</v>
      </c>
      <c r="J14" s="5">
        <v>2946</v>
      </c>
      <c r="K14" s="15">
        <f>L14</f>
        <v>2946</v>
      </c>
      <c r="L14" s="15">
        <f>131*2+1342*2</f>
        <v>2946</v>
      </c>
      <c r="M14" s="15">
        <f t="shared" si="1"/>
        <v>2946</v>
      </c>
      <c r="N14" s="15">
        <v>0</v>
      </c>
      <c r="O14" s="58">
        <f t="shared" si="2"/>
        <v>0</v>
      </c>
      <c r="P14" s="39">
        <f t="shared" si="3"/>
        <v>14</v>
      </c>
      <c r="Q14" s="40">
        <f t="shared" si="4"/>
        <v>10</v>
      </c>
      <c r="R14" s="7"/>
      <c r="S14" s="6"/>
      <c r="T14" s="16"/>
      <c r="U14" s="16"/>
      <c r="V14" s="17"/>
      <c r="W14" s="5">
        <v>10</v>
      </c>
      <c r="X14" s="16"/>
      <c r="Y14" s="16"/>
      <c r="Z14" s="16"/>
      <c r="AA14" s="18"/>
      <c r="AB14" s="8">
        <f t="shared" si="5"/>
        <v>1</v>
      </c>
      <c r="AC14" s="9">
        <f t="shared" si="6"/>
        <v>0.58333333333333337</v>
      </c>
      <c r="AD14" s="10">
        <f t="shared" si="7"/>
        <v>0.58333333333333337</v>
      </c>
      <c r="AE14" s="36">
        <f t="shared" si="8"/>
        <v>0.40555555555555561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441</v>
      </c>
      <c r="D15" s="52"/>
      <c r="E15" s="53" t="s">
        <v>442</v>
      </c>
      <c r="F15" s="12" t="s">
        <v>443</v>
      </c>
      <c r="G15" s="12">
        <v>8</v>
      </c>
      <c r="H15" s="13">
        <v>24</v>
      </c>
      <c r="I15" s="31">
        <v>10000</v>
      </c>
      <c r="J15" s="14">
        <v>7008</v>
      </c>
      <c r="K15" s="15">
        <f>L15+17192+7008</f>
        <v>24200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0.40555555555555561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129</v>
      </c>
      <c r="E16" s="53" t="s">
        <v>259</v>
      </c>
      <c r="F16" s="30" t="s">
        <v>130</v>
      </c>
      <c r="G16" s="12">
        <v>1</v>
      </c>
      <c r="H16" s="13">
        <v>28</v>
      </c>
      <c r="I16" s="7">
        <v>9000</v>
      </c>
      <c r="J16" s="14">
        <v>4928</v>
      </c>
      <c r="K16" s="15">
        <f>L16+5027+5503+5566+4928</f>
        <v>21024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0.40555555555555561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531</v>
      </c>
      <c r="D17" s="52"/>
      <c r="E17" s="53" t="s">
        <v>532</v>
      </c>
      <c r="F17" s="30" t="s">
        <v>273</v>
      </c>
      <c r="G17" s="33">
        <v>1</v>
      </c>
      <c r="H17" s="35">
        <v>20</v>
      </c>
      <c r="I17" s="7">
        <v>500</v>
      </c>
      <c r="J17" s="14">
        <v>1321</v>
      </c>
      <c r="K17" s="15">
        <f>L17</f>
        <v>1321</v>
      </c>
      <c r="L17" s="15">
        <f>1321</f>
        <v>1321</v>
      </c>
      <c r="M17" s="15">
        <f t="shared" si="1"/>
        <v>1321</v>
      </c>
      <c r="N17" s="15">
        <v>0</v>
      </c>
      <c r="O17" s="58">
        <f t="shared" si="2"/>
        <v>0</v>
      </c>
      <c r="P17" s="39">
        <f t="shared" si="3"/>
        <v>10</v>
      </c>
      <c r="Q17" s="40">
        <f t="shared" si="4"/>
        <v>14</v>
      </c>
      <c r="R17" s="7"/>
      <c r="S17" s="6"/>
      <c r="T17" s="16"/>
      <c r="U17" s="16"/>
      <c r="V17" s="17"/>
      <c r="W17" s="5">
        <v>14</v>
      </c>
      <c r="X17" s="16"/>
      <c r="Y17" s="16"/>
      <c r="Z17" s="16"/>
      <c r="AA17" s="18"/>
      <c r="AB17" s="8">
        <f t="shared" si="5"/>
        <v>1</v>
      </c>
      <c r="AC17" s="9">
        <f t="shared" si="6"/>
        <v>0.41666666666666669</v>
      </c>
      <c r="AD17" s="10">
        <f t="shared" si="7"/>
        <v>0.41666666666666669</v>
      </c>
      <c r="AE17" s="36">
        <f t="shared" si="8"/>
        <v>0.40555555555555561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125</v>
      </c>
      <c r="E18" s="53" t="s">
        <v>492</v>
      </c>
      <c r="F18" s="30" t="s">
        <v>127</v>
      </c>
      <c r="G18" s="33">
        <v>1</v>
      </c>
      <c r="H18" s="35">
        <v>24</v>
      </c>
      <c r="I18" s="7">
        <v>45500</v>
      </c>
      <c r="J18" s="5">
        <v>5497</v>
      </c>
      <c r="K18" s="15">
        <f>L18+5168+5602+5615</f>
        <v>21882</v>
      </c>
      <c r="L18" s="15">
        <f>2610+2887</f>
        <v>5497</v>
      </c>
      <c r="M18" s="15">
        <f t="shared" si="1"/>
        <v>5497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0.40555555555555561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114</v>
      </c>
      <c r="D19" s="52" t="s">
        <v>117</v>
      </c>
      <c r="E19" s="53" t="s">
        <v>493</v>
      </c>
      <c r="F19" s="30" t="s">
        <v>121</v>
      </c>
      <c r="G19" s="33">
        <v>1</v>
      </c>
      <c r="H19" s="35">
        <v>24</v>
      </c>
      <c r="I19" s="7">
        <v>45000</v>
      </c>
      <c r="J19" s="14">
        <v>5173</v>
      </c>
      <c r="K19" s="15">
        <f>L19+4853+5291+4951</f>
        <v>20268</v>
      </c>
      <c r="L19" s="15">
        <f>2471+2702</f>
        <v>5173</v>
      </c>
      <c r="M19" s="15">
        <f t="shared" si="1"/>
        <v>5173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 t="shared" ref="AD19:AD20" si="11">AC19*AB19*(1-O19)</f>
        <v>1</v>
      </c>
      <c r="AE19" s="36">
        <f t="shared" si="8"/>
        <v>0.40555555555555561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383</v>
      </c>
      <c r="F20" s="12" t="s">
        <v>116</v>
      </c>
      <c r="G20" s="12">
        <v>3</v>
      </c>
      <c r="H20" s="35">
        <v>20</v>
      </c>
      <c r="I20" s="7">
        <v>100000</v>
      </c>
      <c r="J20" s="14">
        <v>81400</v>
      </c>
      <c r="K20" s="15">
        <f>L20+82592+85628+86908+81400</f>
        <v>336528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/>
      <c r="W20" s="5">
        <v>24</v>
      </c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11"/>
        <v>0</v>
      </c>
      <c r="AE20" s="36">
        <f t="shared" si="8"/>
        <v>0.40555555555555561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2">SUM(I6:I20)</f>
        <v>405800</v>
      </c>
      <c r="J21" s="19">
        <f t="shared" si="12"/>
        <v>196187</v>
      </c>
      <c r="K21" s="20">
        <f t="shared" si="12"/>
        <v>653945</v>
      </c>
      <c r="L21" s="21">
        <f t="shared" si="12"/>
        <v>98797</v>
      </c>
      <c r="M21" s="20">
        <f t="shared" si="12"/>
        <v>98797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146</v>
      </c>
      <c r="Q21" s="43">
        <f t="shared" si="13"/>
        <v>214</v>
      </c>
      <c r="R21" s="23">
        <f t="shared" si="13"/>
        <v>48</v>
      </c>
      <c r="S21" s="24">
        <f t="shared" si="13"/>
        <v>19</v>
      </c>
      <c r="T21" s="24">
        <f t="shared" si="13"/>
        <v>0</v>
      </c>
      <c r="U21" s="24">
        <f t="shared" si="13"/>
        <v>0</v>
      </c>
      <c r="V21" s="25">
        <f t="shared" si="13"/>
        <v>24</v>
      </c>
      <c r="W21" s="26">
        <f t="shared" si="13"/>
        <v>99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24</v>
      </c>
      <c r="AB21" s="28">
        <f>SUM(AB6:AB20)/15</f>
        <v>0.53333333333333333</v>
      </c>
      <c r="AC21" s="4">
        <f>SUM(AC6:AC20)/15</f>
        <v>0.40555555555555561</v>
      </c>
      <c r="AD21" s="4">
        <f>SUM(AD6:AD20)/15</f>
        <v>0.40555555555555561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538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174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339" t="s">
        <v>46</v>
      </c>
      <c r="D50" s="339" t="s">
        <v>47</v>
      </c>
      <c r="E50" s="339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339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09" t="s">
        <v>124</v>
      </c>
      <c r="B51" s="410"/>
      <c r="C51" s="341" t="s">
        <v>145</v>
      </c>
      <c r="D51" s="341" t="s">
        <v>122</v>
      </c>
      <c r="E51" s="341" t="s">
        <v>175</v>
      </c>
      <c r="F51" s="411" t="s">
        <v>249</v>
      </c>
      <c r="G51" s="412"/>
      <c r="H51" s="412"/>
      <c r="I51" s="412"/>
      <c r="J51" s="412"/>
      <c r="K51" s="412"/>
      <c r="L51" s="412"/>
      <c r="M51" s="413"/>
      <c r="N51" s="340" t="s">
        <v>124</v>
      </c>
      <c r="O51" s="345" t="s">
        <v>145</v>
      </c>
      <c r="P51" s="423" t="s">
        <v>122</v>
      </c>
      <c r="Q51" s="424"/>
      <c r="R51" s="410" t="s">
        <v>175</v>
      </c>
      <c r="S51" s="410"/>
      <c r="T51" s="410"/>
      <c r="U51" s="410"/>
      <c r="V51" s="400" t="s">
        <v>126</v>
      </c>
      <c r="W51" s="400"/>
      <c r="X51" s="400"/>
      <c r="Y51" s="400"/>
      <c r="Z51" s="400"/>
      <c r="AA51" s="400"/>
      <c r="AB51" s="400"/>
      <c r="AC51" s="400"/>
      <c r="AD51" s="414"/>
    </row>
    <row r="52" spans="1:32" ht="27" customHeight="1">
      <c r="A52" s="409" t="s">
        <v>124</v>
      </c>
      <c r="B52" s="410"/>
      <c r="C52" s="341" t="s">
        <v>176</v>
      </c>
      <c r="D52" s="341" t="s">
        <v>117</v>
      </c>
      <c r="E52" s="341" t="s">
        <v>158</v>
      </c>
      <c r="F52" s="411" t="s">
        <v>539</v>
      </c>
      <c r="G52" s="412"/>
      <c r="H52" s="412"/>
      <c r="I52" s="412"/>
      <c r="J52" s="412"/>
      <c r="K52" s="412"/>
      <c r="L52" s="412"/>
      <c r="M52" s="413"/>
      <c r="N52" s="340" t="s">
        <v>124</v>
      </c>
      <c r="O52" s="345" t="s">
        <v>176</v>
      </c>
      <c r="P52" s="423" t="s">
        <v>117</v>
      </c>
      <c r="Q52" s="424"/>
      <c r="R52" s="410" t="s">
        <v>540</v>
      </c>
      <c r="S52" s="410"/>
      <c r="T52" s="410"/>
      <c r="U52" s="410"/>
      <c r="V52" s="400" t="s">
        <v>387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140</v>
      </c>
      <c r="B53" s="410"/>
      <c r="C53" s="341" t="s">
        <v>191</v>
      </c>
      <c r="D53" s="341"/>
      <c r="E53" s="341" t="s">
        <v>192</v>
      </c>
      <c r="F53" s="411" t="s">
        <v>126</v>
      </c>
      <c r="G53" s="412"/>
      <c r="H53" s="412"/>
      <c r="I53" s="412"/>
      <c r="J53" s="412"/>
      <c r="K53" s="412"/>
      <c r="L53" s="412"/>
      <c r="M53" s="413"/>
      <c r="N53" s="340"/>
      <c r="O53" s="345"/>
      <c r="P53" s="423"/>
      <c r="Q53" s="424"/>
      <c r="R53" s="410"/>
      <c r="S53" s="410"/>
      <c r="T53" s="410"/>
      <c r="U53" s="410"/>
      <c r="V53" s="400"/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531</v>
      </c>
      <c r="B54" s="410"/>
      <c r="C54" s="341" t="s">
        <v>143</v>
      </c>
      <c r="D54" s="341"/>
      <c r="E54" s="341" t="s">
        <v>532</v>
      </c>
      <c r="F54" s="411" t="s">
        <v>120</v>
      </c>
      <c r="G54" s="412"/>
      <c r="H54" s="412"/>
      <c r="I54" s="412"/>
      <c r="J54" s="412"/>
      <c r="K54" s="412"/>
      <c r="L54" s="412"/>
      <c r="M54" s="413"/>
      <c r="N54" s="340"/>
      <c r="O54" s="345"/>
      <c r="P54" s="423"/>
      <c r="Q54" s="424"/>
      <c r="R54" s="410"/>
      <c r="S54" s="410"/>
      <c r="T54" s="410"/>
      <c r="U54" s="410"/>
      <c r="V54" s="400"/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/>
      <c r="B55" s="410"/>
      <c r="C55" s="341"/>
      <c r="D55" s="341"/>
      <c r="E55" s="341"/>
      <c r="F55" s="411"/>
      <c r="G55" s="412"/>
      <c r="H55" s="412"/>
      <c r="I55" s="412"/>
      <c r="J55" s="412"/>
      <c r="K55" s="412"/>
      <c r="L55" s="412"/>
      <c r="M55" s="413"/>
      <c r="N55" s="340"/>
      <c r="O55" s="345"/>
      <c r="P55" s="423"/>
      <c r="Q55" s="424"/>
      <c r="R55" s="410"/>
      <c r="S55" s="410"/>
      <c r="T55" s="410"/>
      <c r="U55" s="410"/>
      <c r="V55" s="400"/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/>
      <c r="B56" s="410"/>
      <c r="C56" s="341"/>
      <c r="D56" s="341"/>
      <c r="E56" s="341"/>
      <c r="F56" s="411"/>
      <c r="G56" s="412"/>
      <c r="H56" s="412"/>
      <c r="I56" s="412"/>
      <c r="J56" s="412"/>
      <c r="K56" s="412"/>
      <c r="L56" s="412"/>
      <c r="M56" s="413"/>
      <c r="N56" s="340"/>
      <c r="O56" s="345"/>
      <c r="P56" s="423"/>
      <c r="Q56" s="424"/>
      <c r="R56" s="410"/>
      <c r="S56" s="410"/>
      <c r="T56" s="410"/>
      <c r="U56" s="410"/>
      <c r="V56" s="400"/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/>
      <c r="B57" s="410"/>
      <c r="C57" s="341"/>
      <c r="D57" s="341"/>
      <c r="E57" s="341"/>
      <c r="F57" s="411"/>
      <c r="G57" s="412"/>
      <c r="H57" s="412"/>
      <c r="I57" s="412"/>
      <c r="J57" s="412"/>
      <c r="K57" s="412"/>
      <c r="L57" s="412"/>
      <c r="M57" s="413"/>
      <c r="N57" s="340"/>
      <c r="O57" s="345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/>
      <c r="B58" s="410"/>
      <c r="C58" s="341"/>
      <c r="D58" s="341"/>
      <c r="E58" s="341"/>
      <c r="F58" s="411"/>
      <c r="G58" s="412"/>
      <c r="H58" s="412"/>
      <c r="I58" s="412"/>
      <c r="J58" s="412"/>
      <c r="K58" s="412"/>
      <c r="L58" s="412"/>
      <c r="M58" s="413"/>
      <c r="N58" s="340"/>
      <c r="O58" s="345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341"/>
      <c r="D59" s="341"/>
      <c r="E59" s="341"/>
      <c r="F59" s="411"/>
      <c r="G59" s="412"/>
      <c r="H59" s="412"/>
      <c r="I59" s="412"/>
      <c r="J59" s="412"/>
      <c r="K59" s="412"/>
      <c r="L59" s="412"/>
      <c r="M59" s="413"/>
      <c r="N59" s="340"/>
      <c r="O59" s="345"/>
      <c r="P59" s="410"/>
      <c r="Q59" s="410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  <c r="AF59" s="87">
        <f>8*3000</f>
        <v>24000</v>
      </c>
    </row>
    <row r="60" spans="1:32" ht="27" customHeight="1" thickBot="1">
      <c r="A60" s="415"/>
      <c r="B60" s="416"/>
      <c r="C60" s="342"/>
      <c r="D60" s="342"/>
      <c r="E60" s="342"/>
      <c r="F60" s="417"/>
      <c r="G60" s="418"/>
      <c r="H60" s="418"/>
      <c r="I60" s="418"/>
      <c r="J60" s="418"/>
      <c r="K60" s="418"/>
      <c r="L60" s="418"/>
      <c r="M60" s="419"/>
      <c r="N60" s="124"/>
      <c r="O60" s="114"/>
      <c r="P60" s="420"/>
      <c r="Q60" s="420"/>
      <c r="R60" s="420"/>
      <c r="S60" s="420"/>
      <c r="T60" s="420"/>
      <c r="U60" s="420"/>
      <c r="V60" s="421"/>
      <c r="W60" s="421"/>
      <c r="X60" s="421"/>
      <c r="Y60" s="421"/>
      <c r="Z60" s="421"/>
      <c r="AA60" s="421"/>
      <c r="AB60" s="421"/>
      <c r="AC60" s="421"/>
      <c r="AD60" s="422"/>
      <c r="AF60" s="87">
        <f>16*3000</f>
        <v>48000</v>
      </c>
    </row>
    <row r="61" spans="1:32" ht="27.75" thickBot="1">
      <c r="A61" s="407" t="s">
        <v>541</v>
      </c>
      <c r="B61" s="407"/>
      <c r="C61" s="407"/>
      <c r="D61" s="407"/>
      <c r="E61" s="40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08" t="s">
        <v>113</v>
      </c>
      <c r="B62" s="405"/>
      <c r="C62" s="343" t="s">
        <v>2</v>
      </c>
      <c r="D62" s="343" t="s">
        <v>37</v>
      </c>
      <c r="E62" s="343" t="s">
        <v>3</v>
      </c>
      <c r="F62" s="405" t="s">
        <v>110</v>
      </c>
      <c r="G62" s="405"/>
      <c r="H62" s="405"/>
      <c r="I62" s="405"/>
      <c r="J62" s="405"/>
      <c r="K62" s="405" t="s">
        <v>39</v>
      </c>
      <c r="L62" s="405"/>
      <c r="M62" s="343" t="s">
        <v>40</v>
      </c>
      <c r="N62" s="405" t="s">
        <v>41</v>
      </c>
      <c r="O62" s="405"/>
      <c r="P62" s="402" t="s">
        <v>42</v>
      </c>
      <c r="Q62" s="404"/>
      <c r="R62" s="402" t="s">
        <v>43</v>
      </c>
      <c r="S62" s="403"/>
      <c r="T62" s="403"/>
      <c r="U62" s="403"/>
      <c r="V62" s="403"/>
      <c r="W62" s="403"/>
      <c r="X62" s="403"/>
      <c r="Y62" s="403"/>
      <c r="Z62" s="403"/>
      <c r="AA62" s="404"/>
      <c r="AB62" s="405" t="s">
        <v>44</v>
      </c>
      <c r="AC62" s="405"/>
      <c r="AD62" s="406"/>
      <c r="AF62" s="87">
        <f>SUM(AF59:AF61)</f>
        <v>96000</v>
      </c>
    </row>
    <row r="63" spans="1:32" ht="25.5" customHeight="1">
      <c r="A63" s="396">
        <v>1</v>
      </c>
      <c r="B63" s="397"/>
      <c r="C63" s="117" t="s">
        <v>124</v>
      </c>
      <c r="D63" s="347"/>
      <c r="E63" s="344" t="s">
        <v>135</v>
      </c>
      <c r="F63" s="398" t="s">
        <v>408</v>
      </c>
      <c r="G63" s="390"/>
      <c r="H63" s="390"/>
      <c r="I63" s="390"/>
      <c r="J63" s="390"/>
      <c r="K63" s="390" t="s">
        <v>134</v>
      </c>
      <c r="L63" s="390"/>
      <c r="M63" s="51" t="s">
        <v>207</v>
      </c>
      <c r="N63" s="401" t="s">
        <v>138</v>
      </c>
      <c r="O63" s="401"/>
      <c r="P63" s="399">
        <v>50</v>
      </c>
      <c r="Q63" s="399"/>
      <c r="R63" s="400"/>
      <c r="S63" s="400"/>
      <c r="T63" s="400"/>
      <c r="U63" s="400"/>
      <c r="V63" s="400"/>
      <c r="W63" s="400"/>
      <c r="X63" s="400"/>
      <c r="Y63" s="400"/>
      <c r="Z63" s="400"/>
      <c r="AA63" s="400"/>
      <c r="AB63" s="390"/>
      <c r="AC63" s="390"/>
      <c r="AD63" s="391"/>
      <c r="AF63" s="50"/>
    </row>
    <row r="64" spans="1:32" ht="25.5" customHeight="1">
      <c r="A64" s="396">
        <v>2</v>
      </c>
      <c r="B64" s="397"/>
      <c r="C64" s="117"/>
      <c r="D64" s="347"/>
      <c r="E64" s="344"/>
      <c r="F64" s="398"/>
      <c r="G64" s="390"/>
      <c r="H64" s="390"/>
      <c r="I64" s="390"/>
      <c r="J64" s="390"/>
      <c r="K64" s="390"/>
      <c r="L64" s="390"/>
      <c r="M64" s="51"/>
      <c r="N64" s="401"/>
      <c r="O64" s="401"/>
      <c r="P64" s="399"/>
      <c r="Q64" s="399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3</v>
      </c>
      <c r="B65" s="397"/>
      <c r="C65" s="117"/>
      <c r="D65" s="347"/>
      <c r="E65" s="344"/>
      <c r="F65" s="398"/>
      <c r="G65" s="390"/>
      <c r="H65" s="390"/>
      <c r="I65" s="390"/>
      <c r="J65" s="390"/>
      <c r="K65" s="390"/>
      <c r="L65" s="390"/>
      <c r="M65" s="51"/>
      <c r="N65" s="401"/>
      <c r="O65" s="401"/>
      <c r="P65" s="399"/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4</v>
      </c>
      <c r="B66" s="397"/>
      <c r="C66" s="117"/>
      <c r="D66" s="347"/>
      <c r="E66" s="344"/>
      <c r="F66" s="398"/>
      <c r="G66" s="390"/>
      <c r="H66" s="390"/>
      <c r="I66" s="390"/>
      <c r="J66" s="390"/>
      <c r="K66" s="390"/>
      <c r="L66" s="390"/>
      <c r="M66" s="51"/>
      <c r="N66" s="401"/>
      <c r="O66" s="401"/>
      <c r="P66" s="399"/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5</v>
      </c>
      <c r="B67" s="397"/>
      <c r="C67" s="117"/>
      <c r="D67" s="347"/>
      <c r="E67" s="344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6</v>
      </c>
      <c r="B68" s="397"/>
      <c r="C68" s="117"/>
      <c r="D68" s="347"/>
      <c r="E68" s="344"/>
      <c r="F68" s="398"/>
      <c r="G68" s="390"/>
      <c r="H68" s="390"/>
      <c r="I68" s="390"/>
      <c r="J68" s="390"/>
      <c r="K68" s="390"/>
      <c r="L68" s="390"/>
      <c r="M68" s="51"/>
      <c r="N68" s="390"/>
      <c r="O68" s="390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7</v>
      </c>
      <c r="B69" s="397"/>
      <c r="C69" s="117"/>
      <c r="D69" s="347"/>
      <c r="E69" s="344"/>
      <c r="F69" s="398"/>
      <c r="G69" s="390"/>
      <c r="H69" s="390"/>
      <c r="I69" s="390"/>
      <c r="J69" s="390"/>
      <c r="K69" s="390"/>
      <c r="L69" s="390"/>
      <c r="M69" s="51"/>
      <c r="N69" s="401"/>
      <c r="O69" s="401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8</v>
      </c>
      <c r="B70" s="397"/>
      <c r="C70" s="117"/>
      <c r="D70" s="347"/>
      <c r="E70" s="344"/>
      <c r="F70" s="398"/>
      <c r="G70" s="390"/>
      <c r="H70" s="390"/>
      <c r="I70" s="390"/>
      <c r="J70" s="390"/>
      <c r="K70" s="390"/>
      <c r="L70" s="390"/>
      <c r="M70" s="51"/>
      <c r="N70" s="390"/>
      <c r="O70" s="390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6.25" customHeight="1" thickBot="1">
      <c r="A71" s="370" t="s">
        <v>542</v>
      </c>
      <c r="B71" s="370"/>
      <c r="C71" s="370"/>
      <c r="D71" s="370"/>
      <c r="E71" s="370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371" t="s">
        <v>113</v>
      </c>
      <c r="B72" s="372"/>
      <c r="C72" s="346" t="s">
        <v>2</v>
      </c>
      <c r="D72" s="346" t="s">
        <v>37</v>
      </c>
      <c r="E72" s="346" t="s">
        <v>3</v>
      </c>
      <c r="F72" s="372" t="s">
        <v>38</v>
      </c>
      <c r="G72" s="372"/>
      <c r="H72" s="372"/>
      <c r="I72" s="372"/>
      <c r="J72" s="372"/>
      <c r="K72" s="392" t="s">
        <v>58</v>
      </c>
      <c r="L72" s="393"/>
      <c r="M72" s="393"/>
      <c r="N72" s="393"/>
      <c r="O72" s="393"/>
      <c r="P72" s="393"/>
      <c r="Q72" s="393"/>
      <c r="R72" s="393"/>
      <c r="S72" s="394"/>
      <c r="T72" s="372" t="s">
        <v>49</v>
      </c>
      <c r="U72" s="372"/>
      <c r="V72" s="392" t="s">
        <v>50</v>
      </c>
      <c r="W72" s="394"/>
      <c r="X72" s="393" t="s">
        <v>51</v>
      </c>
      <c r="Y72" s="393"/>
      <c r="Z72" s="393"/>
      <c r="AA72" s="393"/>
      <c r="AB72" s="393"/>
      <c r="AC72" s="393"/>
      <c r="AD72" s="395"/>
      <c r="AF72" s="50"/>
    </row>
    <row r="73" spans="1:32" ht="33.75" customHeight="1">
      <c r="A73" s="364">
        <v>1</v>
      </c>
      <c r="B73" s="365"/>
      <c r="C73" s="348" t="s">
        <v>114</v>
      </c>
      <c r="D73" s="348"/>
      <c r="E73" s="65" t="s">
        <v>119</v>
      </c>
      <c r="F73" s="379" t="s">
        <v>118</v>
      </c>
      <c r="G73" s="380"/>
      <c r="H73" s="380"/>
      <c r="I73" s="380"/>
      <c r="J73" s="381"/>
      <c r="K73" s="382" t="s">
        <v>156</v>
      </c>
      <c r="L73" s="383"/>
      <c r="M73" s="383"/>
      <c r="N73" s="383"/>
      <c r="O73" s="383"/>
      <c r="P73" s="383"/>
      <c r="Q73" s="383"/>
      <c r="R73" s="383"/>
      <c r="S73" s="384"/>
      <c r="T73" s="385">
        <v>43675</v>
      </c>
      <c r="U73" s="386"/>
      <c r="V73" s="387"/>
      <c r="W73" s="387"/>
      <c r="X73" s="388"/>
      <c r="Y73" s="388"/>
      <c r="Z73" s="388"/>
      <c r="AA73" s="388"/>
      <c r="AB73" s="388"/>
      <c r="AC73" s="388"/>
      <c r="AD73" s="389"/>
      <c r="AF73" s="50"/>
    </row>
    <row r="74" spans="1:32" ht="30" customHeight="1">
      <c r="A74" s="357">
        <f>A73+1</f>
        <v>2</v>
      </c>
      <c r="B74" s="358"/>
      <c r="C74" s="347"/>
      <c r="D74" s="347"/>
      <c r="E74" s="32"/>
      <c r="F74" s="358"/>
      <c r="G74" s="358"/>
      <c r="H74" s="358"/>
      <c r="I74" s="358"/>
      <c r="J74" s="358"/>
      <c r="K74" s="373"/>
      <c r="L74" s="374"/>
      <c r="M74" s="374"/>
      <c r="N74" s="374"/>
      <c r="O74" s="374"/>
      <c r="P74" s="374"/>
      <c r="Q74" s="374"/>
      <c r="R74" s="374"/>
      <c r="S74" s="375"/>
      <c r="T74" s="376"/>
      <c r="U74" s="376"/>
      <c r="V74" s="376"/>
      <c r="W74" s="376"/>
      <c r="X74" s="377"/>
      <c r="Y74" s="377"/>
      <c r="Z74" s="377"/>
      <c r="AA74" s="377"/>
      <c r="AB74" s="377"/>
      <c r="AC74" s="377"/>
      <c r="AD74" s="378"/>
      <c r="AF74" s="50"/>
    </row>
    <row r="75" spans="1:32" ht="30" customHeight="1">
      <c r="A75" s="357">
        <f t="shared" ref="A75:A81" si="14">A74+1</f>
        <v>3</v>
      </c>
      <c r="B75" s="358"/>
      <c r="C75" s="347"/>
      <c r="D75" s="347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si="14"/>
        <v>4</v>
      </c>
      <c r="B76" s="358"/>
      <c r="C76" s="347"/>
      <c r="D76" s="347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14"/>
        <v>5</v>
      </c>
      <c r="B77" s="358"/>
      <c r="C77" s="347"/>
      <c r="D77" s="347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14"/>
        <v>6</v>
      </c>
      <c r="B78" s="358"/>
      <c r="C78" s="347"/>
      <c r="D78" s="347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14"/>
        <v>7</v>
      </c>
      <c r="B79" s="358"/>
      <c r="C79" s="347"/>
      <c r="D79" s="347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14"/>
        <v>8</v>
      </c>
      <c r="B80" s="358"/>
      <c r="C80" s="347"/>
      <c r="D80" s="347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14"/>
        <v>9</v>
      </c>
      <c r="B81" s="358"/>
      <c r="C81" s="347"/>
      <c r="D81" s="347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6" thickBot="1">
      <c r="A82" s="370" t="s">
        <v>543</v>
      </c>
      <c r="B82" s="370"/>
      <c r="C82" s="370"/>
      <c r="D82" s="370"/>
      <c r="E82" s="370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371" t="s">
        <v>113</v>
      </c>
      <c r="B83" s="372"/>
      <c r="C83" s="362" t="s">
        <v>52</v>
      </c>
      <c r="D83" s="362"/>
      <c r="E83" s="362" t="s">
        <v>53</v>
      </c>
      <c r="F83" s="362"/>
      <c r="G83" s="362"/>
      <c r="H83" s="362"/>
      <c r="I83" s="362"/>
      <c r="J83" s="362"/>
      <c r="K83" s="362" t="s">
        <v>54</v>
      </c>
      <c r="L83" s="362"/>
      <c r="M83" s="362"/>
      <c r="N83" s="362"/>
      <c r="O83" s="362"/>
      <c r="P83" s="362"/>
      <c r="Q83" s="362"/>
      <c r="R83" s="362"/>
      <c r="S83" s="362"/>
      <c r="T83" s="362" t="s">
        <v>55</v>
      </c>
      <c r="U83" s="362"/>
      <c r="V83" s="362" t="s">
        <v>56</v>
      </c>
      <c r="W83" s="362"/>
      <c r="X83" s="362"/>
      <c r="Y83" s="362" t="s">
        <v>51</v>
      </c>
      <c r="Z83" s="362"/>
      <c r="AA83" s="362"/>
      <c r="AB83" s="362"/>
      <c r="AC83" s="362"/>
      <c r="AD83" s="363"/>
      <c r="AF83" s="50"/>
    </row>
    <row r="84" spans="1:32" ht="30.75" customHeight="1">
      <c r="A84" s="364">
        <v>1</v>
      </c>
      <c r="B84" s="365"/>
      <c r="C84" s="366">
        <v>11</v>
      </c>
      <c r="D84" s="366"/>
      <c r="E84" s="366" t="s">
        <v>485</v>
      </c>
      <c r="F84" s="366"/>
      <c r="G84" s="366"/>
      <c r="H84" s="366"/>
      <c r="I84" s="366"/>
      <c r="J84" s="366"/>
      <c r="K84" s="366" t="s">
        <v>486</v>
      </c>
      <c r="L84" s="366"/>
      <c r="M84" s="366"/>
      <c r="N84" s="366"/>
      <c r="O84" s="366"/>
      <c r="P84" s="366"/>
      <c r="Q84" s="366"/>
      <c r="R84" s="366"/>
      <c r="S84" s="366"/>
      <c r="T84" s="366" t="s">
        <v>487</v>
      </c>
      <c r="U84" s="366"/>
      <c r="V84" s="367">
        <v>700000</v>
      </c>
      <c r="W84" s="367"/>
      <c r="X84" s="367"/>
      <c r="Y84" s="368"/>
      <c r="Z84" s="368"/>
      <c r="AA84" s="368"/>
      <c r="AB84" s="368"/>
      <c r="AC84" s="368"/>
      <c r="AD84" s="369"/>
      <c r="AF84" s="50"/>
    </row>
    <row r="85" spans="1:32" ht="30.75" customHeight="1">
      <c r="A85" s="357">
        <v>2</v>
      </c>
      <c r="B85" s="358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60"/>
      <c r="U85" s="360"/>
      <c r="V85" s="361"/>
      <c r="W85" s="361"/>
      <c r="X85" s="361"/>
      <c r="Y85" s="350"/>
      <c r="Z85" s="350"/>
      <c r="AA85" s="350"/>
      <c r="AB85" s="350"/>
      <c r="AC85" s="350"/>
      <c r="AD85" s="351"/>
      <c r="AF85" s="50"/>
    </row>
    <row r="86" spans="1:32" ht="30.75" customHeight="1" thickBot="1">
      <c r="A86" s="352">
        <v>3</v>
      </c>
      <c r="B86" s="353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5"/>
      <c r="Z86" s="355"/>
      <c r="AA86" s="355"/>
      <c r="AB86" s="355"/>
      <c r="AC86" s="355"/>
      <c r="AD86" s="356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B60F-9603-49D9-8048-1408FB85831A}">
  <sheetPr codeName="Sheet3"/>
  <dimension ref="A1:AF86"/>
  <sheetViews>
    <sheetView zoomScale="72" zoomScaleNormal="72" zoomScaleSheetLayoutView="70" workbookViewId="0">
      <selection activeCell="F77" sqref="F77:J77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185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149" t="s">
        <v>17</v>
      </c>
      <c r="L5" s="149" t="s">
        <v>18</v>
      </c>
      <c r="M5" s="149" t="s">
        <v>19</v>
      </c>
      <c r="N5" s="14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0.48333333333333334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0.48333333333333334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15000</v>
      </c>
      <c r="J8" s="14">
        <v>3610</v>
      </c>
      <c r="K8" s="15">
        <f>L8</f>
        <v>3610</v>
      </c>
      <c r="L8" s="15">
        <f>2000+1610</f>
        <v>3610</v>
      </c>
      <c r="M8" s="15">
        <f t="shared" si="1"/>
        <v>3610</v>
      </c>
      <c r="N8" s="15">
        <v>0</v>
      </c>
      <c r="O8" s="58">
        <f t="shared" si="2"/>
        <v>0</v>
      </c>
      <c r="P8" s="39">
        <f t="shared" si="3"/>
        <v>19</v>
      </c>
      <c r="Q8" s="40">
        <f t="shared" si="4"/>
        <v>5</v>
      </c>
      <c r="R8" s="7"/>
      <c r="S8" s="6">
        <v>5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0.79166666666666663</v>
      </c>
      <c r="AD8" s="10">
        <f t="shared" si="7"/>
        <v>0.79166666666666663</v>
      </c>
      <c r="AE8" s="36">
        <f t="shared" si="8"/>
        <v>0.48333333333333334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124</v>
      </c>
      <c r="D9" s="52" t="s">
        <v>133</v>
      </c>
      <c r="E9" s="53" t="s">
        <v>147</v>
      </c>
      <c r="F9" s="30" t="s">
        <v>131</v>
      </c>
      <c r="G9" s="33">
        <v>1</v>
      </c>
      <c r="H9" s="35">
        <v>24</v>
      </c>
      <c r="I9" s="7">
        <v>6000</v>
      </c>
      <c r="J9" s="14">
        <v>2776</v>
      </c>
      <c r="K9" s="15">
        <f>L9+3735</f>
        <v>6511</v>
      </c>
      <c r="L9" s="15">
        <v>2776</v>
      </c>
      <c r="M9" s="15">
        <f t="shared" si="1"/>
        <v>2776</v>
      </c>
      <c r="N9" s="15">
        <v>0</v>
      </c>
      <c r="O9" s="58">
        <f t="shared" si="2"/>
        <v>0</v>
      </c>
      <c r="P9" s="39">
        <f t="shared" si="3"/>
        <v>12</v>
      </c>
      <c r="Q9" s="40">
        <f t="shared" si="4"/>
        <v>12</v>
      </c>
      <c r="R9" s="7"/>
      <c r="S9" s="6">
        <v>12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0.5</v>
      </c>
      <c r="AD9" s="10">
        <f t="shared" si="7"/>
        <v>0.5</v>
      </c>
      <c r="AE9" s="36">
        <f t="shared" si="8"/>
        <v>0.48333333333333334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142</v>
      </c>
      <c r="D10" s="52" t="s">
        <v>152</v>
      </c>
      <c r="E10" s="53" t="s">
        <v>150</v>
      </c>
      <c r="F10" s="30" t="s">
        <v>121</v>
      </c>
      <c r="G10" s="33">
        <v>2</v>
      </c>
      <c r="H10" s="35">
        <v>24</v>
      </c>
      <c r="I10" s="7">
        <v>90000</v>
      </c>
      <c r="J10" s="5">
        <v>16158</v>
      </c>
      <c r="K10" s="15">
        <f>L10+1714+13656+15988+16420+5830+12022+8590+10992</f>
        <v>101370</v>
      </c>
      <c r="L10" s="15">
        <f>3877*2+4202*2</f>
        <v>16158</v>
      </c>
      <c r="M10" s="15">
        <f t="shared" si="1"/>
        <v>16158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0.48333333333333334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142</v>
      </c>
      <c r="D11" s="52" t="s">
        <v>154</v>
      </c>
      <c r="E11" s="53" t="s">
        <v>155</v>
      </c>
      <c r="F11" s="30" t="s">
        <v>121</v>
      </c>
      <c r="G11" s="33" t="s">
        <v>153</v>
      </c>
      <c r="H11" s="35">
        <v>20</v>
      </c>
      <c r="I11" s="7">
        <v>30000</v>
      </c>
      <c r="J11" s="14">
        <v>6570</v>
      </c>
      <c r="K11" s="15">
        <f>L11+3140+4571+411+3680+4703+3306+2055</f>
        <v>28436</v>
      </c>
      <c r="L11" s="15">
        <f>3187+3383</f>
        <v>6570</v>
      </c>
      <c r="M11" s="15">
        <f t="shared" si="1"/>
        <v>6570</v>
      </c>
      <c r="N11" s="15">
        <v>0</v>
      </c>
      <c r="O11" s="58">
        <f t="shared" si="2"/>
        <v>0</v>
      </c>
      <c r="P11" s="39">
        <f t="shared" si="3"/>
        <v>24</v>
      </c>
      <c r="Q11" s="40">
        <f t="shared" si="4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1</v>
      </c>
      <c r="AD11" s="10">
        <f t="shared" ref="AD11" si="10">AC11*AB11*(1-O11)</f>
        <v>1</v>
      </c>
      <c r="AE11" s="36">
        <f t="shared" si="8"/>
        <v>0.48333333333333334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158</v>
      </c>
      <c r="F12" s="30" t="s">
        <v>132</v>
      </c>
      <c r="G12" s="33">
        <v>1</v>
      </c>
      <c r="H12" s="35">
        <v>20</v>
      </c>
      <c r="I12" s="7">
        <v>30000</v>
      </c>
      <c r="J12" s="14">
        <v>4770</v>
      </c>
      <c r="K12" s="15">
        <f>L12+3692</f>
        <v>8462</v>
      </c>
      <c r="L12" s="15">
        <f>2335+2435</f>
        <v>4770</v>
      </c>
      <c r="M12" s="15">
        <f t="shared" si="1"/>
        <v>4770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si="7"/>
        <v>1</v>
      </c>
      <c r="AE12" s="36">
        <f t="shared" si="8"/>
        <v>0.48333333333333334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124</v>
      </c>
      <c r="D13" s="52" t="s">
        <v>117</v>
      </c>
      <c r="E13" s="53" t="s">
        <v>157</v>
      </c>
      <c r="F13" s="30" t="s">
        <v>127</v>
      </c>
      <c r="G13" s="33">
        <v>1</v>
      </c>
      <c r="H13" s="35">
        <v>24</v>
      </c>
      <c r="I13" s="7">
        <v>1000</v>
      </c>
      <c r="J13" s="14">
        <v>1513</v>
      </c>
      <c r="K13" s="15">
        <f>L13+1513</f>
        <v>1513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5"/>
        <v>0</v>
      </c>
      <c r="AC13" s="9">
        <f t="shared" si="6"/>
        <v>0</v>
      </c>
      <c r="AD13" s="10">
        <f t="shared" si="7"/>
        <v>0</v>
      </c>
      <c r="AE13" s="36">
        <f t="shared" si="8"/>
        <v>0.48333333333333334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140</v>
      </c>
      <c r="D14" s="52" t="s">
        <v>141</v>
      </c>
      <c r="E14" s="53" t="s">
        <v>139</v>
      </c>
      <c r="F14" s="30" t="s">
        <v>116</v>
      </c>
      <c r="G14" s="12">
        <v>1</v>
      </c>
      <c r="H14" s="13">
        <v>28</v>
      </c>
      <c r="I14" s="7">
        <v>21000</v>
      </c>
      <c r="J14" s="5">
        <v>131</v>
      </c>
      <c r="K14" s="15">
        <f t="shared" ref="K14" si="11">L14</f>
        <v>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0.48333333333333334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114</v>
      </c>
      <c r="D15" s="52" t="s">
        <v>135</v>
      </c>
      <c r="E15" s="53" t="s">
        <v>148</v>
      </c>
      <c r="F15" s="12" t="s">
        <v>134</v>
      </c>
      <c r="G15" s="12">
        <v>1</v>
      </c>
      <c r="H15" s="13">
        <v>24</v>
      </c>
      <c r="I15" s="31">
        <v>1700</v>
      </c>
      <c r="J15" s="14">
        <v>878</v>
      </c>
      <c r="K15" s="15">
        <f>L15+878</f>
        <v>878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>
        <v>24</v>
      </c>
      <c r="T15" s="16"/>
      <c r="U15" s="16"/>
      <c r="V15" s="17"/>
      <c r="W15" s="5"/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0.48333333333333334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122</v>
      </c>
      <c r="E16" s="53" t="s">
        <v>180</v>
      </c>
      <c r="F16" s="30" t="s">
        <v>123</v>
      </c>
      <c r="G16" s="12">
        <v>1</v>
      </c>
      <c r="H16" s="13">
        <v>28</v>
      </c>
      <c r="I16" s="7">
        <v>16000</v>
      </c>
      <c r="J16" s="14">
        <v>4862</v>
      </c>
      <c r="K16" s="15">
        <f>L16</f>
        <v>4862</v>
      </c>
      <c r="L16" s="15">
        <f>2462+2400</f>
        <v>4862</v>
      </c>
      <c r="M16" s="15">
        <f t="shared" si="1"/>
        <v>4862</v>
      </c>
      <c r="N16" s="15">
        <v>0</v>
      </c>
      <c r="O16" s="58">
        <f t="shared" si="2"/>
        <v>0</v>
      </c>
      <c r="P16" s="39">
        <f t="shared" si="3"/>
        <v>22</v>
      </c>
      <c r="Q16" s="40">
        <f t="shared" si="4"/>
        <v>2</v>
      </c>
      <c r="R16" s="7"/>
      <c r="S16" s="6">
        <v>2</v>
      </c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0.91666666666666663</v>
      </c>
      <c r="AD16" s="10">
        <f t="shared" si="7"/>
        <v>0.91666666666666663</v>
      </c>
      <c r="AE16" s="36">
        <f t="shared" si="8"/>
        <v>0.48333333333333334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124</v>
      </c>
      <c r="D17" s="52" t="s">
        <v>135</v>
      </c>
      <c r="E17" s="53" t="s">
        <v>181</v>
      </c>
      <c r="F17" s="30" t="s">
        <v>134</v>
      </c>
      <c r="G17" s="33">
        <v>1</v>
      </c>
      <c r="H17" s="35">
        <v>20</v>
      </c>
      <c r="I17" s="7">
        <v>200</v>
      </c>
      <c r="J17" s="14">
        <v>342</v>
      </c>
      <c r="K17" s="15">
        <f>L17</f>
        <v>342</v>
      </c>
      <c r="L17" s="15">
        <f>342</f>
        <v>342</v>
      </c>
      <c r="M17" s="15">
        <f t="shared" si="1"/>
        <v>342</v>
      </c>
      <c r="N17" s="15">
        <v>0</v>
      </c>
      <c r="O17" s="58">
        <f t="shared" si="2"/>
        <v>0</v>
      </c>
      <c r="P17" s="39">
        <f t="shared" si="3"/>
        <v>4</v>
      </c>
      <c r="Q17" s="40">
        <f t="shared" si="4"/>
        <v>20</v>
      </c>
      <c r="R17" s="7"/>
      <c r="S17" s="6"/>
      <c r="T17" s="16"/>
      <c r="U17" s="16"/>
      <c r="V17" s="17"/>
      <c r="W17" s="5">
        <v>20</v>
      </c>
      <c r="X17" s="16"/>
      <c r="Y17" s="16"/>
      <c r="Z17" s="16"/>
      <c r="AA17" s="18"/>
      <c r="AB17" s="8">
        <f t="shared" si="5"/>
        <v>1</v>
      </c>
      <c r="AC17" s="9">
        <f t="shared" si="6"/>
        <v>0.16666666666666666</v>
      </c>
      <c r="AD17" s="10">
        <f t="shared" si="7"/>
        <v>0.16666666666666666</v>
      </c>
      <c r="AE17" s="36">
        <f t="shared" si="8"/>
        <v>0.48333333333333334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125</v>
      </c>
      <c r="E18" s="53" t="s">
        <v>137</v>
      </c>
      <c r="F18" s="30" t="s">
        <v>127</v>
      </c>
      <c r="G18" s="33">
        <v>1</v>
      </c>
      <c r="H18" s="35">
        <v>24</v>
      </c>
      <c r="I18" s="7">
        <v>15000</v>
      </c>
      <c r="J18" s="5">
        <v>5495</v>
      </c>
      <c r="K18" s="15">
        <f>L18+2483+3339+2439+2756</f>
        <v>16512</v>
      </c>
      <c r="L18" s="15">
        <f>2827+2668</f>
        <v>5495</v>
      </c>
      <c r="M18" s="15">
        <f t="shared" si="1"/>
        <v>5495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0.48333333333333334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146</v>
      </c>
      <c r="F19" s="30" t="s">
        <v>131</v>
      </c>
      <c r="G19" s="33">
        <v>1</v>
      </c>
      <c r="H19" s="35">
        <v>24</v>
      </c>
      <c r="I19" s="7">
        <v>6000</v>
      </c>
      <c r="J19" s="5">
        <v>1200</v>
      </c>
      <c r="K19" s="15">
        <f>L19+2020+5191</f>
        <v>8411</v>
      </c>
      <c r="L19" s="15">
        <v>1200</v>
      </c>
      <c r="M19" s="15">
        <f t="shared" si="1"/>
        <v>1200</v>
      </c>
      <c r="N19" s="15">
        <v>0</v>
      </c>
      <c r="O19" s="58">
        <f t="shared" si="2"/>
        <v>0</v>
      </c>
      <c r="P19" s="39">
        <f t="shared" si="3"/>
        <v>7</v>
      </c>
      <c r="Q19" s="40">
        <f t="shared" si="4"/>
        <v>17</v>
      </c>
      <c r="R19" s="7"/>
      <c r="S19" s="6"/>
      <c r="T19" s="16"/>
      <c r="U19" s="16"/>
      <c r="V19" s="17"/>
      <c r="W19" s="5">
        <v>17</v>
      </c>
      <c r="X19" s="16"/>
      <c r="Y19" s="16"/>
      <c r="Z19" s="16"/>
      <c r="AA19" s="18"/>
      <c r="AB19" s="8">
        <f t="shared" si="5"/>
        <v>1</v>
      </c>
      <c r="AC19" s="9">
        <f t="shared" si="6"/>
        <v>0.29166666666666669</v>
      </c>
      <c r="AD19" s="10">
        <f t="shared" ref="AD19" si="12">AC19*AB19*(1-O19)</f>
        <v>0.29166666666666669</v>
      </c>
      <c r="AE19" s="36">
        <f t="shared" si="8"/>
        <v>0.48333333333333334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162</v>
      </c>
      <c r="F20" s="12" t="s">
        <v>116</v>
      </c>
      <c r="G20" s="12">
        <v>4</v>
      </c>
      <c r="H20" s="35">
        <v>20</v>
      </c>
      <c r="I20" s="7">
        <v>500000</v>
      </c>
      <c r="J20" s="14">
        <v>41052</v>
      </c>
      <c r="K20" s="15">
        <f>L20+19752</f>
        <v>60804</v>
      </c>
      <c r="L20" s="15">
        <f>10263*4</f>
        <v>41052</v>
      </c>
      <c r="M20" s="15">
        <f t="shared" si="1"/>
        <v>41052</v>
      </c>
      <c r="N20" s="15">
        <v>0</v>
      </c>
      <c r="O20" s="58">
        <f t="shared" si="2"/>
        <v>0</v>
      </c>
      <c r="P20" s="39">
        <f t="shared" si="3"/>
        <v>14</v>
      </c>
      <c r="Q20" s="40">
        <f t="shared" si="4"/>
        <v>10</v>
      </c>
      <c r="R20" s="7"/>
      <c r="S20" s="6"/>
      <c r="T20" s="16"/>
      <c r="U20" s="16"/>
      <c r="V20" s="17">
        <v>10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0.58333333333333337</v>
      </c>
      <c r="AD20" s="10">
        <f t="shared" si="7"/>
        <v>0.58333333333333337</v>
      </c>
      <c r="AE20" s="36">
        <f t="shared" si="8"/>
        <v>0.48333333333333334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3">SUM(I6:I20)</f>
        <v>752900</v>
      </c>
      <c r="J21" s="19">
        <f t="shared" si="13"/>
        <v>91418</v>
      </c>
      <c r="K21" s="20">
        <f t="shared" si="13"/>
        <v>253259</v>
      </c>
      <c r="L21" s="21">
        <f t="shared" si="13"/>
        <v>86835</v>
      </c>
      <c r="M21" s="20">
        <f t="shared" si="13"/>
        <v>86835</v>
      </c>
      <c r="N21" s="21">
        <f t="shared" si="13"/>
        <v>0</v>
      </c>
      <c r="O21" s="41">
        <f t="shared" si="2"/>
        <v>0</v>
      </c>
      <c r="P21" s="42">
        <f t="shared" ref="P21:AA21" si="14">SUM(P6:P20)</f>
        <v>174</v>
      </c>
      <c r="Q21" s="43">
        <f t="shared" si="14"/>
        <v>186</v>
      </c>
      <c r="R21" s="23">
        <f t="shared" si="14"/>
        <v>24</v>
      </c>
      <c r="S21" s="24">
        <f t="shared" si="14"/>
        <v>43</v>
      </c>
      <c r="T21" s="24">
        <f t="shared" si="14"/>
        <v>0</v>
      </c>
      <c r="U21" s="24">
        <f t="shared" si="14"/>
        <v>0</v>
      </c>
      <c r="V21" s="25">
        <f t="shared" si="14"/>
        <v>34</v>
      </c>
      <c r="W21" s="26">
        <f t="shared" si="14"/>
        <v>85</v>
      </c>
      <c r="X21" s="27">
        <f t="shared" si="14"/>
        <v>0</v>
      </c>
      <c r="Y21" s="27">
        <f t="shared" si="14"/>
        <v>0</v>
      </c>
      <c r="Z21" s="27">
        <f t="shared" si="14"/>
        <v>0</v>
      </c>
      <c r="AA21" s="27">
        <f t="shared" si="14"/>
        <v>0</v>
      </c>
      <c r="AB21" s="28">
        <f>SUM(AB6:AB20)/15</f>
        <v>0.66666666666666663</v>
      </c>
      <c r="AC21" s="4">
        <f>SUM(AC6:AC20)/15</f>
        <v>0.48333333333333334</v>
      </c>
      <c r="AD21" s="4">
        <f>SUM(AD6:AD20)/15</f>
        <v>0.48333333333333334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186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188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148" t="s">
        <v>46</v>
      </c>
      <c r="D50" s="148" t="s">
        <v>47</v>
      </c>
      <c r="E50" s="148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148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09" t="s">
        <v>124</v>
      </c>
      <c r="B51" s="410"/>
      <c r="C51" s="146" t="s">
        <v>145</v>
      </c>
      <c r="D51" s="146" t="s">
        <v>122</v>
      </c>
      <c r="E51" s="146" t="s">
        <v>175</v>
      </c>
      <c r="F51" s="411" t="s">
        <v>187</v>
      </c>
      <c r="G51" s="412"/>
      <c r="H51" s="412"/>
      <c r="I51" s="412"/>
      <c r="J51" s="412"/>
      <c r="K51" s="412"/>
      <c r="L51" s="412"/>
      <c r="M51" s="413"/>
      <c r="N51" s="145" t="s">
        <v>124</v>
      </c>
      <c r="O51" s="143" t="s">
        <v>145</v>
      </c>
      <c r="P51" s="423" t="s">
        <v>122</v>
      </c>
      <c r="Q51" s="424"/>
      <c r="R51" s="410" t="s">
        <v>175</v>
      </c>
      <c r="S51" s="410"/>
      <c r="T51" s="410"/>
      <c r="U51" s="410"/>
      <c r="V51" s="400" t="s">
        <v>126</v>
      </c>
      <c r="W51" s="400"/>
      <c r="X51" s="400"/>
      <c r="Y51" s="400"/>
      <c r="Z51" s="400"/>
      <c r="AA51" s="400"/>
      <c r="AB51" s="400"/>
      <c r="AC51" s="400"/>
      <c r="AD51" s="414"/>
    </row>
    <row r="52" spans="1:32" ht="27" customHeight="1">
      <c r="A52" s="409" t="s">
        <v>124</v>
      </c>
      <c r="B52" s="410"/>
      <c r="C52" s="146" t="s">
        <v>165</v>
      </c>
      <c r="D52" s="146" t="s">
        <v>122</v>
      </c>
      <c r="E52" s="146" t="s">
        <v>180</v>
      </c>
      <c r="F52" s="411" t="s">
        <v>187</v>
      </c>
      <c r="G52" s="412"/>
      <c r="H52" s="412"/>
      <c r="I52" s="412"/>
      <c r="J52" s="412"/>
      <c r="K52" s="412"/>
      <c r="L52" s="412"/>
      <c r="M52" s="413"/>
      <c r="N52" s="145" t="s">
        <v>124</v>
      </c>
      <c r="O52" s="143" t="s">
        <v>165</v>
      </c>
      <c r="P52" s="423" t="s">
        <v>122</v>
      </c>
      <c r="Q52" s="424"/>
      <c r="R52" s="410" t="s">
        <v>180</v>
      </c>
      <c r="S52" s="410"/>
      <c r="T52" s="410"/>
      <c r="U52" s="410"/>
      <c r="V52" s="400" t="s">
        <v>126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124</v>
      </c>
      <c r="B53" s="410"/>
      <c r="C53" s="146" t="s">
        <v>143</v>
      </c>
      <c r="D53" s="146" t="s">
        <v>135</v>
      </c>
      <c r="E53" s="146" t="s">
        <v>181</v>
      </c>
      <c r="F53" s="411" t="s">
        <v>120</v>
      </c>
      <c r="G53" s="412"/>
      <c r="H53" s="412"/>
      <c r="I53" s="412"/>
      <c r="J53" s="412"/>
      <c r="K53" s="412"/>
      <c r="L53" s="412"/>
      <c r="M53" s="413"/>
      <c r="N53" s="145" t="s">
        <v>124</v>
      </c>
      <c r="O53" s="143" t="s">
        <v>189</v>
      </c>
      <c r="P53" s="423" t="s">
        <v>133</v>
      </c>
      <c r="Q53" s="424"/>
      <c r="R53" s="410" t="s">
        <v>147</v>
      </c>
      <c r="S53" s="410"/>
      <c r="T53" s="410"/>
      <c r="U53" s="410"/>
      <c r="V53" s="400" t="s">
        <v>126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115</v>
      </c>
      <c r="B54" s="410"/>
      <c r="C54" s="146" t="s">
        <v>168</v>
      </c>
      <c r="D54" s="146"/>
      <c r="E54" s="146" t="s">
        <v>162</v>
      </c>
      <c r="F54" s="411" t="s">
        <v>126</v>
      </c>
      <c r="G54" s="412"/>
      <c r="H54" s="412"/>
      <c r="I54" s="412"/>
      <c r="J54" s="412"/>
      <c r="K54" s="412"/>
      <c r="L54" s="412"/>
      <c r="M54" s="413"/>
      <c r="N54" s="145" t="s">
        <v>140</v>
      </c>
      <c r="O54" s="143" t="s">
        <v>191</v>
      </c>
      <c r="P54" s="423" t="s">
        <v>192</v>
      </c>
      <c r="Q54" s="424"/>
      <c r="R54" s="410" t="s">
        <v>193</v>
      </c>
      <c r="S54" s="410"/>
      <c r="T54" s="410"/>
      <c r="U54" s="410"/>
      <c r="V54" s="400" t="s">
        <v>120</v>
      </c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 t="s">
        <v>124</v>
      </c>
      <c r="B55" s="410"/>
      <c r="C55" s="146" t="s">
        <v>189</v>
      </c>
      <c r="D55" s="146" t="s">
        <v>133</v>
      </c>
      <c r="E55" s="146" t="s">
        <v>147</v>
      </c>
      <c r="F55" s="411" t="s">
        <v>190</v>
      </c>
      <c r="G55" s="412"/>
      <c r="H55" s="412"/>
      <c r="I55" s="412"/>
      <c r="J55" s="412"/>
      <c r="K55" s="412"/>
      <c r="L55" s="412"/>
      <c r="M55" s="413"/>
      <c r="N55" s="145"/>
      <c r="O55" s="143"/>
      <c r="P55" s="423"/>
      <c r="Q55" s="424"/>
      <c r="R55" s="410"/>
      <c r="S55" s="410"/>
      <c r="T55" s="410"/>
      <c r="U55" s="410"/>
      <c r="V55" s="400"/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/>
      <c r="B56" s="410"/>
      <c r="C56" s="146"/>
      <c r="D56" s="146"/>
      <c r="E56" s="146"/>
      <c r="F56" s="411"/>
      <c r="G56" s="412"/>
      <c r="H56" s="412"/>
      <c r="I56" s="412"/>
      <c r="J56" s="412"/>
      <c r="K56" s="412"/>
      <c r="L56" s="412"/>
      <c r="M56" s="413"/>
      <c r="N56" s="145"/>
      <c r="O56" s="143"/>
      <c r="P56" s="423"/>
      <c r="Q56" s="424"/>
      <c r="R56" s="410"/>
      <c r="S56" s="410"/>
      <c r="T56" s="410"/>
      <c r="U56" s="410"/>
      <c r="V56" s="400"/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/>
      <c r="B57" s="410"/>
      <c r="C57" s="146"/>
      <c r="D57" s="146"/>
      <c r="E57" s="146"/>
      <c r="F57" s="411"/>
      <c r="G57" s="412"/>
      <c r="H57" s="412"/>
      <c r="I57" s="412"/>
      <c r="J57" s="412"/>
      <c r="K57" s="412"/>
      <c r="L57" s="412"/>
      <c r="M57" s="413"/>
      <c r="N57" s="145"/>
      <c r="O57" s="143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/>
      <c r="B58" s="410"/>
      <c r="C58" s="146"/>
      <c r="D58" s="146"/>
      <c r="E58" s="146"/>
      <c r="F58" s="411"/>
      <c r="G58" s="412"/>
      <c r="H58" s="412"/>
      <c r="I58" s="412"/>
      <c r="J58" s="412"/>
      <c r="K58" s="412"/>
      <c r="L58" s="412"/>
      <c r="M58" s="413"/>
      <c r="N58" s="145"/>
      <c r="O58" s="143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146"/>
      <c r="D59" s="146"/>
      <c r="E59" s="146"/>
      <c r="F59" s="411"/>
      <c r="G59" s="412"/>
      <c r="H59" s="412"/>
      <c r="I59" s="412"/>
      <c r="J59" s="412"/>
      <c r="K59" s="412"/>
      <c r="L59" s="412"/>
      <c r="M59" s="413"/>
      <c r="N59" s="145"/>
      <c r="O59" s="143"/>
      <c r="P59" s="410"/>
      <c r="Q59" s="410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  <c r="AF59" s="87">
        <f>8*3000</f>
        <v>24000</v>
      </c>
    </row>
    <row r="60" spans="1:32" ht="27" customHeight="1" thickBot="1">
      <c r="A60" s="415"/>
      <c r="B60" s="416"/>
      <c r="C60" s="147"/>
      <c r="D60" s="147"/>
      <c r="E60" s="147"/>
      <c r="F60" s="417"/>
      <c r="G60" s="418"/>
      <c r="H60" s="418"/>
      <c r="I60" s="418"/>
      <c r="J60" s="418"/>
      <c r="K60" s="418"/>
      <c r="L60" s="418"/>
      <c r="M60" s="419"/>
      <c r="N60" s="124"/>
      <c r="O60" s="114"/>
      <c r="P60" s="420"/>
      <c r="Q60" s="420"/>
      <c r="R60" s="420"/>
      <c r="S60" s="420"/>
      <c r="T60" s="420"/>
      <c r="U60" s="420"/>
      <c r="V60" s="421"/>
      <c r="W60" s="421"/>
      <c r="X60" s="421"/>
      <c r="Y60" s="421"/>
      <c r="Z60" s="421"/>
      <c r="AA60" s="421"/>
      <c r="AB60" s="421"/>
      <c r="AC60" s="421"/>
      <c r="AD60" s="422"/>
      <c r="AF60" s="87">
        <f>16*3000</f>
        <v>48000</v>
      </c>
    </row>
    <row r="61" spans="1:32" ht="27.75" thickBot="1">
      <c r="A61" s="407" t="s">
        <v>194</v>
      </c>
      <c r="B61" s="407"/>
      <c r="C61" s="407"/>
      <c r="D61" s="407"/>
      <c r="E61" s="40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08" t="s">
        <v>113</v>
      </c>
      <c r="B62" s="405"/>
      <c r="C62" s="144" t="s">
        <v>2</v>
      </c>
      <c r="D62" s="144" t="s">
        <v>37</v>
      </c>
      <c r="E62" s="144" t="s">
        <v>3</v>
      </c>
      <c r="F62" s="405" t="s">
        <v>110</v>
      </c>
      <c r="G62" s="405"/>
      <c r="H62" s="405"/>
      <c r="I62" s="405"/>
      <c r="J62" s="405"/>
      <c r="K62" s="405" t="s">
        <v>39</v>
      </c>
      <c r="L62" s="405"/>
      <c r="M62" s="144" t="s">
        <v>40</v>
      </c>
      <c r="N62" s="405" t="s">
        <v>41</v>
      </c>
      <c r="O62" s="405"/>
      <c r="P62" s="402" t="s">
        <v>42</v>
      </c>
      <c r="Q62" s="404"/>
      <c r="R62" s="402" t="s">
        <v>43</v>
      </c>
      <c r="S62" s="403"/>
      <c r="T62" s="403"/>
      <c r="U62" s="403"/>
      <c r="V62" s="403"/>
      <c r="W62" s="403"/>
      <c r="X62" s="403"/>
      <c r="Y62" s="403"/>
      <c r="Z62" s="403"/>
      <c r="AA62" s="404"/>
      <c r="AB62" s="405" t="s">
        <v>44</v>
      </c>
      <c r="AC62" s="405"/>
      <c r="AD62" s="406"/>
      <c r="AF62" s="87">
        <f>SUM(AF59:AF61)</f>
        <v>96000</v>
      </c>
    </row>
    <row r="63" spans="1:32" ht="25.5" customHeight="1">
      <c r="A63" s="396">
        <v>1</v>
      </c>
      <c r="B63" s="397"/>
      <c r="C63" s="117" t="s">
        <v>114</v>
      </c>
      <c r="D63" s="139"/>
      <c r="E63" s="142" t="s">
        <v>196</v>
      </c>
      <c r="F63" s="398" t="s">
        <v>195</v>
      </c>
      <c r="G63" s="390"/>
      <c r="H63" s="390"/>
      <c r="I63" s="390"/>
      <c r="J63" s="390"/>
      <c r="K63" s="390" t="s">
        <v>130</v>
      </c>
      <c r="L63" s="390"/>
      <c r="M63" s="51" t="s">
        <v>197</v>
      </c>
      <c r="N63" s="401" t="s">
        <v>189</v>
      </c>
      <c r="O63" s="401"/>
      <c r="P63" s="399">
        <v>400</v>
      </c>
      <c r="Q63" s="399"/>
      <c r="R63" s="400"/>
      <c r="S63" s="400"/>
      <c r="T63" s="400"/>
      <c r="U63" s="400"/>
      <c r="V63" s="400"/>
      <c r="W63" s="400"/>
      <c r="X63" s="400"/>
      <c r="Y63" s="400"/>
      <c r="Z63" s="400"/>
      <c r="AA63" s="400"/>
      <c r="AB63" s="390"/>
      <c r="AC63" s="390"/>
      <c r="AD63" s="391"/>
      <c r="AF63" s="50"/>
    </row>
    <row r="64" spans="1:32" ht="25.5" customHeight="1">
      <c r="A64" s="396">
        <v>2</v>
      </c>
      <c r="B64" s="397"/>
      <c r="C64" s="117" t="s">
        <v>142</v>
      </c>
      <c r="D64" s="139"/>
      <c r="E64" s="142" t="s">
        <v>201</v>
      </c>
      <c r="F64" s="398" t="s">
        <v>198</v>
      </c>
      <c r="G64" s="390"/>
      <c r="H64" s="390"/>
      <c r="I64" s="390"/>
      <c r="J64" s="390"/>
      <c r="K64" s="390" t="s">
        <v>199</v>
      </c>
      <c r="L64" s="390"/>
      <c r="M64" s="51" t="s">
        <v>200</v>
      </c>
      <c r="N64" s="401" t="s">
        <v>189</v>
      </c>
      <c r="O64" s="401"/>
      <c r="P64" s="399">
        <v>100</v>
      </c>
      <c r="Q64" s="399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3</v>
      </c>
      <c r="B65" s="397"/>
      <c r="C65" s="117" t="s">
        <v>142</v>
      </c>
      <c r="D65" s="139"/>
      <c r="E65" s="142" t="s">
        <v>117</v>
      </c>
      <c r="F65" s="398" t="s">
        <v>202</v>
      </c>
      <c r="G65" s="390"/>
      <c r="H65" s="390"/>
      <c r="I65" s="390"/>
      <c r="J65" s="390"/>
      <c r="K65" s="390" t="s">
        <v>199</v>
      </c>
      <c r="L65" s="390"/>
      <c r="M65" s="51" t="s">
        <v>203</v>
      </c>
      <c r="N65" s="401" t="s">
        <v>204</v>
      </c>
      <c r="O65" s="401"/>
      <c r="P65" s="399">
        <v>100</v>
      </c>
      <c r="Q65" s="399"/>
      <c r="R65" s="400" t="s">
        <v>205</v>
      </c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4</v>
      </c>
      <c r="B66" s="397"/>
      <c r="C66" s="117" t="s">
        <v>114</v>
      </c>
      <c r="D66" s="139"/>
      <c r="E66" s="142" t="s">
        <v>119</v>
      </c>
      <c r="F66" s="398" t="s">
        <v>206</v>
      </c>
      <c r="G66" s="390"/>
      <c r="H66" s="390"/>
      <c r="I66" s="390"/>
      <c r="J66" s="390"/>
      <c r="K66" s="390" t="s">
        <v>132</v>
      </c>
      <c r="L66" s="390"/>
      <c r="M66" s="51" t="s">
        <v>207</v>
      </c>
      <c r="N66" s="401" t="s">
        <v>191</v>
      </c>
      <c r="O66" s="401"/>
      <c r="P66" s="399">
        <v>20</v>
      </c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5</v>
      </c>
      <c r="B67" s="397"/>
      <c r="C67" s="117" t="s">
        <v>142</v>
      </c>
      <c r="D67" s="139"/>
      <c r="E67" s="142" t="s">
        <v>135</v>
      </c>
      <c r="F67" s="398" t="s">
        <v>208</v>
      </c>
      <c r="G67" s="390"/>
      <c r="H67" s="390"/>
      <c r="I67" s="390"/>
      <c r="J67" s="390"/>
      <c r="K67" s="390" t="s">
        <v>209</v>
      </c>
      <c r="L67" s="390"/>
      <c r="M67" s="51" t="s">
        <v>203</v>
      </c>
      <c r="N67" s="401" t="s">
        <v>210</v>
      </c>
      <c r="O67" s="401"/>
      <c r="P67" s="399">
        <v>100</v>
      </c>
      <c r="Q67" s="399"/>
      <c r="R67" s="400" t="s">
        <v>211</v>
      </c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6</v>
      </c>
      <c r="B68" s="397"/>
      <c r="C68" s="117" t="s">
        <v>114</v>
      </c>
      <c r="D68" s="139"/>
      <c r="E68" s="142" t="s">
        <v>133</v>
      </c>
      <c r="F68" s="398" t="s">
        <v>212</v>
      </c>
      <c r="G68" s="390"/>
      <c r="H68" s="390"/>
      <c r="I68" s="390"/>
      <c r="J68" s="390"/>
      <c r="K68" s="390" t="s">
        <v>123</v>
      </c>
      <c r="L68" s="390"/>
      <c r="M68" s="51" t="s">
        <v>197</v>
      </c>
      <c r="N68" s="390">
        <v>14</v>
      </c>
      <c r="O68" s="390"/>
      <c r="P68" s="399"/>
      <c r="Q68" s="399"/>
      <c r="R68" s="400" t="s">
        <v>213</v>
      </c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7</v>
      </c>
      <c r="B69" s="397"/>
      <c r="C69" s="117" t="s">
        <v>142</v>
      </c>
      <c r="D69" s="139"/>
      <c r="E69" s="142" t="s">
        <v>215</v>
      </c>
      <c r="F69" s="398" t="s">
        <v>214</v>
      </c>
      <c r="G69" s="390"/>
      <c r="H69" s="390"/>
      <c r="I69" s="390"/>
      <c r="J69" s="390"/>
      <c r="K69" s="390" t="s">
        <v>216</v>
      </c>
      <c r="L69" s="390"/>
      <c r="M69" s="51" t="s">
        <v>203</v>
      </c>
      <c r="N69" s="401" t="s">
        <v>217</v>
      </c>
      <c r="O69" s="401"/>
      <c r="P69" s="399">
        <v>100</v>
      </c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8</v>
      </c>
      <c r="B70" s="397"/>
      <c r="C70" s="117"/>
      <c r="D70" s="139"/>
      <c r="E70" s="142"/>
      <c r="F70" s="398"/>
      <c r="G70" s="390"/>
      <c r="H70" s="390"/>
      <c r="I70" s="390"/>
      <c r="J70" s="390"/>
      <c r="K70" s="390"/>
      <c r="L70" s="390"/>
      <c r="M70" s="51"/>
      <c r="N70" s="390"/>
      <c r="O70" s="390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6.25" customHeight="1" thickBot="1">
      <c r="A71" s="370" t="s">
        <v>218</v>
      </c>
      <c r="B71" s="370"/>
      <c r="C71" s="370"/>
      <c r="D71" s="370"/>
      <c r="E71" s="370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371" t="s">
        <v>113</v>
      </c>
      <c r="B72" s="372"/>
      <c r="C72" s="141" t="s">
        <v>2</v>
      </c>
      <c r="D72" s="141" t="s">
        <v>37</v>
      </c>
      <c r="E72" s="141" t="s">
        <v>3</v>
      </c>
      <c r="F72" s="372" t="s">
        <v>38</v>
      </c>
      <c r="G72" s="372"/>
      <c r="H72" s="372"/>
      <c r="I72" s="372"/>
      <c r="J72" s="372"/>
      <c r="K72" s="392" t="s">
        <v>58</v>
      </c>
      <c r="L72" s="393"/>
      <c r="M72" s="393"/>
      <c r="N72" s="393"/>
      <c r="O72" s="393"/>
      <c r="P72" s="393"/>
      <c r="Q72" s="393"/>
      <c r="R72" s="393"/>
      <c r="S72" s="394"/>
      <c r="T72" s="372" t="s">
        <v>49</v>
      </c>
      <c r="U72" s="372"/>
      <c r="V72" s="392" t="s">
        <v>50</v>
      </c>
      <c r="W72" s="394"/>
      <c r="X72" s="393" t="s">
        <v>51</v>
      </c>
      <c r="Y72" s="393"/>
      <c r="Z72" s="393"/>
      <c r="AA72" s="393"/>
      <c r="AB72" s="393"/>
      <c r="AC72" s="393"/>
      <c r="AD72" s="395"/>
      <c r="AF72" s="50"/>
    </row>
    <row r="73" spans="1:32" ht="33.75" customHeight="1">
      <c r="A73" s="364">
        <v>1</v>
      </c>
      <c r="B73" s="365"/>
      <c r="C73" s="140" t="s">
        <v>114</v>
      </c>
      <c r="D73" s="140"/>
      <c r="E73" s="65" t="s">
        <v>119</v>
      </c>
      <c r="F73" s="379" t="s">
        <v>118</v>
      </c>
      <c r="G73" s="380"/>
      <c r="H73" s="380"/>
      <c r="I73" s="380"/>
      <c r="J73" s="381"/>
      <c r="K73" s="382" t="s">
        <v>156</v>
      </c>
      <c r="L73" s="383"/>
      <c r="M73" s="383"/>
      <c r="N73" s="383"/>
      <c r="O73" s="383"/>
      <c r="P73" s="383"/>
      <c r="Q73" s="383"/>
      <c r="R73" s="383"/>
      <c r="S73" s="384"/>
      <c r="T73" s="385">
        <v>43675</v>
      </c>
      <c r="U73" s="386"/>
      <c r="V73" s="387"/>
      <c r="W73" s="387"/>
      <c r="X73" s="388"/>
      <c r="Y73" s="388"/>
      <c r="Z73" s="388"/>
      <c r="AA73" s="388"/>
      <c r="AB73" s="388"/>
      <c r="AC73" s="388"/>
      <c r="AD73" s="389"/>
      <c r="AF73" s="50"/>
    </row>
    <row r="74" spans="1:32" ht="30" customHeight="1">
      <c r="A74" s="357">
        <f>A73+1</f>
        <v>2</v>
      </c>
      <c r="B74" s="358"/>
      <c r="C74" s="139"/>
      <c r="D74" s="139"/>
      <c r="E74" s="32"/>
      <c r="F74" s="358"/>
      <c r="G74" s="358"/>
      <c r="H74" s="358"/>
      <c r="I74" s="358"/>
      <c r="J74" s="358"/>
      <c r="K74" s="373"/>
      <c r="L74" s="374"/>
      <c r="M74" s="374"/>
      <c r="N74" s="374"/>
      <c r="O74" s="374"/>
      <c r="P74" s="374"/>
      <c r="Q74" s="374"/>
      <c r="R74" s="374"/>
      <c r="S74" s="375"/>
      <c r="T74" s="376"/>
      <c r="U74" s="376"/>
      <c r="V74" s="376"/>
      <c r="W74" s="376"/>
      <c r="X74" s="377"/>
      <c r="Y74" s="377"/>
      <c r="Z74" s="377"/>
      <c r="AA74" s="377"/>
      <c r="AB74" s="377"/>
      <c r="AC74" s="377"/>
      <c r="AD74" s="378"/>
      <c r="AF74" s="50"/>
    </row>
    <row r="75" spans="1:32" ht="30" customHeight="1">
      <c r="A75" s="357">
        <f t="shared" ref="A75:A81" si="15">A74+1</f>
        <v>3</v>
      </c>
      <c r="B75" s="358"/>
      <c r="C75" s="139"/>
      <c r="D75" s="139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si="15"/>
        <v>4</v>
      </c>
      <c r="B76" s="358"/>
      <c r="C76" s="139"/>
      <c r="D76" s="139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15"/>
        <v>5</v>
      </c>
      <c r="B77" s="358"/>
      <c r="C77" s="139"/>
      <c r="D77" s="139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15"/>
        <v>6</v>
      </c>
      <c r="B78" s="358"/>
      <c r="C78" s="139"/>
      <c r="D78" s="139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15"/>
        <v>7</v>
      </c>
      <c r="B79" s="358"/>
      <c r="C79" s="139"/>
      <c r="D79" s="139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15"/>
        <v>8</v>
      </c>
      <c r="B80" s="358"/>
      <c r="C80" s="139"/>
      <c r="D80" s="139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15"/>
        <v>9</v>
      </c>
      <c r="B81" s="358"/>
      <c r="C81" s="139"/>
      <c r="D81" s="139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6" thickBot="1">
      <c r="A82" s="370" t="s">
        <v>219</v>
      </c>
      <c r="B82" s="370"/>
      <c r="C82" s="370"/>
      <c r="D82" s="370"/>
      <c r="E82" s="370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371" t="s">
        <v>113</v>
      </c>
      <c r="B83" s="372"/>
      <c r="C83" s="362" t="s">
        <v>52</v>
      </c>
      <c r="D83" s="362"/>
      <c r="E83" s="362" t="s">
        <v>53</v>
      </c>
      <c r="F83" s="362"/>
      <c r="G83" s="362"/>
      <c r="H83" s="362"/>
      <c r="I83" s="362"/>
      <c r="J83" s="362"/>
      <c r="K83" s="362" t="s">
        <v>54</v>
      </c>
      <c r="L83" s="362"/>
      <c r="M83" s="362"/>
      <c r="N83" s="362"/>
      <c r="O83" s="362"/>
      <c r="P83" s="362"/>
      <c r="Q83" s="362"/>
      <c r="R83" s="362"/>
      <c r="S83" s="362"/>
      <c r="T83" s="362" t="s">
        <v>55</v>
      </c>
      <c r="U83" s="362"/>
      <c r="V83" s="362" t="s">
        <v>56</v>
      </c>
      <c r="W83" s="362"/>
      <c r="X83" s="362"/>
      <c r="Y83" s="362" t="s">
        <v>51</v>
      </c>
      <c r="Z83" s="362"/>
      <c r="AA83" s="362"/>
      <c r="AB83" s="362"/>
      <c r="AC83" s="362"/>
      <c r="AD83" s="363"/>
      <c r="AF83" s="50"/>
    </row>
    <row r="84" spans="1:32" ht="30.75" customHeight="1">
      <c r="A84" s="364">
        <v>1</v>
      </c>
      <c r="B84" s="365"/>
      <c r="C84" s="366"/>
      <c r="D84" s="366"/>
      <c r="E84" s="366"/>
      <c r="F84" s="366"/>
      <c r="G84" s="366"/>
      <c r="H84" s="366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  <c r="U84" s="366"/>
      <c r="V84" s="367"/>
      <c r="W84" s="367"/>
      <c r="X84" s="367"/>
      <c r="Y84" s="368"/>
      <c r="Z84" s="368"/>
      <c r="AA84" s="368"/>
      <c r="AB84" s="368"/>
      <c r="AC84" s="368"/>
      <c r="AD84" s="369"/>
      <c r="AF84" s="50"/>
    </row>
    <row r="85" spans="1:32" ht="30.75" customHeight="1">
      <c r="A85" s="357">
        <v>2</v>
      </c>
      <c r="B85" s="358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60"/>
      <c r="U85" s="360"/>
      <c r="V85" s="361"/>
      <c r="W85" s="361"/>
      <c r="X85" s="361"/>
      <c r="Y85" s="350"/>
      <c r="Z85" s="350"/>
      <c r="AA85" s="350"/>
      <c r="AB85" s="350"/>
      <c r="AC85" s="350"/>
      <c r="AD85" s="351"/>
      <c r="AF85" s="50"/>
    </row>
    <row r="86" spans="1:32" ht="30.75" customHeight="1" thickBot="1">
      <c r="A86" s="352">
        <v>3</v>
      </c>
      <c r="B86" s="353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5"/>
      <c r="Z86" s="355"/>
      <c r="AA86" s="355"/>
      <c r="AB86" s="355"/>
      <c r="AC86" s="355"/>
      <c r="AD86" s="356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4FAD-4440-42E1-A33A-FC843522C707}">
  <sheetPr codeName="Sheet4"/>
  <dimension ref="A1:AF86"/>
  <sheetViews>
    <sheetView zoomScale="72" zoomScaleNormal="72" zoomScaleSheetLayoutView="70" workbookViewId="0">
      <selection activeCell="K12" sqref="K12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220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150" t="s">
        <v>17</v>
      </c>
      <c r="L5" s="150" t="s">
        <v>18</v>
      </c>
      <c r="M5" s="150" t="s">
        <v>19</v>
      </c>
      <c r="N5" s="15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0.49166666666666664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0.49166666666666664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15000</v>
      </c>
      <c r="J8" s="14">
        <v>4566</v>
      </c>
      <c r="K8" s="15">
        <f>L8+3610</f>
        <v>8176</v>
      </c>
      <c r="L8" s="15">
        <f>3057+1509</f>
        <v>4566</v>
      </c>
      <c r="M8" s="15">
        <f t="shared" si="1"/>
        <v>4566</v>
      </c>
      <c r="N8" s="15">
        <v>0</v>
      </c>
      <c r="O8" s="58">
        <f t="shared" si="2"/>
        <v>0</v>
      </c>
      <c r="P8" s="39">
        <f t="shared" si="3"/>
        <v>22</v>
      </c>
      <c r="Q8" s="40">
        <f t="shared" si="4"/>
        <v>2</v>
      </c>
      <c r="R8" s="7"/>
      <c r="S8" s="6">
        <v>2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0.91666666666666663</v>
      </c>
      <c r="AD8" s="10">
        <f t="shared" si="7"/>
        <v>0.91666666666666663</v>
      </c>
      <c r="AE8" s="36">
        <f t="shared" si="8"/>
        <v>0.49166666666666664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124</v>
      </c>
      <c r="D9" s="52" t="s">
        <v>221</v>
      </c>
      <c r="E9" s="53" t="s">
        <v>222</v>
      </c>
      <c r="F9" s="30" t="s">
        <v>132</v>
      </c>
      <c r="G9" s="33">
        <v>1</v>
      </c>
      <c r="H9" s="35">
        <v>24</v>
      </c>
      <c r="I9" s="7">
        <v>2000</v>
      </c>
      <c r="J9" s="14">
        <v>4172</v>
      </c>
      <c r="K9" s="15">
        <f>L9</f>
        <v>4172</v>
      </c>
      <c r="L9" s="15">
        <f>1583+2589</f>
        <v>4172</v>
      </c>
      <c r="M9" s="15">
        <f t="shared" si="1"/>
        <v>4172</v>
      </c>
      <c r="N9" s="15">
        <v>0</v>
      </c>
      <c r="O9" s="58">
        <f t="shared" si="2"/>
        <v>0</v>
      </c>
      <c r="P9" s="39">
        <f t="shared" si="3"/>
        <v>21</v>
      </c>
      <c r="Q9" s="40">
        <f t="shared" si="4"/>
        <v>3</v>
      </c>
      <c r="R9" s="7"/>
      <c r="S9" s="6"/>
      <c r="T9" s="16">
        <v>3</v>
      </c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0.875</v>
      </c>
      <c r="AD9" s="10">
        <f t="shared" si="7"/>
        <v>0.875</v>
      </c>
      <c r="AE9" s="36">
        <f t="shared" si="8"/>
        <v>0.49166666666666664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142</v>
      </c>
      <c r="D10" s="52" t="s">
        <v>152</v>
      </c>
      <c r="E10" s="53" t="s">
        <v>150</v>
      </c>
      <c r="F10" s="30" t="s">
        <v>121</v>
      </c>
      <c r="G10" s="33">
        <v>2</v>
      </c>
      <c r="H10" s="35">
        <v>24</v>
      </c>
      <c r="I10" s="7">
        <v>90000</v>
      </c>
      <c r="J10" s="5">
        <v>15754</v>
      </c>
      <c r="K10" s="15">
        <f>L10+1714+13656+15988+16420+5830+12022+8590+10992+16158</f>
        <v>117124</v>
      </c>
      <c r="L10" s="15">
        <f>4065*2+3812*2</f>
        <v>15754</v>
      </c>
      <c r="M10" s="15">
        <f t="shared" si="1"/>
        <v>15754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0.49166666666666664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142</v>
      </c>
      <c r="D11" s="52" t="s">
        <v>154</v>
      </c>
      <c r="E11" s="53" t="s">
        <v>155</v>
      </c>
      <c r="F11" s="30" t="s">
        <v>121</v>
      </c>
      <c r="G11" s="33" t="s">
        <v>153</v>
      </c>
      <c r="H11" s="35">
        <v>20</v>
      </c>
      <c r="I11" s="7">
        <v>30000</v>
      </c>
      <c r="J11" s="14">
        <v>4386</v>
      </c>
      <c r="K11" s="15">
        <f>L11+3140+4571+411+3680+4703+3306+2055+6570</f>
        <v>32822</v>
      </c>
      <c r="L11" s="15">
        <f>3339+1047</f>
        <v>4386</v>
      </c>
      <c r="M11" s="15">
        <f t="shared" si="1"/>
        <v>4386</v>
      </c>
      <c r="N11" s="15">
        <v>0</v>
      </c>
      <c r="O11" s="58">
        <f t="shared" si="2"/>
        <v>0</v>
      </c>
      <c r="P11" s="39">
        <f t="shared" si="3"/>
        <v>20</v>
      </c>
      <c r="Q11" s="40">
        <f t="shared" si="4"/>
        <v>4</v>
      </c>
      <c r="R11" s="7"/>
      <c r="S11" s="6">
        <v>4</v>
      </c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0.83333333333333337</v>
      </c>
      <c r="AD11" s="10">
        <f t="shared" ref="AD11" si="10">AC11*AB11*(1-O11)</f>
        <v>0.83333333333333337</v>
      </c>
      <c r="AE11" s="36">
        <f t="shared" si="8"/>
        <v>0.49166666666666664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158</v>
      </c>
      <c r="F12" s="30" t="s">
        <v>132</v>
      </c>
      <c r="G12" s="33">
        <v>1</v>
      </c>
      <c r="H12" s="35">
        <v>20</v>
      </c>
      <c r="I12" s="7">
        <v>30000</v>
      </c>
      <c r="J12" s="14">
        <v>4641</v>
      </c>
      <c r="K12" s="15">
        <f>L12+3692+4770</f>
        <v>13103</v>
      </c>
      <c r="L12" s="15">
        <f>2420+2221</f>
        <v>4641</v>
      </c>
      <c r="M12" s="15">
        <f t="shared" si="1"/>
        <v>4641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si="7"/>
        <v>1</v>
      </c>
      <c r="AE12" s="36">
        <f t="shared" si="8"/>
        <v>0.49166666666666664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124</v>
      </c>
      <c r="D13" s="52" t="s">
        <v>117</v>
      </c>
      <c r="E13" s="53" t="s">
        <v>157</v>
      </c>
      <c r="F13" s="30" t="s">
        <v>127</v>
      </c>
      <c r="G13" s="33">
        <v>1</v>
      </c>
      <c r="H13" s="35">
        <v>24</v>
      </c>
      <c r="I13" s="7">
        <v>1000</v>
      </c>
      <c r="J13" s="14">
        <v>1513</v>
      </c>
      <c r="K13" s="15">
        <f>L13+1513</f>
        <v>1513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5"/>
        <v>0</v>
      </c>
      <c r="AC13" s="9">
        <f t="shared" si="6"/>
        <v>0</v>
      </c>
      <c r="AD13" s="10">
        <f t="shared" si="7"/>
        <v>0</v>
      </c>
      <c r="AE13" s="36">
        <f t="shared" si="8"/>
        <v>0.49166666666666664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140</v>
      </c>
      <c r="D14" s="52" t="s">
        <v>223</v>
      </c>
      <c r="E14" s="53" t="s">
        <v>224</v>
      </c>
      <c r="F14" s="30" t="s">
        <v>216</v>
      </c>
      <c r="G14" s="12">
        <v>1</v>
      </c>
      <c r="H14" s="13">
        <v>28</v>
      </c>
      <c r="I14" s="7">
        <v>1000</v>
      </c>
      <c r="J14" s="5">
        <v>1620</v>
      </c>
      <c r="K14" s="15">
        <f>L14</f>
        <v>1620</v>
      </c>
      <c r="L14" s="15">
        <f>810*2</f>
        <v>1620</v>
      </c>
      <c r="M14" s="15">
        <f t="shared" si="1"/>
        <v>1620</v>
      </c>
      <c r="N14" s="15">
        <v>0</v>
      </c>
      <c r="O14" s="58">
        <f t="shared" si="2"/>
        <v>0</v>
      </c>
      <c r="P14" s="39">
        <f t="shared" si="3"/>
        <v>12</v>
      </c>
      <c r="Q14" s="40">
        <f t="shared" si="4"/>
        <v>12</v>
      </c>
      <c r="R14" s="7"/>
      <c r="S14" s="6"/>
      <c r="T14" s="16"/>
      <c r="U14" s="16"/>
      <c r="V14" s="17"/>
      <c r="W14" s="5">
        <v>12</v>
      </c>
      <c r="X14" s="16"/>
      <c r="Y14" s="16"/>
      <c r="Z14" s="16"/>
      <c r="AA14" s="18"/>
      <c r="AB14" s="8">
        <f t="shared" si="5"/>
        <v>1</v>
      </c>
      <c r="AC14" s="9">
        <f t="shared" si="6"/>
        <v>0.5</v>
      </c>
      <c r="AD14" s="10">
        <f t="shared" si="7"/>
        <v>0.5</v>
      </c>
      <c r="AE14" s="36">
        <f t="shared" si="8"/>
        <v>0.49166666666666664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114</v>
      </c>
      <c r="D15" s="52" t="s">
        <v>135</v>
      </c>
      <c r="E15" s="53" t="s">
        <v>148</v>
      </c>
      <c r="F15" s="12" t="s">
        <v>134</v>
      </c>
      <c r="G15" s="12">
        <v>1</v>
      </c>
      <c r="H15" s="13">
        <v>24</v>
      </c>
      <c r="I15" s="31">
        <v>1700</v>
      </c>
      <c r="J15" s="14">
        <v>878</v>
      </c>
      <c r="K15" s="15">
        <f>L15+878</f>
        <v>878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>
        <v>24</v>
      </c>
      <c r="T15" s="16"/>
      <c r="U15" s="16"/>
      <c r="V15" s="17"/>
      <c r="W15" s="5"/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0.49166666666666664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122</v>
      </c>
      <c r="E16" s="53" t="s">
        <v>180</v>
      </c>
      <c r="F16" s="30" t="s">
        <v>123</v>
      </c>
      <c r="G16" s="12">
        <v>1</v>
      </c>
      <c r="H16" s="13">
        <v>28</v>
      </c>
      <c r="I16" s="7">
        <v>16000</v>
      </c>
      <c r="J16" s="14">
        <v>4158</v>
      </c>
      <c r="K16" s="15">
        <f>L16+4862</f>
        <v>9020</v>
      </c>
      <c r="L16" s="15">
        <f>1125+3033</f>
        <v>4158</v>
      </c>
      <c r="M16" s="15">
        <f t="shared" si="1"/>
        <v>4158</v>
      </c>
      <c r="N16" s="15">
        <v>0</v>
      </c>
      <c r="O16" s="58">
        <f t="shared" si="2"/>
        <v>0</v>
      </c>
      <c r="P16" s="39">
        <f t="shared" si="3"/>
        <v>20</v>
      </c>
      <c r="Q16" s="40">
        <f t="shared" si="4"/>
        <v>4</v>
      </c>
      <c r="R16" s="7"/>
      <c r="S16" s="6">
        <v>4</v>
      </c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0.83333333333333337</v>
      </c>
      <c r="AD16" s="10">
        <f t="shared" si="7"/>
        <v>0.83333333333333337</v>
      </c>
      <c r="AE16" s="36">
        <f t="shared" si="8"/>
        <v>0.49166666666666664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124</v>
      </c>
      <c r="D17" s="52" t="s">
        <v>135</v>
      </c>
      <c r="E17" s="53" t="s">
        <v>181</v>
      </c>
      <c r="F17" s="30" t="s">
        <v>134</v>
      </c>
      <c r="G17" s="33">
        <v>1</v>
      </c>
      <c r="H17" s="35">
        <v>20</v>
      </c>
      <c r="I17" s="7">
        <v>200</v>
      </c>
      <c r="J17" s="14">
        <v>342</v>
      </c>
      <c r="K17" s="15">
        <f>L17+342</f>
        <v>342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0.49166666666666664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125</v>
      </c>
      <c r="E18" s="53" t="s">
        <v>137</v>
      </c>
      <c r="F18" s="30" t="s">
        <v>127</v>
      </c>
      <c r="G18" s="33">
        <v>1</v>
      </c>
      <c r="H18" s="35">
        <v>24</v>
      </c>
      <c r="I18" s="7">
        <v>15000</v>
      </c>
      <c r="J18" s="5">
        <v>4431</v>
      </c>
      <c r="K18" s="15">
        <f>L18+2483+3339+2439+2756+5495</f>
        <v>20943</v>
      </c>
      <c r="L18" s="15">
        <f>2496+1935</f>
        <v>4431</v>
      </c>
      <c r="M18" s="15">
        <f t="shared" si="1"/>
        <v>4431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0.49166666666666664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117</v>
      </c>
      <c r="E19" s="53" t="s">
        <v>146</v>
      </c>
      <c r="F19" s="30" t="s">
        <v>131</v>
      </c>
      <c r="G19" s="33">
        <v>1</v>
      </c>
      <c r="H19" s="35">
        <v>24</v>
      </c>
      <c r="I19" s="7">
        <v>6000</v>
      </c>
      <c r="J19" s="5">
        <v>1200</v>
      </c>
      <c r="K19" s="15">
        <f>L19+2020+5191+1200</f>
        <v>8411</v>
      </c>
      <c r="L19" s="15"/>
      <c r="M19" s="15">
        <f t="shared" si="1"/>
        <v>0</v>
      </c>
      <c r="N19" s="15">
        <v>0</v>
      </c>
      <c r="O19" s="58" t="str">
        <f t="shared" si="2"/>
        <v>0</v>
      </c>
      <c r="P19" s="39" t="str">
        <f t="shared" si="3"/>
        <v>0</v>
      </c>
      <c r="Q19" s="40">
        <f t="shared" si="4"/>
        <v>24</v>
      </c>
      <c r="R19" s="7"/>
      <c r="S19" s="6"/>
      <c r="T19" s="16"/>
      <c r="U19" s="16"/>
      <c r="V19" s="17"/>
      <c r="W19" s="5">
        <v>24</v>
      </c>
      <c r="X19" s="16"/>
      <c r="Y19" s="16"/>
      <c r="Z19" s="16"/>
      <c r="AA19" s="18"/>
      <c r="AB19" s="8">
        <f t="shared" si="5"/>
        <v>0</v>
      </c>
      <c r="AC19" s="9">
        <f t="shared" si="6"/>
        <v>0</v>
      </c>
      <c r="AD19" s="10">
        <f t="shared" ref="AD19" si="11">AC19*AB19*(1-O19)</f>
        <v>0</v>
      </c>
      <c r="AE19" s="36">
        <f t="shared" si="8"/>
        <v>0.49166666666666664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162</v>
      </c>
      <c r="F20" s="12" t="s">
        <v>116</v>
      </c>
      <c r="G20" s="12">
        <v>4</v>
      </c>
      <c r="H20" s="35">
        <v>20</v>
      </c>
      <c r="I20" s="7">
        <v>500000</v>
      </c>
      <c r="J20" s="14">
        <v>33264</v>
      </c>
      <c r="K20" s="15">
        <f>L20+19752+41052</f>
        <v>94068</v>
      </c>
      <c r="L20" s="15">
        <f>8316*4</f>
        <v>33264</v>
      </c>
      <c r="M20" s="15">
        <f t="shared" si="1"/>
        <v>33264</v>
      </c>
      <c r="N20" s="15">
        <v>0</v>
      </c>
      <c r="O20" s="58">
        <f t="shared" si="2"/>
        <v>0</v>
      </c>
      <c r="P20" s="39">
        <f t="shared" si="3"/>
        <v>10</v>
      </c>
      <c r="Q20" s="40">
        <f t="shared" si="4"/>
        <v>14</v>
      </c>
      <c r="R20" s="7"/>
      <c r="S20" s="6"/>
      <c r="T20" s="16"/>
      <c r="U20" s="16"/>
      <c r="V20" s="17">
        <v>14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0.41666666666666669</v>
      </c>
      <c r="AD20" s="10">
        <f t="shared" si="7"/>
        <v>0.41666666666666669</v>
      </c>
      <c r="AE20" s="36">
        <f t="shared" si="8"/>
        <v>0.49166666666666664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2">SUM(I6:I20)</f>
        <v>728900</v>
      </c>
      <c r="J21" s="19">
        <f t="shared" si="12"/>
        <v>82986</v>
      </c>
      <c r="K21" s="20">
        <f t="shared" si="12"/>
        <v>323740</v>
      </c>
      <c r="L21" s="21">
        <f t="shared" si="12"/>
        <v>76992</v>
      </c>
      <c r="M21" s="20">
        <f t="shared" si="12"/>
        <v>76992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177</v>
      </c>
      <c r="Q21" s="43">
        <f t="shared" si="13"/>
        <v>183</v>
      </c>
      <c r="R21" s="23">
        <f t="shared" si="13"/>
        <v>24</v>
      </c>
      <c r="S21" s="24">
        <f t="shared" si="13"/>
        <v>34</v>
      </c>
      <c r="T21" s="24">
        <f t="shared" si="13"/>
        <v>3</v>
      </c>
      <c r="U21" s="24">
        <f t="shared" si="13"/>
        <v>0</v>
      </c>
      <c r="V21" s="25">
        <f t="shared" si="13"/>
        <v>38</v>
      </c>
      <c r="W21" s="26">
        <f t="shared" si="13"/>
        <v>84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0.6</v>
      </c>
      <c r="AC21" s="4">
        <f>SUM(AC6:AC20)/15</f>
        <v>0.49166666666666664</v>
      </c>
      <c r="AD21" s="4">
        <f>SUM(AD6:AD20)/15</f>
        <v>0.49166666666666664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225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232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151" t="s">
        <v>46</v>
      </c>
      <c r="D50" s="151" t="s">
        <v>47</v>
      </c>
      <c r="E50" s="151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151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09" t="s">
        <v>124</v>
      </c>
      <c r="B51" s="410"/>
      <c r="C51" s="153" t="s">
        <v>145</v>
      </c>
      <c r="D51" s="153" t="s">
        <v>122</v>
      </c>
      <c r="E51" s="153" t="s">
        <v>175</v>
      </c>
      <c r="F51" s="411" t="s">
        <v>126</v>
      </c>
      <c r="G51" s="412"/>
      <c r="H51" s="412"/>
      <c r="I51" s="412"/>
      <c r="J51" s="412"/>
      <c r="K51" s="412"/>
      <c r="L51" s="412"/>
      <c r="M51" s="413"/>
      <c r="N51" s="152" t="s">
        <v>124</v>
      </c>
      <c r="O51" s="157" t="s">
        <v>217</v>
      </c>
      <c r="P51" s="423" t="s">
        <v>233</v>
      </c>
      <c r="Q51" s="424"/>
      <c r="R51" s="410" t="s">
        <v>234</v>
      </c>
      <c r="S51" s="410"/>
      <c r="T51" s="410"/>
      <c r="U51" s="410"/>
      <c r="V51" s="400" t="s">
        <v>235</v>
      </c>
      <c r="W51" s="400"/>
      <c r="X51" s="400"/>
      <c r="Y51" s="400"/>
      <c r="Z51" s="400"/>
      <c r="AA51" s="400"/>
      <c r="AB51" s="400"/>
      <c r="AC51" s="400"/>
      <c r="AD51" s="414"/>
    </row>
    <row r="52" spans="1:32" ht="27" customHeight="1">
      <c r="A52" s="409" t="s">
        <v>124</v>
      </c>
      <c r="B52" s="410"/>
      <c r="C52" s="153" t="s">
        <v>165</v>
      </c>
      <c r="D52" s="153" t="s">
        <v>122</v>
      </c>
      <c r="E52" s="153" t="s">
        <v>180</v>
      </c>
      <c r="F52" s="411" t="s">
        <v>226</v>
      </c>
      <c r="G52" s="412"/>
      <c r="H52" s="412"/>
      <c r="I52" s="412"/>
      <c r="J52" s="412"/>
      <c r="K52" s="412"/>
      <c r="L52" s="412"/>
      <c r="M52" s="413"/>
      <c r="N52" s="152" t="s">
        <v>140</v>
      </c>
      <c r="O52" s="157" t="s">
        <v>204</v>
      </c>
      <c r="P52" s="423" t="s">
        <v>229</v>
      </c>
      <c r="Q52" s="424"/>
      <c r="R52" s="410" t="s">
        <v>236</v>
      </c>
      <c r="S52" s="410"/>
      <c r="T52" s="410"/>
      <c r="U52" s="410"/>
      <c r="V52" s="400" t="s">
        <v>120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124</v>
      </c>
      <c r="B53" s="410"/>
      <c r="C53" s="153" t="s">
        <v>189</v>
      </c>
      <c r="D53" s="153" t="s">
        <v>133</v>
      </c>
      <c r="E53" s="153" t="s">
        <v>147</v>
      </c>
      <c r="F53" s="411" t="s">
        <v>227</v>
      </c>
      <c r="G53" s="412"/>
      <c r="H53" s="412"/>
      <c r="I53" s="412"/>
      <c r="J53" s="412"/>
      <c r="K53" s="412"/>
      <c r="L53" s="412"/>
      <c r="M53" s="413"/>
      <c r="N53" s="152"/>
      <c r="O53" s="157"/>
      <c r="P53" s="423"/>
      <c r="Q53" s="424"/>
      <c r="R53" s="410"/>
      <c r="S53" s="410"/>
      <c r="T53" s="410"/>
      <c r="U53" s="410"/>
      <c r="V53" s="400"/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124</v>
      </c>
      <c r="B54" s="410"/>
      <c r="C54" s="153" t="s">
        <v>189</v>
      </c>
      <c r="D54" s="153" t="s">
        <v>221</v>
      </c>
      <c r="E54" s="153" t="s">
        <v>222</v>
      </c>
      <c r="F54" s="411" t="s">
        <v>120</v>
      </c>
      <c r="G54" s="412"/>
      <c r="H54" s="412"/>
      <c r="I54" s="412"/>
      <c r="J54" s="412"/>
      <c r="K54" s="412"/>
      <c r="L54" s="412"/>
      <c r="M54" s="413"/>
      <c r="N54" s="152"/>
      <c r="O54" s="157"/>
      <c r="P54" s="423"/>
      <c r="Q54" s="424"/>
      <c r="R54" s="410"/>
      <c r="S54" s="410"/>
      <c r="T54" s="410"/>
      <c r="U54" s="410"/>
      <c r="V54" s="400"/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 t="s">
        <v>142</v>
      </c>
      <c r="B55" s="410"/>
      <c r="C55" s="153" t="s">
        <v>138</v>
      </c>
      <c r="D55" s="153" t="s">
        <v>154</v>
      </c>
      <c r="E55" s="153" t="s">
        <v>155</v>
      </c>
      <c r="F55" s="411" t="s">
        <v>228</v>
      </c>
      <c r="G55" s="412"/>
      <c r="H55" s="412"/>
      <c r="I55" s="412"/>
      <c r="J55" s="412"/>
      <c r="K55" s="412"/>
      <c r="L55" s="412"/>
      <c r="M55" s="413"/>
      <c r="N55" s="152"/>
      <c r="O55" s="157"/>
      <c r="P55" s="423"/>
      <c r="Q55" s="424"/>
      <c r="R55" s="410"/>
      <c r="S55" s="410"/>
      <c r="T55" s="410"/>
      <c r="U55" s="410"/>
      <c r="V55" s="400"/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 t="s">
        <v>140</v>
      </c>
      <c r="B56" s="410"/>
      <c r="C56" s="153" t="s">
        <v>204</v>
      </c>
      <c r="D56" s="153" t="s">
        <v>229</v>
      </c>
      <c r="E56" s="153" t="s">
        <v>230</v>
      </c>
      <c r="F56" s="411" t="s">
        <v>231</v>
      </c>
      <c r="G56" s="412"/>
      <c r="H56" s="412"/>
      <c r="I56" s="412"/>
      <c r="J56" s="412"/>
      <c r="K56" s="412"/>
      <c r="L56" s="412"/>
      <c r="M56" s="413"/>
      <c r="N56" s="152"/>
      <c r="O56" s="157"/>
      <c r="P56" s="423"/>
      <c r="Q56" s="424"/>
      <c r="R56" s="410"/>
      <c r="S56" s="410"/>
      <c r="T56" s="410"/>
      <c r="U56" s="410"/>
      <c r="V56" s="400"/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 t="s">
        <v>140</v>
      </c>
      <c r="B57" s="410"/>
      <c r="C57" s="153" t="s">
        <v>191</v>
      </c>
      <c r="D57" s="153" t="s">
        <v>223</v>
      </c>
      <c r="E57" s="153" t="s">
        <v>224</v>
      </c>
      <c r="F57" s="411" t="s">
        <v>120</v>
      </c>
      <c r="G57" s="412"/>
      <c r="H57" s="412"/>
      <c r="I57" s="412"/>
      <c r="J57" s="412"/>
      <c r="K57" s="412"/>
      <c r="L57" s="412"/>
      <c r="M57" s="413"/>
      <c r="N57" s="152"/>
      <c r="O57" s="157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/>
      <c r="B58" s="410"/>
      <c r="C58" s="153"/>
      <c r="D58" s="153"/>
      <c r="E58" s="153"/>
      <c r="F58" s="411"/>
      <c r="G58" s="412"/>
      <c r="H58" s="412"/>
      <c r="I58" s="412"/>
      <c r="J58" s="412"/>
      <c r="K58" s="412"/>
      <c r="L58" s="412"/>
      <c r="M58" s="413"/>
      <c r="N58" s="152"/>
      <c r="O58" s="157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153"/>
      <c r="D59" s="153"/>
      <c r="E59" s="153"/>
      <c r="F59" s="411"/>
      <c r="G59" s="412"/>
      <c r="H59" s="412"/>
      <c r="I59" s="412"/>
      <c r="J59" s="412"/>
      <c r="K59" s="412"/>
      <c r="L59" s="412"/>
      <c r="M59" s="413"/>
      <c r="N59" s="152"/>
      <c r="O59" s="157"/>
      <c r="P59" s="410"/>
      <c r="Q59" s="410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  <c r="AF59" s="87">
        <f>8*3000</f>
        <v>24000</v>
      </c>
    </row>
    <row r="60" spans="1:32" ht="27" customHeight="1" thickBot="1">
      <c r="A60" s="415"/>
      <c r="B60" s="416"/>
      <c r="C60" s="154"/>
      <c r="D60" s="154"/>
      <c r="E60" s="154"/>
      <c r="F60" s="417"/>
      <c r="G60" s="418"/>
      <c r="H60" s="418"/>
      <c r="I60" s="418"/>
      <c r="J60" s="418"/>
      <c r="K60" s="418"/>
      <c r="L60" s="418"/>
      <c r="M60" s="419"/>
      <c r="N60" s="124"/>
      <c r="O60" s="114"/>
      <c r="P60" s="420"/>
      <c r="Q60" s="420"/>
      <c r="R60" s="420"/>
      <c r="S60" s="420"/>
      <c r="T60" s="420"/>
      <c r="U60" s="420"/>
      <c r="V60" s="421"/>
      <c r="W60" s="421"/>
      <c r="X60" s="421"/>
      <c r="Y60" s="421"/>
      <c r="Z60" s="421"/>
      <c r="AA60" s="421"/>
      <c r="AB60" s="421"/>
      <c r="AC60" s="421"/>
      <c r="AD60" s="422"/>
      <c r="AF60" s="87">
        <f>16*3000</f>
        <v>48000</v>
      </c>
    </row>
    <row r="61" spans="1:32" ht="27.75" thickBot="1">
      <c r="A61" s="407" t="s">
        <v>237</v>
      </c>
      <c r="B61" s="407"/>
      <c r="C61" s="407"/>
      <c r="D61" s="407"/>
      <c r="E61" s="40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08" t="s">
        <v>113</v>
      </c>
      <c r="B62" s="405"/>
      <c r="C62" s="155" t="s">
        <v>2</v>
      </c>
      <c r="D62" s="155" t="s">
        <v>37</v>
      </c>
      <c r="E62" s="155" t="s">
        <v>3</v>
      </c>
      <c r="F62" s="405" t="s">
        <v>110</v>
      </c>
      <c r="G62" s="405"/>
      <c r="H62" s="405"/>
      <c r="I62" s="405"/>
      <c r="J62" s="405"/>
      <c r="K62" s="405" t="s">
        <v>39</v>
      </c>
      <c r="L62" s="405"/>
      <c r="M62" s="155" t="s">
        <v>40</v>
      </c>
      <c r="N62" s="405" t="s">
        <v>41</v>
      </c>
      <c r="O62" s="405"/>
      <c r="P62" s="402" t="s">
        <v>42</v>
      </c>
      <c r="Q62" s="404"/>
      <c r="R62" s="402" t="s">
        <v>43</v>
      </c>
      <c r="S62" s="403"/>
      <c r="T62" s="403"/>
      <c r="U62" s="403"/>
      <c r="V62" s="403"/>
      <c r="W62" s="403"/>
      <c r="X62" s="403"/>
      <c r="Y62" s="403"/>
      <c r="Z62" s="403"/>
      <c r="AA62" s="404"/>
      <c r="AB62" s="405" t="s">
        <v>44</v>
      </c>
      <c r="AC62" s="405"/>
      <c r="AD62" s="406"/>
      <c r="AF62" s="87">
        <f>SUM(AF59:AF61)</f>
        <v>96000</v>
      </c>
    </row>
    <row r="63" spans="1:32" ht="25.5" customHeight="1">
      <c r="A63" s="396">
        <v>1</v>
      </c>
      <c r="B63" s="397"/>
      <c r="C63" s="117" t="s">
        <v>114</v>
      </c>
      <c r="D63" s="159"/>
      <c r="E63" s="156" t="s">
        <v>238</v>
      </c>
      <c r="F63" s="398" t="s">
        <v>239</v>
      </c>
      <c r="G63" s="390"/>
      <c r="H63" s="390"/>
      <c r="I63" s="390"/>
      <c r="J63" s="390"/>
      <c r="K63" s="390" t="s">
        <v>134</v>
      </c>
      <c r="L63" s="390"/>
      <c r="M63" s="51" t="s">
        <v>197</v>
      </c>
      <c r="N63" s="401" t="s">
        <v>143</v>
      </c>
      <c r="O63" s="401"/>
      <c r="P63" s="399">
        <v>200</v>
      </c>
      <c r="Q63" s="399"/>
      <c r="R63" s="400"/>
      <c r="S63" s="400"/>
      <c r="T63" s="400"/>
      <c r="U63" s="400"/>
      <c r="V63" s="400"/>
      <c r="W63" s="400"/>
      <c r="X63" s="400"/>
      <c r="Y63" s="400"/>
      <c r="Z63" s="400"/>
      <c r="AA63" s="400"/>
      <c r="AB63" s="390"/>
      <c r="AC63" s="390"/>
      <c r="AD63" s="391"/>
      <c r="AF63" s="50"/>
    </row>
    <row r="64" spans="1:32" ht="25.5" customHeight="1">
      <c r="A64" s="396">
        <v>2</v>
      </c>
      <c r="B64" s="397"/>
      <c r="C64" s="117"/>
      <c r="D64" s="159"/>
      <c r="E64" s="156"/>
      <c r="F64" s="398"/>
      <c r="G64" s="390"/>
      <c r="H64" s="390"/>
      <c r="I64" s="390"/>
      <c r="J64" s="390"/>
      <c r="K64" s="390"/>
      <c r="L64" s="390"/>
      <c r="M64" s="51"/>
      <c r="N64" s="401"/>
      <c r="O64" s="401"/>
      <c r="P64" s="399"/>
      <c r="Q64" s="399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3</v>
      </c>
      <c r="B65" s="397"/>
      <c r="C65" s="117"/>
      <c r="D65" s="159"/>
      <c r="E65" s="156"/>
      <c r="F65" s="398"/>
      <c r="G65" s="390"/>
      <c r="H65" s="390"/>
      <c r="I65" s="390"/>
      <c r="J65" s="390"/>
      <c r="K65" s="390"/>
      <c r="L65" s="390"/>
      <c r="M65" s="51"/>
      <c r="N65" s="401"/>
      <c r="O65" s="401"/>
      <c r="P65" s="399"/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4</v>
      </c>
      <c r="B66" s="397"/>
      <c r="C66" s="117"/>
      <c r="D66" s="159"/>
      <c r="E66" s="156"/>
      <c r="F66" s="398"/>
      <c r="G66" s="390"/>
      <c r="H66" s="390"/>
      <c r="I66" s="390"/>
      <c r="J66" s="390"/>
      <c r="K66" s="390"/>
      <c r="L66" s="390"/>
      <c r="M66" s="51"/>
      <c r="N66" s="401"/>
      <c r="O66" s="401"/>
      <c r="P66" s="399"/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5</v>
      </c>
      <c r="B67" s="397"/>
      <c r="C67" s="117"/>
      <c r="D67" s="159"/>
      <c r="E67" s="156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6</v>
      </c>
      <c r="B68" s="397"/>
      <c r="C68" s="117"/>
      <c r="D68" s="159"/>
      <c r="E68" s="156"/>
      <c r="F68" s="398"/>
      <c r="G68" s="390"/>
      <c r="H68" s="390"/>
      <c r="I68" s="390"/>
      <c r="J68" s="390"/>
      <c r="K68" s="390"/>
      <c r="L68" s="390"/>
      <c r="M68" s="51"/>
      <c r="N68" s="390"/>
      <c r="O68" s="390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7</v>
      </c>
      <c r="B69" s="397"/>
      <c r="C69" s="117"/>
      <c r="D69" s="159"/>
      <c r="E69" s="156"/>
      <c r="F69" s="398"/>
      <c r="G69" s="390"/>
      <c r="H69" s="390"/>
      <c r="I69" s="390"/>
      <c r="J69" s="390"/>
      <c r="K69" s="390"/>
      <c r="L69" s="390"/>
      <c r="M69" s="51"/>
      <c r="N69" s="401"/>
      <c r="O69" s="401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8</v>
      </c>
      <c r="B70" s="397"/>
      <c r="C70" s="117"/>
      <c r="D70" s="159"/>
      <c r="E70" s="156"/>
      <c r="F70" s="398"/>
      <c r="G70" s="390"/>
      <c r="H70" s="390"/>
      <c r="I70" s="390"/>
      <c r="J70" s="390"/>
      <c r="K70" s="390"/>
      <c r="L70" s="390"/>
      <c r="M70" s="51"/>
      <c r="N70" s="390"/>
      <c r="O70" s="390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6.25" customHeight="1" thickBot="1">
      <c r="A71" s="370" t="s">
        <v>240</v>
      </c>
      <c r="B71" s="370"/>
      <c r="C71" s="370"/>
      <c r="D71" s="370"/>
      <c r="E71" s="370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371" t="s">
        <v>113</v>
      </c>
      <c r="B72" s="372"/>
      <c r="C72" s="158" t="s">
        <v>2</v>
      </c>
      <c r="D72" s="158" t="s">
        <v>37</v>
      </c>
      <c r="E72" s="158" t="s">
        <v>3</v>
      </c>
      <c r="F72" s="372" t="s">
        <v>38</v>
      </c>
      <c r="G72" s="372"/>
      <c r="H72" s="372"/>
      <c r="I72" s="372"/>
      <c r="J72" s="372"/>
      <c r="K72" s="392" t="s">
        <v>58</v>
      </c>
      <c r="L72" s="393"/>
      <c r="M72" s="393"/>
      <c r="N72" s="393"/>
      <c r="O72" s="393"/>
      <c r="P72" s="393"/>
      <c r="Q72" s="393"/>
      <c r="R72" s="393"/>
      <c r="S72" s="394"/>
      <c r="T72" s="372" t="s">
        <v>49</v>
      </c>
      <c r="U72" s="372"/>
      <c r="V72" s="392" t="s">
        <v>50</v>
      </c>
      <c r="W72" s="394"/>
      <c r="X72" s="393" t="s">
        <v>51</v>
      </c>
      <c r="Y72" s="393"/>
      <c r="Z72" s="393"/>
      <c r="AA72" s="393"/>
      <c r="AB72" s="393"/>
      <c r="AC72" s="393"/>
      <c r="AD72" s="395"/>
      <c r="AF72" s="50"/>
    </row>
    <row r="73" spans="1:32" ht="33.75" customHeight="1">
      <c r="A73" s="364">
        <v>1</v>
      </c>
      <c r="B73" s="365"/>
      <c r="C73" s="160" t="s">
        <v>114</v>
      </c>
      <c r="D73" s="160"/>
      <c r="E73" s="65" t="s">
        <v>119</v>
      </c>
      <c r="F73" s="379" t="s">
        <v>118</v>
      </c>
      <c r="G73" s="380"/>
      <c r="H73" s="380"/>
      <c r="I73" s="380"/>
      <c r="J73" s="381"/>
      <c r="K73" s="382" t="s">
        <v>156</v>
      </c>
      <c r="L73" s="383"/>
      <c r="M73" s="383"/>
      <c r="N73" s="383"/>
      <c r="O73" s="383"/>
      <c r="P73" s="383"/>
      <c r="Q73" s="383"/>
      <c r="R73" s="383"/>
      <c r="S73" s="384"/>
      <c r="T73" s="385">
        <v>43675</v>
      </c>
      <c r="U73" s="386"/>
      <c r="V73" s="387"/>
      <c r="W73" s="387"/>
      <c r="X73" s="388"/>
      <c r="Y73" s="388"/>
      <c r="Z73" s="388"/>
      <c r="AA73" s="388"/>
      <c r="AB73" s="388"/>
      <c r="AC73" s="388"/>
      <c r="AD73" s="389"/>
      <c r="AF73" s="50"/>
    </row>
    <row r="74" spans="1:32" ht="30" customHeight="1">
      <c r="A74" s="357">
        <f>A73+1</f>
        <v>2</v>
      </c>
      <c r="B74" s="358"/>
      <c r="C74" s="159"/>
      <c r="D74" s="159"/>
      <c r="E74" s="32"/>
      <c r="F74" s="358"/>
      <c r="G74" s="358"/>
      <c r="H74" s="358"/>
      <c r="I74" s="358"/>
      <c r="J74" s="358"/>
      <c r="K74" s="373"/>
      <c r="L74" s="374"/>
      <c r="M74" s="374"/>
      <c r="N74" s="374"/>
      <c r="O74" s="374"/>
      <c r="P74" s="374"/>
      <c r="Q74" s="374"/>
      <c r="R74" s="374"/>
      <c r="S74" s="375"/>
      <c r="T74" s="376"/>
      <c r="U74" s="376"/>
      <c r="V74" s="376"/>
      <c r="W74" s="376"/>
      <c r="X74" s="377"/>
      <c r="Y74" s="377"/>
      <c r="Z74" s="377"/>
      <c r="AA74" s="377"/>
      <c r="AB74" s="377"/>
      <c r="AC74" s="377"/>
      <c r="AD74" s="378"/>
      <c r="AF74" s="50"/>
    </row>
    <row r="75" spans="1:32" ht="30" customHeight="1">
      <c r="A75" s="357">
        <f t="shared" ref="A75:A81" si="14">A74+1</f>
        <v>3</v>
      </c>
      <c r="B75" s="358"/>
      <c r="C75" s="159"/>
      <c r="D75" s="159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si="14"/>
        <v>4</v>
      </c>
      <c r="B76" s="358"/>
      <c r="C76" s="159"/>
      <c r="D76" s="159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14"/>
        <v>5</v>
      </c>
      <c r="B77" s="358"/>
      <c r="C77" s="159"/>
      <c r="D77" s="159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14"/>
        <v>6</v>
      </c>
      <c r="B78" s="358"/>
      <c r="C78" s="159"/>
      <c r="D78" s="159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14"/>
        <v>7</v>
      </c>
      <c r="B79" s="358"/>
      <c r="C79" s="159"/>
      <c r="D79" s="159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14"/>
        <v>8</v>
      </c>
      <c r="B80" s="358"/>
      <c r="C80" s="159"/>
      <c r="D80" s="159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14"/>
        <v>9</v>
      </c>
      <c r="B81" s="358"/>
      <c r="C81" s="159"/>
      <c r="D81" s="159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6" thickBot="1">
      <c r="A82" s="370" t="s">
        <v>241</v>
      </c>
      <c r="B82" s="370"/>
      <c r="C82" s="370"/>
      <c r="D82" s="370"/>
      <c r="E82" s="370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371" t="s">
        <v>113</v>
      </c>
      <c r="B83" s="372"/>
      <c r="C83" s="362" t="s">
        <v>52</v>
      </c>
      <c r="D83" s="362"/>
      <c r="E83" s="362" t="s">
        <v>53</v>
      </c>
      <c r="F83" s="362"/>
      <c r="G83" s="362"/>
      <c r="H83" s="362"/>
      <c r="I83" s="362"/>
      <c r="J83" s="362"/>
      <c r="K83" s="362" t="s">
        <v>54</v>
      </c>
      <c r="L83" s="362"/>
      <c r="M83" s="362"/>
      <c r="N83" s="362"/>
      <c r="O83" s="362"/>
      <c r="P83" s="362"/>
      <c r="Q83" s="362"/>
      <c r="R83" s="362"/>
      <c r="S83" s="362"/>
      <c r="T83" s="362" t="s">
        <v>55</v>
      </c>
      <c r="U83" s="362"/>
      <c r="V83" s="362" t="s">
        <v>56</v>
      </c>
      <c r="W83" s="362"/>
      <c r="X83" s="362"/>
      <c r="Y83" s="362" t="s">
        <v>51</v>
      </c>
      <c r="Z83" s="362"/>
      <c r="AA83" s="362"/>
      <c r="AB83" s="362"/>
      <c r="AC83" s="362"/>
      <c r="AD83" s="363"/>
      <c r="AF83" s="50"/>
    </row>
    <row r="84" spans="1:32" ht="30.75" customHeight="1">
      <c r="A84" s="364">
        <v>1</v>
      </c>
      <c r="B84" s="365"/>
      <c r="C84" s="366"/>
      <c r="D84" s="366"/>
      <c r="E84" s="366"/>
      <c r="F84" s="366"/>
      <c r="G84" s="366"/>
      <c r="H84" s="366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  <c r="U84" s="366"/>
      <c r="V84" s="367"/>
      <c r="W84" s="367"/>
      <c r="X84" s="367"/>
      <c r="Y84" s="368"/>
      <c r="Z84" s="368"/>
      <c r="AA84" s="368"/>
      <c r="AB84" s="368"/>
      <c r="AC84" s="368"/>
      <c r="AD84" s="369"/>
      <c r="AF84" s="50"/>
    </row>
    <row r="85" spans="1:32" ht="30.75" customHeight="1">
      <c r="A85" s="357">
        <v>2</v>
      </c>
      <c r="B85" s="358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60"/>
      <c r="U85" s="360"/>
      <c r="V85" s="361"/>
      <c r="W85" s="361"/>
      <c r="X85" s="361"/>
      <c r="Y85" s="350"/>
      <c r="Z85" s="350"/>
      <c r="AA85" s="350"/>
      <c r="AB85" s="350"/>
      <c r="AC85" s="350"/>
      <c r="AD85" s="351"/>
      <c r="AF85" s="50"/>
    </row>
    <row r="86" spans="1:32" ht="30.75" customHeight="1" thickBot="1">
      <c r="A86" s="352">
        <v>3</v>
      </c>
      <c r="B86" s="353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5"/>
      <c r="Z86" s="355"/>
      <c r="AA86" s="355"/>
      <c r="AB86" s="355"/>
      <c r="AC86" s="355"/>
      <c r="AD86" s="356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B2941-3175-4C80-9957-C41FE1895D14}">
  <sheetPr codeName="Sheet5"/>
  <dimension ref="A1:AF86"/>
  <sheetViews>
    <sheetView zoomScale="72" zoomScaleNormal="72" zoomScaleSheetLayoutView="70" workbookViewId="0">
      <selection activeCell="F79" sqref="F79:J79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242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171" t="s">
        <v>17</v>
      </c>
      <c r="L5" s="171" t="s">
        <v>18</v>
      </c>
      <c r="M5" s="171" t="s">
        <v>19</v>
      </c>
      <c r="N5" s="17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0.46666666666666667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0.46666666666666667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15000</v>
      </c>
      <c r="J8" s="14">
        <v>4051</v>
      </c>
      <c r="K8" s="15">
        <f>L8+3610+4566</f>
        <v>12227</v>
      </c>
      <c r="L8" s="15">
        <f>1566+2485</f>
        <v>4051</v>
      </c>
      <c r="M8" s="15">
        <f t="shared" si="1"/>
        <v>4051</v>
      </c>
      <c r="N8" s="15">
        <v>0</v>
      </c>
      <c r="O8" s="58">
        <f t="shared" si="2"/>
        <v>0</v>
      </c>
      <c r="P8" s="39">
        <f t="shared" si="3"/>
        <v>22</v>
      </c>
      <c r="Q8" s="40">
        <f t="shared" si="4"/>
        <v>2</v>
      </c>
      <c r="R8" s="7"/>
      <c r="S8" s="6">
        <v>2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0.91666666666666663</v>
      </c>
      <c r="AD8" s="10">
        <f t="shared" si="7"/>
        <v>0.91666666666666663</v>
      </c>
      <c r="AE8" s="36">
        <f t="shared" si="8"/>
        <v>0.46666666666666667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124</v>
      </c>
      <c r="D9" s="52" t="s">
        <v>221</v>
      </c>
      <c r="E9" s="53" t="s">
        <v>222</v>
      </c>
      <c r="F9" s="30" t="s">
        <v>132</v>
      </c>
      <c r="G9" s="33">
        <v>1</v>
      </c>
      <c r="H9" s="35">
        <v>24</v>
      </c>
      <c r="I9" s="7">
        <v>2000</v>
      </c>
      <c r="J9" s="14">
        <v>5099</v>
      </c>
      <c r="K9" s="15">
        <f>L9+4172</f>
        <v>9271</v>
      </c>
      <c r="L9" s="15">
        <f>2536+2563</f>
        <v>5099</v>
      </c>
      <c r="M9" s="15">
        <f t="shared" si="1"/>
        <v>5099</v>
      </c>
      <c r="N9" s="15">
        <v>0</v>
      </c>
      <c r="O9" s="58">
        <f t="shared" si="2"/>
        <v>0</v>
      </c>
      <c r="P9" s="39">
        <f t="shared" si="3"/>
        <v>24</v>
      </c>
      <c r="Q9" s="40">
        <f t="shared" si="4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1</v>
      </c>
      <c r="AD9" s="10">
        <f t="shared" si="7"/>
        <v>1</v>
      </c>
      <c r="AE9" s="36">
        <f t="shared" si="8"/>
        <v>0.46666666666666667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142</v>
      </c>
      <c r="D10" s="52" t="s">
        <v>152</v>
      </c>
      <c r="E10" s="53" t="s">
        <v>150</v>
      </c>
      <c r="F10" s="30" t="s">
        <v>121</v>
      </c>
      <c r="G10" s="33">
        <v>2</v>
      </c>
      <c r="H10" s="35">
        <v>24</v>
      </c>
      <c r="I10" s="7">
        <v>90000</v>
      </c>
      <c r="J10" s="5">
        <v>14620</v>
      </c>
      <c r="K10" s="15">
        <f>L10+1714+13656+15988+16420+5830+12022+8590+10992+16158+15754</f>
        <v>131744</v>
      </c>
      <c r="L10" s="15">
        <f>3771*2+3539*2</f>
        <v>14620</v>
      </c>
      <c r="M10" s="15">
        <f t="shared" si="1"/>
        <v>14620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0.46666666666666667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142</v>
      </c>
      <c r="D11" s="52" t="s">
        <v>154</v>
      </c>
      <c r="E11" s="53" t="s">
        <v>155</v>
      </c>
      <c r="F11" s="30" t="s">
        <v>121</v>
      </c>
      <c r="G11" s="33" t="s">
        <v>153</v>
      </c>
      <c r="H11" s="35">
        <v>20</v>
      </c>
      <c r="I11" s="7">
        <v>30000</v>
      </c>
      <c r="J11" s="14">
        <v>4386</v>
      </c>
      <c r="K11" s="15">
        <f>L11+3140+4571+411+3680+4703+3306+2055+6570+4386</f>
        <v>32822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ref="AD11" si="10">AC11*AB11*(1-O11)</f>
        <v>0</v>
      </c>
      <c r="AE11" s="36">
        <f t="shared" si="8"/>
        <v>0.46666666666666667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158</v>
      </c>
      <c r="F12" s="30" t="s">
        <v>132</v>
      </c>
      <c r="G12" s="33">
        <v>1</v>
      </c>
      <c r="H12" s="35">
        <v>20</v>
      </c>
      <c r="I12" s="7">
        <v>30000</v>
      </c>
      <c r="J12" s="14">
        <v>4418</v>
      </c>
      <c r="K12" s="15">
        <f>L12+3692+4770+4641</f>
        <v>17521</v>
      </c>
      <c r="L12" s="15">
        <f>2224+2194</f>
        <v>4418</v>
      </c>
      <c r="M12" s="15">
        <f t="shared" si="1"/>
        <v>4418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si="7"/>
        <v>1</v>
      </c>
      <c r="AE12" s="36">
        <f t="shared" si="8"/>
        <v>0.46666666666666667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140</v>
      </c>
      <c r="D13" s="52" t="s">
        <v>229</v>
      </c>
      <c r="E13" s="53" t="s">
        <v>243</v>
      </c>
      <c r="F13" s="30" t="s">
        <v>131</v>
      </c>
      <c r="G13" s="33">
        <v>1</v>
      </c>
      <c r="H13" s="35">
        <v>24</v>
      </c>
      <c r="I13" s="7">
        <v>2000</v>
      </c>
      <c r="J13" s="14">
        <v>2151</v>
      </c>
      <c r="K13" s="15">
        <f>L13</f>
        <v>2151</v>
      </c>
      <c r="L13" s="15">
        <f>1071+1080</f>
        <v>2151</v>
      </c>
      <c r="M13" s="15">
        <f t="shared" si="1"/>
        <v>2151</v>
      </c>
      <c r="N13" s="15">
        <v>0</v>
      </c>
      <c r="O13" s="58">
        <f t="shared" si="2"/>
        <v>0</v>
      </c>
      <c r="P13" s="39">
        <f t="shared" si="3"/>
        <v>19</v>
      </c>
      <c r="Q13" s="40">
        <f t="shared" si="4"/>
        <v>5</v>
      </c>
      <c r="R13" s="7"/>
      <c r="S13" s="6">
        <v>5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0.79166666666666663</v>
      </c>
      <c r="AD13" s="10">
        <f t="shared" si="7"/>
        <v>0.79166666666666663</v>
      </c>
      <c r="AE13" s="36">
        <f t="shared" si="8"/>
        <v>0.46666666666666667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140</v>
      </c>
      <c r="D14" s="52" t="s">
        <v>223</v>
      </c>
      <c r="E14" s="53" t="s">
        <v>224</v>
      </c>
      <c r="F14" s="30" t="s">
        <v>216</v>
      </c>
      <c r="G14" s="12">
        <v>1</v>
      </c>
      <c r="H14" s="13">
        <v>28</v>
      </c>
      <c r="I14" s="7">
        <v>1000</v>
      </c>
      <c r="J14" s="5">
        <v>1620</v>
      </c>
      <c r="K14" s="15">
        <f>L14+1620</f>
        <v>1620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0.46666666666666667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114</v>
      </c>
      <c r="D15" s="52" t="s">
        <v>135</v>
      </c>
      <c r="E15" s="53" t="s">
        <v>148</v>
      </c>
      <c r="F15" s="12" t="s">
        <v>134</v>
      </c>
      <c r="G15" s="12">
        <v>1</v>
      </c>
      <c r="H15" s="13">
        <v>24</v>
      </c>
      <c r="I15" s="31">
        <v>1700</v>
      </c>
      <c r="J15" s="14">
        <v>878</v>
      </c>
      <c r="K15" s="15">
        <f>L15+878</f>
        <v>878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>
        <v>24</v>
      </c>
      <c r="T15" s="16"/>
      <c r="U15" s="16"/>
      <c r="V15" s="17"/>
      <c r="W15" s="5"/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0.46666666666666667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122</v>
      </c>
      <c r="E16" s="53" t="s">
        <v>180</v>
      </c>
      <c r="F16" s="30" t="s">
        <v>123</v>
      </c>
      <c r="G16" s="12">
        <v>1</v>
      </c>
      <c r="H16" s="13">
        <v>28</v>
      </c>
      <c r="I16" s="7">
        <v>16000</v>
      </c>
      <c r="J16" s="14">
        <v>2876</v>
      </c>
      <c r="K16" s="15">
        <f>L16+4862+4158</f>
        <v>11896</v>
      </c>
      <c r="L16" s="15">
        <f>2799+77</f>
        <v>2876</v>
      </c>
      <c r="M16" s="15">
        <f t="shared" si="1"/>
        <v>2876</v>
      </c>
      <c r="N16" s="15">
        <v>0</v>
      </c>
      <c r="O16" s="58">
        <f t="shared" si="2"/>
        <v>0</v>
      </c>
      <c r="P16" s="39">
        <f t="shared" si="3"/>
        <v>14</v>
      </c>
      <c r="Q16" s="40">
        <f t="shared" si="4"/>
        <v>10</v>
      </c>
      <c r="R16" s="7"/>
      <c r="S16" s="6">
        <v>10</v>
      </c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0.58333333333333337</v>
      </c>
      <c r="AD16" s="10">
        <f t="shared" si="7"/>
        <v>0.58333333333333337</v>
      </c>
      <c r="AE16" s="36">
        <f t="shared" si="8"/>
        <v>0.46666666666666667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124</v>
      </c>
      <c r="D17" s="52" t="s">
        <v>135</v>
      </c>
      <c r="E17" s="53" t="s">
        <v>244</v>
      </c>
      <c r="F17" s="30" t="s">
        <v>134</v>
      </c>
      <c r="G17" s="33">
        <v>1</v>
      </c>
      <c r="H17" s="35">
        <v>20</v>
      </c>
      <c r="I17" s="7">
        <v>700</v>
      </c>
      <c r="J17" s="14">
        <v>1197</v>
      </c>
      <c r="K17" s="15">
        <f>L17</f>
        <v>1197</v>
      </c>
      <c r="L17" s="15">
        <v>1197</v>
      </c>
      <c r="M17" s="15">
        <f t="shared" si="1"/>
        <v>1197</v>
      </c>
      <c r="N17" s="15">
        <v>0</v>
      </c>
      <c r="O17" s="58">
        <f t="shared" si="2"/>
        <v>0</v>
      </c>
      <c r="P17" s="39">
        <f t="shared" si="3"/>
        <v>7</v>
      </c>
      <c r="Q17" s="40">
        <f t="shared" si="4"/>
        <v>17</v>
      </c>
      <c r="R17" s="7"/>
      <c r="S17" s="6">
        <v>7</v>
      </c>
      <c r="T17" s="16">
        <v>10</v>
      </c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0.29166666666666669</v>
      </c>
      <c r="AD17" s="10">
        <f t="shared" si="7"/>
        <v>0.29166666666666669</v>
      </c>
      <c r="AE17" s="36">
        <f t="shared" si="8"/>
        <v>0.46666666666666667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114</v>
      </c>
      <c r="D18" s="52" t="s">
        <v>125</v>
      </c>
      <c r="E18" s="53" t="s">
        <v>137</v>
      </c>
      <c r="F18" s="30" t="s">
        <v>127</v>
      </c>
      <c r="G18" s="33">
        <v>1</v>
      </c>
      <c r="H18" s="35">
        <v>24</v>
      </c>
      <c r="I18" s="7">
        <v>15000</v>
      </c>
      <c r="J18" s="5">
        <v>4431</v>
      </c>
      <c r="K18" s="15">
        <f>L18+2483+3339+2439+2756+5495+4431</f>
        <v>20943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>AC18*AB18*(1-O18)</f>
        <v>0</v>
      </c>
      <c r="AE18" s="36">
        <f t="shared" si="8"/>
        <v>0.46666666666666667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124</v>
      </c>
      <c r="D19" s="52" t="s">
        <v>245</v>
      </c>
      <c r="E19" s="53" t="s">
        <v>246</v>
      </c>
      <c r="F19" s="30" t="s">
        <v>247</v>
      </c>
      <c r="G19" s="33">
        <v>1</v>
      </c>
      <c r="H19" s="35">
        <v>24</v>
      </c>
      <c r="I19" s="7">
        <v>10000</v>
      </c>
      <c r="J19" s="5">
        <v>4560</v>
      </c>
      <c r="K19" s="15">
        <f>L19</f>
        <v>4560</v>
      </c>
      <c r="L19" s="15">
        <f>2094+2466</f>
        <v>4560</v>
      </c>
      <c r="M19" s="15">
        <f t="shared" si="1"/>
        <v>4560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 t="shared" ref="AD19" si="11">AC19*AB19*(1-O19)</f>
        <v>1</v>
      </c>
      <c r="AE19" s="36">
        <f t="shared" si="8"/>
        <v>0.46666666666666667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162</v>
      </c>
      <c r="F20" s="12" t="s">
        <v>116</v>
      </c>
      <c r="G20" s="12">
        <v>4</v>
      </c>
      <c r="H20" s="35">
        <v>20</v>
      </c>
      <c r="I20" s="7">
        <v>500000</v>
      </c>
      <c r="J20" s="14">
        <v>35472</v>
      </c>
      <c r="K20" s="15">
        <f>L20+19752+41052+33264</f>
        <v>129540</v>
      </c>
      <c r="L20" s="15">
        <f>8868*4</f>
        <v>35472</v>
      </c>
      <c r="M20" s="15">
        <f t="shared" si="1"/>
        <v>35472</v>
      </c>
      <c r="N20" s="15">
        <v>0</v>
      </c>
      <c r="O20" s="58">
        <f t="shared" si="2"/>
        <v>0</v>
      </c>
      <c r="P20" s="39">
        <f t="shared" si="3"/>
        <v>10</v>
      </c>
      <c r="Q20" s="40">
        <f t="shared" si="4"/>
        <v>14</v>
      </c>
      <c r="R20" s="7"/>
      <c r="S20" s="6"/>
      <c r="T20" s="16"/>
      <c r="U20" s="16"/>
      <c r="V20" s="17">
        <v>14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0.41666666666666669</v>
      </c>
      <c r="AD20" s="10">
        <f t="shared" si="7"/>
        <v>0.41666666666666669</v>
      </c>
      <c r="AE20" s="36">
        <f t="shared" si="8"/>
        <v>0.46666666666666667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2">SUM(I6:I20)</f>
        <v>734400</v>
      </c>
      <c r="J21" s="19">
        <f t="shared" si="12"/>
        <v>87820</v>
      </c>
      <c r="K21" s="20">
        <f t="shared" si="12"/>
        <v>387918</v>
      </c>
      <c r="L21" s="21">
        <f t="shared" si="12"/>
        <v>74444</v>
      </c>
      <c r="M21" s="20">
        <f t="shared" si="12"/>
        <v>74444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168</v>
      </c>
      <c r="Q21" s="43">
        <f t="shared" si="13"/>
        <v>192</v>
      </c>
      <c r="R21" s="23">
        <f t="shared" si="13"/>
        <v>24</v>
      </c>
      <c r="S21" s="24">
        <f t="shared" si="13"/>
        <v>72</v>
      </c>
      <c r="T21" s="24">
        <f t="shared" si="13"/>
        <v>10</v>
      </c>
      <c r="U21" s="24">
        <f t="shared" si="13"/>
        <v>0</v>
      </c>
      <c r="V21" s="25">
        <f t="shared" si="13"/>
        <v>38</v>
      </c>
      <c r="W21" s="26">
        <f t="shared" si="13"/>
        <v>48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0.6</v>
      </c>
      <c r="AC21" s="4">
        <f>SUM(AC6:AC20)/15</f>
        <v>0.46666666666666667</v>
      </c>
      <c r="AD21" s="4">
        <f>SUM(AD6:AD20)/15</f>
        <v>0.46666666666666667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256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257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170" t="s">
        <v>46</v>
      </c>
      <c r="D50" s="170" t="s">
        <v>47</v>
      </c>
      <c r="E50" s="170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170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09" t="s">
        <v>124</v>
      </c>
      <c r="B51" s="410"/>
      <c r="C51" s="168" t="s">
        <v>145</v>
      </c>
      <c r="D51" s="168" t="s">
        <v>122</v>
      </c>
      <c r="E51" s="168" t="s">
        <v>175</v>
      </c>
      <c r="F51" s="411" t="s">
        <v>248</v>
      </c>
      <c r="G51" s="412"/>
      <c r="H51" s="412"/>
      <c r="I51" s="412"/>
      <c r="J51" s="412"/>
      <c r="K51" s="412"/>
      <c r="L51" s="412"/>
      <c r="M51" s="413"/>
      <c r="N51" s="167" t="s">
        <v>124</v>
      </c>
      <c r="O51" s="165" t="s">
        <v>145</v>
      </c>
      <c r="P51" s="423" t="s">
        <v>122</v>
      </c>
      <c r="Q51" s="424"/>
      <c r="R51" s="410" t="s">
        <v>175</v>
      </c>
      <c r="S51" s="410"/>
      <c r="T51" s="410"/>
      <c r="U51" s="410"/>
      <c r="V51" s="400" t="s">
        <v>126</v>
      </c>
      <c r="W51" s="400"/>
      <c r="X51" s="400"/>
      <c r="Y51" s="400"/>
      <c r="Z51" s="400"/>
      <c r="AA51" s="400"/>
      <c r="AB51" s="400"/>
      <c r="AC51" s="400"/>
      <c r="AD51" s="414"/>
    </row>
    <row r="52" spans="1:32" ht="27" customHeight="1">
      <c r="A52" s="409" t="s">
        <v>124</v>
      </c>
      <c r="B52" s="410"/>
      <c r="C52" s="168" t="s">
        <v>165</v>
      </c>
      <c r="D52" s="168" t="s">
        <v>122</v>
      </c>
      <c r="E52" s="168" t="s">
        <v>180</v>
      </c>
      <c r="F52" s="411" t="s">
        <v>249</v>
      </c>
      <c r="G52" s="412"/>
      <c r="H52" s="412"/>
      <c r="I52" s="412"/>
      <c r="J52" s="412"/>
      <c r="K52" s="412"/>
      <c r="L52" s="412"/>
      <c r="M52" s="413"/>
      <c r="N52" s="167" t="s">
        <v>140</v>
      </c>
      <c r="O52" s="165" t="s">
        <v>204</v>
      </c>
      <c r="P52" s="423" t="s">
        <v>229</v>
      </c>
      <c r="Q52" s="424"/>
      <c r="R52" s="410" t="s">
        <v>230</v>
      </c>
      <c r="S52" s="410"/>
      <c r="T52" s="410"/>
      <c r="U52" s="410"/>
      <c r="V52" s="400" t="s">
        <v>126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142</v>
      </c>
      <c r="B53" s="410"/>
      <c r="C53" s="168" t="s">
        <v>138</v>
      </c>
      <c r="D53" s="168" t="s">
        <v>154</v>
      </c>
      <c r="E53" s="168" t="s">
        <v>155</v>
      </c>
      <c r="F53" s="411" t="s">
        <v>250</v>
      </c>
      <c r="G53" s="412"/>
      <c r="H53" s="412"/>
      <c r="I53" s="412"/>
      <c r="J53" s="412"/>
      <c r="K53" s="412"/>
      <c r="L53" s="412"/>
      <c r="M53" s="413"/>
      <c r="N53" s="167" t="s">
        <v>124</v>
      </c>
      <c r="O53" s="165" t="s">
        <v>189</v>
      </c>
      <c r="P53" s="423" t="s">
        <v>221</v>
      </c>
      <c r="Q53" s="424"/>
      <c r="R53" s="410" t="s">
        <v>258</v>
      </c>
      <c r="S53" s="410"/>
      <c r="T53" s="410"/>
      <c r="U53" s="410"/>
      <c r="V53" s="400" t="s">
        <v>120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140</v>
      </c>
      <c r="B54" s="410"/>
      <c r="C54" s="168" t="s">
        <v>204</v>
      </c>
      <c r="D54" s="168" t="s">
        <v>229</v>
      </c>
      <c r="E54" s="168" t="s">
        <v>236</v>
      </c>
      <c r="F54" s="411" t="s">
        <v>251</v>
      </c>
      <c r="G54" s="412"/>
      <c r="H54" s="412"/>
      <c r="I54" s="412"/>
      <c r="J54" s="412"/>
      <c r="K54" s="412"/>
      <c r="L54" s="412"/>
      <c r="M54" s="413"/>
      <c r="N54" s="167" t="s">
        <v>124</v>
      </c>
      <c r="O54" s="165" t="s">
        <v>165</v>
      </c>
      <c r="P54" s="423" t="s">
        <v>129</v>
      </c>
      <c r="Q54" s="424"/>
      <c r="R54" s="410" t="s">
        <v>259</v>
      </c>
      <c r="S54" s="410"/>
      <c r="T54" s="410"/>
      <c r="U54" s="410"/>
      <c r="V54" s="400" t="s">
        <v>120</v>
      </c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 t="s">
        <v>124</v>
      </c>
      <c r="B55" s="410"/>
      <c r="C55" s="168" t="s">
        <v>143</v>
      </c>
      <c r="D55" s="168" t="s">
        <v>135</v>
      </c>
      <c r="E55" s="168" t="s">
        <v>244</v>
      </c>
      <c r="F55" s="411" t="s">
        <v>252</v>
      </c>
      <c r="G55" s="412"/>
      <c r="H55" s="412"/>
      <c r="I55" s="412"/>
      <c r="J55" s="412"/>
      <c r="K55" s="412"/>
      <c r="L55" s="412"/>
      <c r="M55" s="413"/>
      <c r="N55" s="167" t="s">
        <v>124</v>
      </c>
      <c r="O55" s="165" t="s">
        <v>128</v>
      </c>
      <c r="P55" s="423" t="s">
        <v>117</v>
      </c>
      <c r="Q55" s="424"/>
      <c r="R55" s="410" t="s">
        <v>260</v>
      </c>
      <c r="S55" s="410"/>
      <c r="T55" s="410"/>
      <c r="U55" s="410"/>
      <c r="V55" s="400" t="s">
        <v>120</v>
      </c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 t="s">
        <v>124</v>
      </c>
      <c r="B56" s="410"/>
      <c r="C56" s="168" t="s">
        <v>217</v>
      </c>
      <c r="D56" s="168" t="s">
        <v>253</v>
      </c>
      <c r="E56" s="168" t="s">
        <v>254</v>
      </c>
      <c r="F56" s="411" t="s">
        <v>255</v>
      </c>
      <c r="G56" s="412"/>
      <c r="H56" s="412"/>
      <c r="I56" s="412"/>
      <c r="J56" s="412"/>
      <c r="K56" s="412"/>
      <c r="L56" s="412"/>
      <c r="M56" s="413"/>
      <c r="N56" s="167"/>
      <c r="O56" s="165"/>
      <c r="P56" s="423"/>
      <c r="Q56" s="424"/>
      <c r="R56" s="410"/>
      <c r="S56" s="410"/>
      <c r="T56" s="410"/>
      <c r="U56" s="410"/>
      <c r="V56" s="400"/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/>
      <c r="B57" s="410"/>
      <c r="C57" s="168"/>
      <c r="D57" s="168"/>
      <c r="E57" s="168"/>
      <c r="F57" s="411"/>
      <c r="G57" s="412"/>
      <c r="H57" s="412"/>
      <c r="I57" s="412"/>
      <c r="J57" s="412"/>
      <c r="K57" s="412"/>
      <c r="L57" s="412"/>
      <c r="M57" s="413"/>
      <c r="N57" s="167"/>
      <c r="O57" s="165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/>
      <c r="B58" s="410"/>
      <c r="C58" s="168"/>
      <c r="D58" s="168"/>
      <c r="E58" s="168"/>
      <c r="F58" s="411"/>
      <c r="G58" s="412"/>
      <c r="H58" s="412"/>
      <c r="I58" s="412"/>
      <c r="J58" s="412"/>
      <c r="K58" s="412"/>
      <c r="L58" s="412"/>
      <c r="M58" s="413"/>
      <c r="N58" s="167"/>
      <c r="O58" s="165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168"/>
      <c r="D59" s="168"/>
      <c r="E59" s="168"/>
      <c r="F59" s="411"/>
      <c r="G59" s="412"/>
      <c r="H59" s="412"/>
      <c r="I59" s="412"/>
      <c r="J59" s="412"/>
      <c r="K59" s="412"/>
      <c r="L59" s="412"/>
      <c r="M59" s="413"/>
      <c r="N59" s="167"/>
      <c r="O59" s="165"/>
      <c r="P59" s="410"/>
      <c r="Q59" s="410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  <c r="AF59" s="87">
        <f>8*3000</f>
        <v>24000</v>
      </c>
    </row>
    <row r="60" spans="1:32" ht="27" customHeight="1" thickBot="1">
      <c r="A60" s="415"/>
      <c r="B60" s="416"/>
      <c r="C60" s="169"/>
      <c r="D60" s="169"/>
      <c r="E60" s="169"/>
      <c r="F60" s="417"/>
      <c r="G60" s="418"/>
      <c r="H60" s="418"/>
      <c r="I60" s="418"/>
      <c r="J60" s="418"/>
      <c r="K60" s="418"/>
      <c r="L60" s="418"/>
      <c r="M60" s="419"/>
      <c r="N60" s="124"/>
      <c r="O60" s="114"/>
      <c r="P60" s="420"/>
      <c r="Q60" s="420"/>
      <c r="R60" s="420"/>
      <c r="S60" s="420"/>
      <c r="T60" s="420"/>
      <c r="U60" s="420"/>
      <c r="V60" s="421"/>
      <c r="W60" s="421"/>
      <c r="X60" s="421"/>
      <c r="Y60" s="421"/>
      <c r="Z60" s="421"/>
      <c r="AA60" s="421"/>
      <c r="AB60" s="421"/>
      <c r="AC60" s="421"/>
      <c r="AD60" s="422"/>
      <c r="AF60" s="87">
        <f>16*3000</f>
        <v>48000</v>
      </c>
    </row>
    <row r="61" spans="1:32" ht="27.75" thickBot="1">
      <c r="A61" s="407" t="s">
        <v>261</v>
      </c>
      <c r="B61" s="407"/>
      <c r="C61" s="407"/>
      <c r="D61" s="407"/>
      <c r="E61" s="40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08" t="s">
        <v>113</v>
      </c>
      <c r="B62" s="405"/>
      <c r="C62" s="166" t="s">
        <v>2</v>
      </c>
      <c r="D62" s="166" t="s">
        <v>37</v>
      </c>
      <c r="E62" s="166" t="s">
        <v>3</v>
      </c>
      <c r="F62" s="405" t="s">
        <v>110</v>
      </c>
      <c r="G62" s="405"/>
      <c r="H62" s="405"/>
      <c r="I62" s="405"/>
      <c r="J62" s="405"/>
      <c r="K62" s="405" t="s">
        <v>39</v>
      </c>
      <c r="L62" s="405"/>
      <c r="M62" s="166" t="s">
        <v>40</v>
      </c>
      <c r="N62" s="405" t="s">
        <v>41</v>
      </c>
      <c r="O62" s="405"/>
      <c r="P62" s="402" t="s">
        <v>42</v>
      </c>
      <c r="Q62" s="404"/>
      <c r="R62" s="402" t="s">
        <v>43</v>
      </c>
      <c r="S62" s="403"/>
      <c r="T62" s="403"/>
      <c r="U62" s="403"/>
      <c r="V62" s="403"/>
      <c r="W62" s="403"/>
      <c r="X62" s="403"/>
      <c r="Y62" s="403"/>
      <c r="Z62" s="403"/>
      <c r="AA62" s="404"/>
      <c r="AB62" s="405" t="s">
        <v>44</v>
      </c>
      <c r="AC62" s="405"/>
      <c r="AD62" s="406"/>
      <c r="AF62" s="87">
        <f>SUM(AF59:AF61)</f>
        <v>96000</v>
      </c>
    </row>
    <row r="63" spans="1:32" ht="25.5" customHeight="1">
      <c r="A63" s="396">
        <v>1</v>
      </c>
      <c r="B63" s="397"/>
      <c r="C63" s="117" t="s">
        <v>114</v>
      </c>
      <c r="D63" s="161"/>
      <c r="E63" s="164" t="s">
        <v>119</v>
      </c>
      <c r="F63" s="398" t="s">
        <v>262</v>
      </c>
      <c r="G63" s="390"/>
      <c r="H63" s="390"/>
      <c r="I63" s="390"/>
      <c r="J63" s="390"/>
      <c r="K63" s="390" t="s">
        <v>127</v>
      </c>
      <c r="L63" s="390"/>
      <c r="M63" s="51" t="s">
        <v>207</v>
      </c>
      <c r="N63" s="401" t="s">
        <v>128</v>
      </c>
      <c r="O63" s="401"/>
      <c r="P63" s="399">
        <v>50</v>
      </c>
      <c r="Q63" s="399"/>
      <c r="R63" s="400" t="s">
        <v>263</v>
      </c>
      <c r="S63" s="400"/>
      <c r="T63" s="400"/>
      <c r="U63" s="400"/>
      <c r="V63" s="400"/>
      <c r="W63" s="400"/>
      <c r="X63" s="400"/>
      <c r="Y63" s="400"/>
      <c r="Z63" s="400"/>
      <c r="AA63" s="400"/>
      <c r="AB63" s="390"/>
      <c r="AC63" s="390"/>
      <c r="AD63" s="391"/>
      <c r="AF63" s="50"/>
    </row>
    <row r="64" spans="1:32" ht="25.5" customHeight="1">
      <c r="A64" s="396">
        <v>2</v>
      </c>
      <c r="B64" s="397"/>
      <c r="C64" s="117" t="s">
        <v>124</v>
      </c>
      <c r="D64" s="161"/>
      <c r="E64" s="164" t="s">
        <v>117</v>
      </c>
      <c r="F64" s="398" t="s">
        <v>264</v>
      </c>
      <c r="G64" s="390"/>
      <c r="H64" s="390"/>
      <c r="I64" s="390"/>
      <c r="J64" s="390"/>
      <c r="K64" s="390" t="s">
        <v>127</v>
      </c>
      <c r="L64" s="390"/>
      <c r="M64" s="51" t="s">
        <v>265</v>
      </c>
      <c r="N64" s="401" t="s">
        <v>128</v>
      </c>
      <c r="O64" s="401"/>
      <c r="P64" s="399">
        <v>150</v>
      </c>
      <c r="Q64" s="399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3</v>
      </c>
      <c r="B65" s="397"/>
      <c r="C65" s="117" t="s">
        <v>124</v>
      </c>
      <c r="D65" s="161"/>
      <c r="E65" s="164" t="s">
        <v>135</v>
      </c>
      <c r="F65" s="398" t="s">
        <v>266</v>
      </c>
      <c r="G65" s="390"/>
      <c r="H65" s="390"/>
      <c r="I65" s="390"/>
      <c r="J65" s="390"/>
      <c r="K65" s="390" t="s">
        <v>134</v>
      </c>
      <c r="L65" s="390"/>
      <c r="M65" s="51" t="s">
        <v>207</v>
      </c>
      <c r="N65" s="401" t="s">
        <v>143</v>
      </c>
      <c r="O65" s="401"/>
      <c r="P65" s="399">
        <v>50</v>
      </c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4</v>
      </c>
      <c r="B66" s="397"/>
      <c r="C66" s="117"/>
      <c r="D66" s="161"/>
      <c r="E66" s="164"/>
      <c r="F66" s="398"/>
      <c r="G66" s="390"/>
      <c r="H66" s="390"/>
      <c r="I66" s="390"/>
      <c r="J66" s="390"/>
      <c r="K66" s="390"/>
      <c r="L66" s="390"/>
      <c r="M66" s="51"/>
      <c r="N66" s="401"/>
      <c r="O66" s="401"/>
      <c r="P66" s="399"/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5</v>
      </c>
      <c r="B67" s="397"/>
      <c r="C67" s="117"/>
      <c r="D67" s="161"/>
      <c r="E67" s="164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6</v>
      </c>
      <c r="B68" s="397"/>
      <c r="C68" s="117"/>
      <c r="D68" s="161"/>
      <c r="E68" s="164"/>
      <c r="F68" s="398"/>
      <c r="G68" s="390"/>
      <c r="H68" s="390"/>
      <c r="I68" s="390"/>
      <c r="J68" s="390"/>
      <c r="K68" s="390"/>
      <c r="L68" s="390"/>
      <c r="M68" s="51"/>
      <c r="N68" s="390"/>
      <c r="O68" s="390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7</v>
      </c>
      <c r="B69" s="397"/>
      <c r="C69" s="117"/>
      <c r="D69" s="161"/>
      <c r="E69" s="164"/>
      <c r="F69" s="398"/>
      <c r="G69" s="390"/>
      <c r="H69" s="390"/>
      <c r="I69" s="390"/>
      <c r="J69" s="390"/>
      <c r="K69" s="390"/>
      <c r="L69" s="390"/>
      <c r="M69" s="51"/>
      <c r="N69" s="401"/>
      <c r="O69" s="401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8</v>
      </c>
      <c r="B70" s="397"/>
      <c r="C70" s="117"/>
      <c r="D70" s="161"/>
      <c r="E70" s="164"/>
      <c r="F70" s="398"/>
      <c r="G70" s="390"/>
      <c r="H70" s="390"/>
      <c r="I70" s="390"/>
      <c r="J70" s="390"/>
      <c r="K70" s="390"/>
      <c r="L70" s="390"/>
      <c r="M70" s="51"/>
      <c r="N70" s="390"/>
      <c r="O70" s="390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6.25" customHeight="1" thickBot="1">
      <c r="A71" s="370" t="s">
        <v>267</v>
      </c>
      <c r="B71" s="370"/>
      <c r="C71" s="370"/>
      <c r="D71" s="370"/>
      <c r="E71" s="370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371" t="s">
        <v>113</v>
      </c>
      <c r="B72" s="372"/>
      <c r="C72" s="163" t="s">
        <v>2</v>
      </c>
      <c r="D72" s="163" t="s">
        <v>37</v>
      </c>
      <c r="E72" s="163" t="s">
        <v>3</v>
      </c>
      <c r="F72" s="372" t="s">
        <v>38</v>
      </c>
      <c r="G72" s="372"/>
      <c r="H72" s="372"/>
      <c r="I72" s="372"/>
      <c r="J72" s="372"/>
      <c r="K72" s="392" t="s">
        <v>58</v>
      </c>
      <c r="L72" s="393"/>
      <c r="M72" s="393"/>
      <c r="N72" s="393"/>
      <c r="O72" s="393"/>
      <c r="P72" s="393"/>
      <c r="Q72" s="393"/>
      <c r="R72" s="393"/>
      <c r="S72" s="394"/>
      <c r="T72" s="372" t="s">
        <v>49</v>
      </c>
      <c r="U72" s="372"/>
      <c r="V72" s="392" t="s">
        <v>50</v>
      </c>
      <c r="W72" s="394"/>
      <c r="X72" s="393" t="s">
        <v>51</v>
      </c>
      <c r="Y72" s="393"/>
      <c r="Z72" s="393"/>
      <c r="AA72" s="393"/>
      <c r="AB72" s="393"/>
      <c r="AC72" s="393"/>
      <c r="AD72" s="395"/>
      <c r="AF72" s="50"/>
    </row>
    <row r="73" spans="1:32" ht="33.75" customHeight="1">
      <c r="A73" s="364">
        <v>1</v>
      </c>
      <c r="B73" s="365"/>
      <c r="C73" s="162" t="s">
        <v>114</v>
      </c>
      <c r="D73" s="162"/>
      <c r="E73" s="65" t="s">
        <v>119</v>
      </c>
      <c r="F73" s="379" t="s">
        <v>118</v>
      </c>
      <c r="G73" s="380"/>
      <c r="H73" s="380"/>
      <c r="I73" s="380"/>
      <c r="J73" s="381"/>
      <c r="K73" s="382" t="s">
        <v>156</v>
      </c>
      <c r="L73" s="383"/>
      <c r="M73" s="383"/>
      <c r="N73" s="383"/>
      <c r="O73" s="383"/>
      <c r="P73" s="383"/>
      <c r="Q73" s="383"/>
      <c r="R73" s="383"/>
      <c r="S73" s="384"/>
      <c r="T73" s="385">
        <v>43675</v>
      </c>
      <c r="U73" s="386"/>
      <c r="V73" s="387"/>
      <c r="W73" s="387"/>
      <c r="X73" s="388"/>
      <c r="Y73" s="388"/>
      <c r="Z73" s="388"/>
      <c r="AA73" s="388"/>
      <c r="AB73" s="388"/>
      <c r="AC73" s="388"/>
      <c r="AD73" s="389"/>
      <c r="AF73" s="50"/>
    </row>
    <row r="74" spans="1:32" ht="30" customHeight="1">
      <c r="A74" s="357">
        <f>A73+1</f>
        <v>2</v>
      </c>
      <c r="B74" s="358"/>
      <c r="C74" s="161"/>
      <c r="D74" s="161"/>
      <c r="E74" s="32"/>
      <c r="F74" s="358"/>
      <c r="G74" s="358"/>
      <c r="H74" s="358"/>
      <c r="I74" s="358"/>
      <c r="J74" s="358"/>
      <c r="K74" s="373"/>
      <c r="L74" s="374"/>
      <c r="M74" s="374"/>
      <c r="N74" s="374"/>
      <c r="O74" s="374"/>
      <c r="P74" s="374"/>
      <c r="Q74" s="374"/>
      <c r="R74" s="374"/>
      <c r="S74" s="375"/>
      <c r="T74" s="376"/>
      <c r="U74" s="376"/>
      <c r="V74" s="376"/>
      <c r="W74" s="376"/>
      <c r="X74" s="377"/>
      <c r="Y74" s="377"/>
      <c r="Z74" s="377"/>
      <c r="AA74" s="377"/>
      <c r="AB74" s="377"/>
      <c r="AC74" s="377"/>
      <c r="AD74" s="378"/>
      <c r="AF74" s="50"/>
    </row>
    <row r="75" spans="1:32" ht="30" customHeight="1">
      <c r="A75" s="357">
        <f t="shared" ref="A75:A81" si="14">A74+1</f>
        <v>3</v>
      </c>
      <c r="B75" s="358"/>
      <c r="C75" s="161"/>
      <c r="D75" s="161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si="14"/>
        <v>4</v>
      </c>
      <c r="B76" s="358"/>
      <c r="C76" s="161"/>
      <c r="D76" s="161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14"/>
        <v>5</v>
      </c>
      <c r="B77" s="358"/>
      <c r="C77" s="161"/>
      <c r="D77" s="161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14"/>
        <v>6</v>
      </c>
      <c r="B78" s="358"/>
      <c r="C78" s="161"/>
      <c r="D78" s="161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14"/>
        <v>7</v>
      </c>
      <c r="B79" s="358"/>
      <c r="C79" s="161"/>
      <c r="D79" s="161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14"/>
        <v>8</v>
      </c>
      <c r="B80" s="358"/>
      <c r="C80" s="161"/>
      <c r="D80" s="161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14"/>
        <v>9</v>
      </c>
      <c r="B81" s="358"/>
      <c r="C81" s="161"/>
      <c r="D81" s="161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6" thickBot="1">
      <c r="A82" s="370" t="s">
        <v>268</v>
      </c>
      <c r="B82" s="370"/>
      <c r="C82" s="370"/>
      <c r="D82" s="370"/>
      <c r="E82" s="370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371" t="s">
        <v>113</v>
      </c>
      <c r="B83" s="372"/>
      <c r="C83" s="362" t="s">
        <v>52</v>
      </c>
      <c r="D83" s="362"/>
      <c r="E83" s="362" t="s">
        <v>53</v>
      </c>
      <c r="F83" s="362"/>
      <c r="G83" s="362"/>
      <c r="H83" s="362"/>
      <c r="I83" s="362"/>
      <c r="J83" s="362"/>
      <c r="K83" s="362" t="s">
        <v>54</v>
      </c>
      <c r="L83" s="362"/>
      <c r="M83" s="362"/>
      <c r="N83" s="362"/>
      <c r="O83" s="362"/>
      <c r="P83" s="362"/>
      <c r="Q83" s="362"/>
      <c r="R83" s="362"/>
      <c r="S83" s="362"/>
      <c r="T83" s="362" t="s">
        <v>55</v>
      </c>
      <c r="U83" s="362"/>
      <c r="V83" s="362" t="s">
        <v>56</v>
      </c>
      <c r="W83" s="362"/>
      <c r="X83" s="362"/>
      <c r="Y83" s="362" t="s">
        <v>51</v>
      </c>
      <c r="Z83" s="362"/>
      <c r="AA83" s="362"/>
      <c r="AB83" s="362"/>
      <c r="AC83" s="362"/>
      <c r="AD83" s="363"/>
      <c r="AF83" s="50"/>
    </row>
    <row r="84" spans="1:32" ht="30.75" customHeight="1">
      <c r="A84" s="364">
        <v>1</v>
      </c>
      <c r="B84" s="365"/>
      <c r="C84" s="366"/>
      <c r="D84" s="366"/>
      <c r="E84" s="366"/>
      <c r="F84" s="366"/>
      <c r="G84" s="366"/>
      <c r="H84" s="366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  <c r="U84" s="366"/>
      <c r="V84" s="367"/>
      <c r="W84" s="367"/>
      <c r="X84" s="367"/>
      <c r="Y84" s="368"/>
      <c r="Z84" s="368"/>
      <c r="AA84" s="368"/>
      <c r="AB84" s="368"/>
      <c r="AC84" s="368"/>
      <c r="AD84" s="369"/>
      <c r="AF84" s="50"/>
    </row>
    <row r="85" spans="1:32" ht="30.75" customHeight="1">
      <c r="A85" s="357">
        <v>2</v>
      </c>
      <c r="B85" s="358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60"/>
      <c r="U85" s="360"/>
      <c r="V85" s="361"/>
      <c r="W85" s="361"/>
      <c r="X85" s="361"/>
      <c r="Y85" s="350"/>
      <c r="Z85" s="350"/>
      <c r="AA85" s="350"/>
      <c r="AB85" s="350"/>
      <c r="AC85" s="350"/>
      <c r="AD85" s="351"/>
      <c r="AF85" s="50"/>
    </row>
    <row r="86" spans="1:32" ht="30.75" customHeight="1" thickBot="1">
      <c r="A86" s="352">
        <v>3</v>
      </c>
      <c r="B86" s="353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5"/>
      <c r="Z86" s="355"/>
      <c r="AA86" s="355"/>
      <c r="AB86" s="355"/>
      <c r="AC86" s="355"/>
      <c r="AD86" s="356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AFDFF-5E98-4DB1-AB6D-C3F87816877B}">
  <sheetPr codeName="Sheet6"/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269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171" t="s">
        <v>17</v>
      </c>
      <c r="L5" s="171" t="s">
        <v>18</v>
      </c>
      <c r="M5" s="171" t="s">
        <v>19</v>
      </c>
      <c r="N5" s="17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0.49166666666666664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0.49166666666666664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15000</v>
      </c>
      <c r="J8" s="14">
        <v>4702</v>
      </c>
      <c r="K8" s="15">
        <f>L8+3610+4566+4051</f>
        <v>16929</v>
      </c>
      <c r="L8" s="15">
        <f>2893+1809</f>
        <v>4702</v>
      </c>
      <c r="M8" s="15">
        <f t="shared" si="1"/>
        <v>4702</v>
      </c>
      <c r="N8" s="15">
        <v>0</v>
      </c>
      <c r="O8" s="58">
        <f t="shared" si="2"/>
        <v>0</v>
      </c>
      <c r="P8" s="39">
        <f t="shared" si="3"/>
        <v>22</v>
      </c>
      <c r="Q8" s="40">
        <f t="shared" si="4"/>
        <v>2</v>
      </c>
      <c r="R8" s="7"/>
      <c r="S8" s="6">
        <v>2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0.91666666666666663</v>
      </c>
      <c r="AD8" s="10">
        <f t="shared" si="7"/>
        <v>0.91666666666666663</v>
      </c>
      <c r="AE8" s="36">
        <f t="shared" si="8"/>
        <v>0.49166666666666664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124</v>
      </c>
      <c r="D9" s="52" t="s">
        <v>221</v>
      </c>
      <c r="E9" s="53" t="s">
        <v>258</v>
      </c>
      <c r="F9" s="30" t="s">
        <v>132</v>
      </c>
      <c r="G9" s="33">
        <v>1</v>
      </c>
      <c r="H9" s="35">
        <v>24</v>
      </c>
      <c r="I9" s="7">
        <v>1000</v>
      </c>
      <c r="J9" s="14">
        <v>5119</v>
      </c>
      <c r="K9" s="15">
        <f>L9</f>
        <v>5119</v>
      </c>
      <c r="L9" s="15">
        <f>2126+2993</f>
        <v>5119</v>
      </c>
      <c r="M9" s="15">
        <f t="shared" si="1"/>
        <v>5119</v>
      </c>
      <c r="N9" s="15">
        <v>0</v>
      </c>
      <c r="O9" s="58">
        <f t="shared" si="2"/>
        <v>0</v>
      </c>
      <c r="P9" s="39">
        <f t="shared" si="3"/>
        <v>24</v>
      </c>
      <c r="Q9" s="40">
        <f t="shared" si="4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1</v>
      </c>
      <c r="AD9" s="10">
        <f t="shared" si="7"/>
        <v>1</v>
      </c>
      <c r="AE9" s="36">
        <f t="shared" si="8"/>
        <v>0.49166666666666664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142</v>
      </c>
      <c r="D10" s="52" t="s">
        <v>152</v>
      </c>
      <c r="E10" s="53" t="s">
        <v>150</v>
      </c>
      <c r="F10" s="30" t="s">
        <v>121</v>
      </c>
      <c r="G10" s="33">
        <v>2</v>
      </c>
      <c r="H10" s="35">
        <v>24</v>
      </c>
      <c r="I10" s="7">
        <v>90000</v>
      </c>
      <c r="J10" s="5">
        <v>14620</v>
      </c>
      <c r="K10" s="15">
        <f>L10+1714+13656+15988+16420+5830+12022+8590+10992+16158+15754+14620</f>
        <v>131744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0.49166666666666664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142</v>
      </c>
      <c r="D11" s="52" t="s">
        <v>154</v>
      </c>
      <c r="E11" s="53" t="s">
        <v>155</v>
      </c>
      <c r="F11" s="30" t="s">
        <v>121</v>
      </c>
      <c r="G11" s="33" t="s">
        <v>153</v>
      </c>
      <c r="H11" s="35">
        <v>20</v>
      </c>
      <c r="I11" s="7">
        <v>30000</v>
      </c>
      <c r="J11" s="14">
        <v>4386</v>
      </c>
      <c r="K11" s="15">
        <f>L11+3140+4571+411+3680+4703+3306+2055+6570+4386</f>
        <v>32822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ref="AD11" si="10">AC11*AB11*(1-O11)</f>
        <v>0</v>
      </c>
      <c r="AE11" s="36">
        <f t="shared" si="8"/>
        <v>0.49166666666666664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158</v>
      </c>
      <c r="F12" s="30" t="s">
        <v>132</v>
      </c>
      <c r="G12" s="33">
        <v>1</v>
      </c>
      <c r="H12" s="35">
        <v>20</v>
      </c>
      <c r="I12" s="7">
        <v>30000</v>
      </c>
      <c r="J12" s="14">
        <v>3314</v>
      </c>
      <c r="K12" s="15">
        <f>L12+3692+4770+4641+4418</f>
        <v>20835</v>
      </c>
      <c r="L12" s="15">
        <f>1023+2291</f>
        <v>3314</v>
      </c>
      <c r="M12" s="15">
        <f t="shared" si="1"/>
        <v>3314</v>
      </c>
      <c r="N12" s="15">
        <v>0</v>
      </c>
      <c r="O12" s="58">
        <f t="shared" si="2"/>
        <v>0</v>
      </c>
      <c r="P12" s="39">
        <f t="shared" si="3"/>
        <v>19</v>
      </c>
      <c r="Q12" s="40">
        <f t="shared" si="4"/>
        <v>5</v>
      </c>
      <c r="R12" s="7"/>
      <c r="S12" s="6">
        <v>5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0.79166666666666663</v>
      </c>
      <c r="AD12" s="10">
        <f t="shared" si="7"/>
        <v>0.79166666666666663</v>
      </c>
      <c r="AE12" s="36">
        <f t="shared" si="8"/>
        <v>0.49166666666666664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140</v>
      </c>
      <c r="D13" s="52" t="s">
        <v>229</v>
      </c>
      <c r="E13" s="53" t="s">
        <v>270</v>
      </c>
      <c r="F13" s="30" t="s">
        <v>131</v>
      </c>
      <c r="G13" s="33">
        <v>1</v>
      </c>
      <c r="H13" s="35">
        <v>24</v>
      </c>
      <c r="I13" s="7">
        <v>3000</v>
      </c>
      <c r="J13" s="14">
        <v>2149</v>
      </c>
      <c r="K13" s="15">
        <f>L13</f>
        <v>2149</v>
      </c>
      <c r="L13" s="15">
        <v>2149</v>
      </c>
      <c r="M13" s="15">
        <f t="shared" si="1"/>
        <v>2149</v>
      </c>
      <c r="N13" s="15">
        <v>0</v>
      </c>
      <c r="O13" s="58">
        <f t="shared" si="2"/>
        <v>0</v>
      </c>
      <c r="P13" s="39">
        <f t="shared" si="3"/>
        <v>14</v>
      </c>
      <c r="Q13" s="40">
        <f t="shared" si="4"/>
        <v>10</v>
      </c>
      <c r="R13" s="7"/>
      <c r="S13" s="6">
        <v>10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0.58333333333333337</v>
      </c>
      <c r="AD13" s="10">
        <f t="shared" si="7"/>
        <v>0.58333333333333337</v>
      </c>
      <c r="AE13" s="36">
        <f t="shared" si="8"/>
        <v>0.49166666666666664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140</v>
      </c>
      <c r="D14" s="52" t="s">
        <v>223</v>
      </c>
      <c r="E14" s="53" t="s">
        <v>224</v>
      </c>
      <c r="F14" s="30" t="s">
        <v>216</v>
      </c>
      <c r="G14" s="12">
        <v>1</v>
      </c>
      <c r="H14" s="13">
        <v>28</v>
      </c>
      <c r="I14" s="7">
        <v>1000</v>
      </c>
      <c r="J14" s="5">
        <v>1620</v>
      </c>
      <c r="K14" s="15">
        <f>L14+1620</f>
        <v>1620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0.49166666666666664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114</v>
      </c>
      <c r="D15" s="52" t="s">
        <v>135</v>
      </c>
      <c r="E15" s="53" t="s">
        <v>148</v>
      </c>
      <c r="F15" s="12" t="s">
        <v>134</v>
      </c>
      <c r="G15" s="12">
        <v>1</v>
      </c>
      <c r="H15" s="13">
        <v>24</v>
      </c>
      <c r="I15" s="31">
        <v>1700</v>
      </c>
      <c r="J15" s="14">
        <v>878</v>
      </c>
      <c r="K15" s="15">
        <f>L15+878</f>
        <v>878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>
        <v>24</v>
      </c>
      <c r="T15" s="16"/>
      <c r="U15" s="16"/>
      <c r="V15" s="17"/>
      <c r="W15" s="5"/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0.49166666666666664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129</v>
      </c>
      <c r="E16" s="53" t="s">
        <v>259</v>
      </c>
      <c r="F16" s="30" t="s">
        <v>130</v>
      </c>
      <c r="G16" s="12">
        <v>1</v>
      </c>
      <c r="H16" s="13">
        <v>28</v>
      </c>
      <c r="I16" s="7">
        <v>9000</v>
      </c>
      <c r="J16" s="14">
        <v>5027</v>
      </c>
      <c r="K16" s="15">
        <f>L16</f>
        <v>5027</v>
      </c>
      <c r="L16" s="15">
        <f>2357+2670</f>
        <v>5027</v>
      </c>
      <c r="M16" s="15">
        <f t="shared" si="1"/>
        <v>5027</v>
      </c>
      <c r="N16" s="15">
        <v>0</v>
      </c>
      <c r="O16" s="58">
        <f t="shared" si="2"/>
        <v>0</v>
      </c>
      <c r="P16" s="39">
        <f t="shared" si="3"/>
        <v>24</v>
      </c>
      <c r="Q16" s="40">
        <f t="shared" si="4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1</v>
      </c>
      <c r="AD16" s="10">
        <f t="shared" si="7"/>
        <v>1</v>
      </c>
      <c r="AE16" s="36">
        <f t="shared" si="8"/>
        <v>0.49166666666666664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124</v>
      </c>
      <c r="D17" s="52" t="s">
        <v>135</v>
      </c>
      <c r="E17" s="53" t="s">
        <v>244</v>
      </c>
      <c r="F17" s="30" t="s">
        <v>134</v>
      </c>
      <c r="G17" s="33">
        <v>1</v>
      </c>
      <c r="H17" s="35">
        <v>20</v>
      </c>
      <c r="I17" s="7">
        <v>700</v>
      </c>
      <c r="J17" s="14">
        <v>533</v>
      </c>
      <c r="K17" s="15">
        <f>L17+1197</f>
        <v>1730</v>
      </c>
      <c r="L17" s="15">
        <v>533</v>
      </c>
      <c r="M17" s="15">
        <f t="shared" ref="M17" si="11">L17-N17</f>
        <v>533</v>
      </c>
      <c r="N17" s="15">
        <v>0</v>
      </c>
      <c r="O17" s="58">
        <f t="shared" ref="O17" si="12">IF(L17=0,"0",N17/L17)</f>
        <v>0</v>
      </c>
      <c r="P17" s="39">
        <f t="shared" ref="P17" si="13">IF(L17=0,"0",(24-Q17))</f>
        <v>4</v>
      </c>
      <c r="Q17" s="40">
        <f t="shared" ref="Q17" si="14">SUM(R17:AA17)</f>
        <v>20</v>
      </c>
      <c r="R17" s="7"/>
      <c r="S17" s="6"/>
      <c r="T17" s="16"/>
      <c r="U17" s="16"/>
      <c r="V17" s="17"/>
      <c r="W17" s="5">
        <v>20</v>
      </c>
      <c r="X17" s="16"/>
      <c r="Y17" s="16"/>
      <c r="Z17" s="16"/>
      <c r="AA17" s="18"/>
      <c r="AB17" s="8">
        <f t="shared" ref="AB17" si="15">IF(J17=0,"0",(L17/J17))</f>
        <v>1</v>
      </c>
      <c r="AC17" s="9">
        <f t="shared" ref="AC17" si="16">IF(P17=0,"0",(P17/24))</f>
        <v>0.16666666666666666</v>
      </c>
      <c r="AD17" s="10">
        <f t="shared" ref="AD17" si="17">AC17*AB17*(1-O17)</f>
        <v>0.16666666666666666</v>
      </c>
      <c r="AE17" s="36">
        <f t="shared" si="8"/>
        <v>0.49166666666666664</v>
      </c>
      <c r="AF17" s="87">
        <f t="shared" ref="AF17" si="18">A17</f>
        <v>12</v>
      </c>
    </row>
    <row r="18" spans="1:32" ht="27" customHeight="1">
      <c r="A18" s="102">
        <v>12</v>
      </c>
      <c r="B18" s="11" t="s">
        <v>57</v>
      </c>
      <c r="C18" s="11" t="s">
        <v>114</v>
      </c>
      <c r="D18" s="52" t="s">
        <v>271</v>
      </c>
      <c r="E18" s="53" t="s">
        <v>272</v>
      </c>
      <c r="F18" s="30" t="s">
        <v>273</v>
      </c>
      <c r="G18" s="33">
        <v>1</v>
      </c>
      <c r="H18" s="35">
        <v>20</v>
      </c>
      <c r="I18" s="7">
        <v>50</v>
      </c>
      <c r="J18" s="14">
        <v>269</v>
      </c>
      <c r="K18" s="15">
        <f>L18</f>
        <v>269</v>
      </c>
      <c r="L18" s="15">
        <f>269</f>
        <v>269</v>
      </c>
      <c r="M18" s="15">
        <f t="shared" si="1"/>
        <v>269</v>
      </c>
      <c r="N18" s="15">
        <v>0</v>
      </c>
      <c r="O18" s="58">
        <f t="shared" si="2"/>
        <v>0</v>
      </c>
      <c r="P18" s="39">
        <f t="shared" si="3"/>
        <v>3</v>
      </c>
      <c r="Q18" s="40">
        <f t="shared" si="4"/>
        <v>21</v>
      </c>
      <c r="R18" s="7"/>
      <c r="S18" s="6"/>
      <c r="T18" s="16"/>
      <c r="U18" s="16"/>
      <c r="V18" s="17"/>
      <c r="W18" s="5">
        <v>21</v>
      </c>
      <c r="X18" s="16"/>
      <c r="Y18" s="16"/>
      <c r="Z18" s="16"/>
      <c r="AA18" s="18"/>
      <c r="AB18" s="8">
        <f t="shared" si="5"/>
        <v>1</v>
      </c>
      <c r="AC18" s="9">
        <f t="shared" si="6"/>
        <v>0.125</v>
      </c>
      <c r="AD18" s="10">
        <f t="shared" si="7"/>
        <v>0.125</v>
      </c>
      <c r="AE18" s="36">
        <f t="shared" si="8"/>
        <v>0.49166666666666664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124</v>
      </c>
      <c r="D19" s="52" t="s">
        <v>117</v>
      </c>
      <c r="E19" s="53" t="s">
        <v>260</v>
      </c>
      <c r="F19" s="30" t="s">
        <v>121</v>
      </c>
      <c r="G19" s="33">
        <v>1</v>
      </c>
      <c r="H19" s="35">
        <v>24</v>
      </c>
      <c r="I19" s="7">
        <v>5000</v>
      </c>
      <c r="J19" s="5">
        <v>3066</v>
      </c>
      <c r="K19" s="15">
        <f>L19</f>
        <v>3066</v>
      </c>
      <c r="L19" s="15">
        <f>1119+1947</f>
        <v>3066</v>
      </c>
      <c r="M19" s="15">
        <f t="shared" si="1"/>
        <v>3066</v>
      </c>
      <c r="N19" s="15">
        <v>0</v>
      </c>
      <c r="O19" s="58">
        <f t="shared" si="2"/>
        <v>0</v>
      </c>
      <c r="P19" s="39">
        <f t="shared" si="3"/>
        <v>19</v>
      </c>
      <c r="Q19" s="40">
        <f t="shared" si="4"/>
        <v>5</v>
      </c>
      <c r="R19" s="7"/>
      <c r="S19" s="6">
        <v>5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0.79166666666666663</v>
      </c>
      <c r="AD19" s="10">
        <f>AC19*AB19*(1-O19)</f>
        <v>0.79166666666666663</v>
      </c>
      <c r="AE19" s="36">
        <f t="shared" si="8"/>
        <v>0.49166666666666664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124</v>
      </c>
      <c r="D20" s="52" t="s">
        <v>245</v>
      </c>
      <c r="E20" s="53" t="s">
        <v>246</v>
      </c>
      <c r="F20" s="30" t="s">
        <v>247</v>
      </c>
      <c r="G20" s="33">
        <v>1</v>
      </c>
      <c r="H20" s="35">
        <v>24</v>
      </c>
      <c r="I20" s="7">
        <v>10000</v>
      </c>
      <c r="J20" s="5">
        <v>5151</v>
      </c>
      <c r="K20" s="15">
        <f>L20+4560</f>
        <v>9711</v>
      </c>
      <c r="L20" s="15">
        <f>2590+2561</f>
        <v>5151</v>
      </c>
      <c r="M20" s="15">
        <f t="shared" si="1"/>
        <v>5151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ref="AD20" si="19">AC20*AB20*(1-O20)</f>
        <v>1</v>
      </c>
      <c r="AE20" s="36">
        <f t="shared" si="8"/>
        <v>0.49166666666666664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162</v>
      </c>
      <c r="F21" s="12" t="s">
        <v>116</v>
      </c>
      <c r="G21" s="12">
        <v>4</v>
      </c>
      <c r="H21" s="35">
        <v>20</v>
      </c>
      <c r="I21" s="7">
        <v>500000</v>
      </c>
      <c r="J21" s="14">
        <v>82348</v>
      </c>
      <c r="K21" s="15">
        <f>L21+19752+41052+33264+35472</f>
        <v>211888</v>
      </c>
      <c r="L21" s="15">
        <f>11725*4+8862*4</f>
        <v>82348</v>
      </c>
      <c r="M21" s="15">
        <f t="shared" si="1"/>
        <v>82348</v>
      </c>
      <c r="N21" s="15">
        <v>0</v>
      </c>
      <c r="O21" s="58">
        <f t="shared" si="2"/>
        <v>0</v>
      </c>
      <c r="P21" s="39">
        <f t="shared" si="3"/>
        <v>24</v>
      </c>
      <c r="Q21" s="40">
        <f t="shared" si="4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1</v>
      </c>
      <c r="AD21" s="10">
        <f t="shared" si="7"/>
        <v>1</v>
      </c>
      <c r="AE21" s="36">
        <f t="shared" si="8"/>
        <v>0.49166666666666664</v>
      </c>
      <c r="AF21" s="87">
        <f t="shared" si="9"/>
        <v>15</v>
      </c>
    </row>
    <row r="22" spans="1:32" ht="31.5" customHeight="1" thickBot="1">
      <c r="A22" s="427" t="s">
        <v>34</v>
      </c>
      <c r="B22" s="428"/>
      <c r="C22" s="428"/>
      <c r="D22" s="428"/>
      <c r="E22" s="428"/>
      <c r="F22" s="428"/>
      <c r="G22" s="428"/>
      <c r="H22" s="429"/>
      <c r="I22" s="22">
        <f t="shared" ref="I22:N22" si="20">SUM(I6:I21)</f>
        <v>717450</v>
      </c>
      <c r="J22" s="19">
        <f t="shared" si="20"/>
        <v>135243</v>
      </c>
      <c r="K22" s="20">
        <f t="shared" si="20"/>
        <v>455335</v>
      </c>
      <c r="L22" s="21">
        <f t="shared" si="20"/>
        <v>111678</v>
      </c>
      <c r="M22" s="20">
        <f t="shared" si="20"/>
        <v>111678</v>
      </c>
      <c r="N22" s="21">
        <f t="shared" si="20"/>
        <v>0</v>
      </c>
      <c r="O22" s="41">
        <f t="shared" si="2"/>
        <v>0</v>
      </c>
      <c r="P22" s="42">
        <f t="shared" ref="P22:AA22" si="21">SUM(P6:P21)</f>
        <v>177</v>
      </c>
      <c r="Q22" s="43">
        <f t="shared" si="21"/>
        <v>207</v>
      </c>
      <c r="R22" s="23">
        <f t="shared" si="21"/>
        <v>24</v>
      </c>
      <c r="S22" s="24">
        <f t="shared" si="21"/>
        <v>94</v>
      </c>
      <c r="T22" s="24">
        <f t="shared" si="21"/>
        <v>0</v>
      </c>
      <c r="U22" s="24">
        <f t="shared" si="21"/>
        <v>0</v>
      </c>
      <c r="V22" s="25">
        <f t="shared" si="21"/>
        <v>24</v>
      </c>
      <c r="W22" s="26">
        <f t="shared" si="21"/>
        <v>65</v>
      </c>
      <c r="X22" s="27">
        <f t="shared" si="21"/>
        <v>0</v>
      </c>
      <c r="Y22" s="27">
        <f t="shared" si="21"/>
        <v>0</v>
      </c>
      <c r="Z22" s="27">
        <f t="shared" si="21"/>
        <v>0</v>
      </c>
      <c r="AA22" s="27">
        <f t="shared" si="21"/>
        <v>0</v>
      </c>
      <c r="AB22" s="28">
        <f>SUM(AB6:AB21)/15</f>
        <v>0.66666666666666663</v>
      </c>
      <c r="AC22" s="4">
        <f>SUM(AC6:AC21)/15</f>
        <v>0.49166666666666664</v>
      </c>
      <c r="AD22" s="4">
        <f>SUM(AD6:AD21)/15</f>
        <v>0.49166666666666664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430" t="s">
        <v>45</v>
      </c>
      <c r="B49" s="430"/>
      <c r="C49" s="430"/>
      <c r="D49" s="430"/>
      <c r="E49" s="43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431" t="s">
        <v>274</v>
      </c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3"/>
      <c r="N50" s="434" t="s">
        <v>285</v>
      </c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6"/>
    </row>
    <row r="51" spans="1:32" ht="27" customHeight="1">
      <c r="A51" s="437" t="s">
        <v>2</v>
      </c>
      <c r="B51" s="438"/>
      <c r="C51" s="170" t="s">
        <v>46</v>
      </c>
      <c r="D51" s="170" t="s">
        <v>47</v>
      </c>
      <c r="E51" s="170" t="s">
        <v>108</v>
      </c>
      <c r="F51" s="438" t="s">
        <v>107</v>
      </c>
      <c r="G51" s="438"/>
      <c r="H51" s="438"/>
      <c r="I51" s="438"/>
      <c r="J51" s="438"/>
      <c r="K51" s="438"/>
      <c r="L51" s="438"/>
      <c r="M51" s="439"/>
      <c r="N51" s="67" t="s">
        <v>112</v>
      </c>
      <c r="O51" s="170" t="s">
        <v>46</v>
      </c>
      <c r="P51" s="440" t="s">
        <v>47</v>
      </c>
      <c r="Q51" s="441"/>
      <c r="R51" s="440" t="s">
        <v>38</v>
      </c>
      <c r="S51" s="442"/>
      <c r="T51" s="442"/>
      <c r="U51" s="441"/>
      <c r="V51" s="440" t="s">
        <v>48</v>
      </c>
      <c r="W51" s="442"/>
      <c r="X51" s="442"/>
      <c r="Y51" s="442"/>
      <c r="Z51" s="442"/>
      <c r="AA51" s="442"/>
      <c r="AB51" s="442"/>
      <c r="AC51" s="442"/>
      <c r="AD51" s="443"/>
    </row>
    <row r="52" spans="1:32" ht="27" customHeight="1">
      <c r="A52" s="409" t="s">
        <v>124</v>
      </c>
      <c r="B52" s="410"/>
      <c r="C52" s="168" t="s">
        <v>145</v>
      </c>
      <c r="D52" s="168" t="s">
        <v>122</v>
      </c>
      <c r="E52" s="168" t="s">
        <v>175</v>
      </c>
      <c r="F52" s="411" t="s">
        <v>126</v>
      </c>
      <c r="G52" s="412"/>
      <c r="H52" s="412"/>
      <c r="I52" s="412"/>
      <c r="J52" s="412"/>
      <c r="K52" s="412"/>
      <c r="L52" s="412"/>
      <c r="M52" s="413"/>
      <c r="N52" s="167" t="s">
        <v>290</v>
      </c>
      <c r="O52" s="165" t="s">
        <v>291</v>
      </c>
      <c r="P52" s="423" t="s">
        <v>292</v>
      </c>
      <c r="Q52" s="424"/>
      <c r="R52" s="410" t="s">
        <v>293</v>
      </c>
      <c r="S52" s="410"/>
      <c r="T52" s="410"/>
      <c r="U52" s="410"/>
      <c r="V52" s="400" t="s">
        <v>294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124</v>
      </c>
      <c r="B53" s="410"/>
      <c r="C53" s="168" t="s">
        <v>165</v>
      </c>
      <c r="D53" s="168" t="s">
        <v>129</v>
      </c>
      <c r="E53" s="168" t="s">
        <v>259</v>
      </c>
      <c r="F53" s="411" t="s">
        <v>120</v>
      </c>
      <c r="G53" s="412"/>
      <c r="H53" s="412"/>
      <c r="I53" s="412"/>
      <c r="J53" s="412"/>
      <c r="K53" s="412"/>
      <c r="L53" s="412"/>
      <c r="M53" s="413"/>
      <c r="N53" s="167" t="s">
        <v>140</v>
      </c>
      <c r="O53" s="165" t="s">
        <v>204</v>
      </c>
      <c r="P53" s="423" t="s">
        <v>229</v>
      </c>
      <c r="Q53" s="424"/>
      <c r="R53" s="410" t="s">
        <v>230</v>
      </c>
      <c r="S53" s="410"/>
      <c r="T53" s="410"/>
      <c r="U53" s="410"/>
      <c r="V53" s="400" t="s">
        <v>126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142</v>
      </c>
      <c r="B54" s="410"/>
      <c r="C54" s="168" t="s">
        <v>138</v>
      </c>
      <c r="D54" s="168" t="s">
        <v>154</v>
      </c>
      <c r="E54" s="168" t="s">
        <v>155</v>
      </c>
      <c r="F54" s="411" t="s">
        <v>275</v>
      </c>
      <c r="G54" s="412"/>
      <c r="H54" s="412"/>
      <c r="I54" s="412"/>
      <c r="J54" s="412"/>
      <c r="K54" s="412"/>
      <c r="L54" s="412"/>
      <c r="M54" s="413"/>
      <c r="N54" s="167" t="s">
        <v>124</v>
      </c>
      <c r="O54" s="165" t="s">
        <v>189</v>
      </c>
      <c r="P54" s="423" t="s">
        <v>221</v>
      </c>
      <c r="Q54" s="424"/>
      <c r="R54" s="410" t="s">
        <v>258</v>
      </c>
      <c r="S54" s="410"/>
      <c r="T54" s="410"/>
      <c r="U54" s="410"/>
      <c r="V54" s="400" t="s">
        <v>120</v>
      </c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 t="s">
        <v>140</v>
      </c>
      <c r="B55" s="410"/>
      <c r="C55" s="168" t="s">
        <v>204</v>
      </c>
      <c r="D55" s="168" t="s">
        <v>229</v>
      </c>
      <c r="E55" s="168" t="s">
        <v>230</v>
      </c>
      <c r="F55" s="411" t="s">
        <v>276</v>
      </c>
      <c r="G55" s="412"/>
      <c r="H55" s="412"/>
      <c r="I55" s="412"/>
      <c r="J55" s="412"/>
      <c r="K55" s="412"/>
      <c r="L55" s="412"/>
      <c r="M55" s="413"/>
      <c r="N55" s="167" t="s">
        <v>124</v>
      </c>
      <c r="O55" s="165" t="s">
        <v>165</v>
      </c>
      <c r="P55" s="423" t="s">
        <v>129</v>
      </c>
      <c r="Q55" s="424"/>
      <c r="R55" s="410" t="s">
        <v>259</v>
      </c>
      <c r="S55" s="410"/>
      <c r="T55" s="410"/>
      <c r="U55" s="410"/>
      <c r="V55" s="400" t="s">
        <v>120</v>
      </c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 t="s">
        <v>124</v>
      </c>
      <c r="B56" s="410"/>
      <c r="C56" s="168" t="s">
        <v>277</v>
      </c>
      <c r="D56" s="168" t="s">
        <v>278</v>
      </c>
      <c r="E56" s="168" t="s">
        <v>279</v>
      </c>
      <c r="F56" s="411" t="s">
        <v>280</v>
      </c>
      <c r="G56" s="412"/>
      <c r="H56" s="412"/>
      <c r="I56" s="412"/>
      <c r="J56" s="412"/>
      <c r="K56" s="412"/>
      <c r="L56" s="412"/>
      <c r="M56" s="413"/>
      <c r="N56" s="167" t="s">
        <v>124</v>
      </c>
      <c r="O56" s="165" t="s">
        <v>128</v>
      </c>
      <c r="P56" s="423" t="s">
        <v>117</v>
      </c>
      <c r="Q56" s="424"/>
      <c r="R56" s="410" t="s">
        <v>260</v>
      </c>
      <c r="S56" s="410"/>
      <c r="T56" s="410"/>
      <c r="U56" s="410"/>
      <c r="V56" s="400" t="s">
        <v>120</v>
      </c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 t="s">
        <v>142</v>
      </c>
      <c r="B57" s="410"/>
      <c r="C57" s="168" t="s">
        <v>281</v>
      </c>
      <c r="D57" s="168" t="s">
        <v>151</v>
      </c>
      <c r="E57" s="172" t="s">
        <v>150</v>
      </c>
      <c r="F57" s="411" t="s">
        <v>275</v>
      </c>
      <c r="G57" s="412"/>
      <c r="H57" s="412"/>
      <c r="I57" s="412"/>
      <c r="J57" s="412"/>
      <c r="K57" s="412"/>
      <c r="L57" s="412"/>
      <c r="M57" s="413"/>
      <c r="N57" s="167"/>
      <c r="O57" s="165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 t="s">
        <v>124</v>
      </c>
      <c r="B58" s="410"/>
      <c r="C58" s="168" t="s">
        <v>282</v>
      </c>
      <c r="D58" s="168" t="s">
        <v>278</v>
      </c>
      <c r="E58" s="168" t="s">
        <v>283</v>
      </c>
      <c r="F58" s="411" t="s">
        <v>284</v>
      </c>
      <c r="G58" s="412"/>
      <c r="H58" s="412"/>
      <c r="I58" s="412"/>
      <c r="J58" s="412"/>
      <c r="K58" s="412"/>
      <c r="L58" s="412"/>
      <c r="M58" s="413"/>
      <c r="N58" s="167"/>
      <c r="O58" s="165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 t="s">
        <v>124</v>
      </c>
      <c r="B59" s="410"/>
      <c r="C59" s="168" t="s">
        <v>286</v>
      </c>
      <c r="D59" s="168" t="s">
        <v>287</v>
      </c>
      <c r="E59" s="168" t="s">
        <v>288</v>
      </c>
      <c r="F59" s="411" t="s">
        <v>289</v>
      </c>
      <c r="G59" s="412"/>
      <c r="H59" s="412"/>
      <c r="I59" s="412"/>
      <c r="J59" s="412"/>
      <c r="K59" s="412"/>
      <c r="L59" s="412"/>
      <c r="M59" s="413"/>
      <c r="N59" s="167"/>
      <c r="O59" s="165"/>
      <c r="P59" s="423"/>
      <c r="Q59" s="424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</row>
    <row r="60" spans="1:32" ht="27" customHeight="1">
      <c r="A60" s="409"/>
      <c r="B60" s="410"/>
      <c r="C60" s="168"/>
      <c r="D60" s="168"/>
      <c r="E60" s="168"/>
      <c r="F60" s="411"/>
      <c r="G60" s="412"/>
      <c r="H60" s="412"/>
      <c r="I60" s="412"/>
      <c r="J60" s="412"/>
      <c r="K60" s="412"/>
      <c r="L60" s="412"/>
      <c r="M60" s="413"/>
      <c r="N60" s="167"/>
      <c r="O60" s="165"/>
      <c r="P60" s="410"/>
      <c r="Q60" s="410"/>
      <c r="R60" s="410"/>
      <c r="S60" s="410"/>
      <c r="T60" s="410"/>
      <c r="U60" s="410"/>
      <c r="V60" s="400"/>
      <c r="W60" s="400"/>
      <c r="X60" s="400"/>
      <c r="Y60" s="400"/>
      <c r="Z60" s="400"/>
      <c r="AA60" s="400"/>
      <c r="AB60" s="400"/>
      <c r="AC60" s="400"/>
      <c r="AD60" s="414"/>
      <c r="AF60" s="87">
        <f>8*3000</f>
        <v>24000</v>
      </c>
    </row>
    <row r="61" spans="1:32" ht="27" customHeight="1" thickBot="1">
      <c r="A61" s="415"/>
      <c r="B61" s="416"/>
      <c r="C61" s="169"/>
      <c r="D61" s="169"/>
      <c r="E61" s="169"/>
      <c r="F61" s="417"/>
      <c r="G61" s="418"/>
      <c r="H61" s="418"/>
      <c r="I61" s="418"/>
      <c r="J61" s="418"/>
      <c r="K61" s="418"/>
      <c r="L61" s="418"/>
      <c r="M61" s="419"/>
      <c r="N61" s="124"/>
      <c r="O61" s="114"/>
      <c r="P61" s="420"/>
      <c r="Q61" s="420"/>
      <c r="R61" s="420"/>
      <c r="S61" s="420"/>
      <c r="T61" s="420"/>
      <c r="U61" s="420"/>
      <c r="V61" s="421"/>
      <c r="W61" s="421"/>
      <c r="X61" s="421"/>
      <c r="Y61" s="421"/>
      <c r="Z61" s="421"/>
      <c r="AA61" s="421"/>
      <c r="AB61" s="421"/>
      <c r="AC61" s="421"/>
      <c r="AD61" s="422"/>
      <c r="AF61" s="87">
        <f>16*3000</f>
        <v>48000</v>
      </c>
    </row>
    <row r="62" spans="1:32" ht="27.75" thickBot="1">
      <c r="A62" s="407" t="s">
        <v>295</v>
      </c>
      <c r="B62" s="407"/>
      <c r="C62" s="407"/>
      <c r="D62" s="407"/>
      <c r="E62" s="407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408" t="s">
        <v>113</v>
      </c>
      <c r="B63" s="405"/>
      <c r="C63" s="166" t="s">
        <v>2</v>
      </c>
      <c r="D63" s="166" t="s">
        <v>37</v>
      </c>
      <c r="E63" s="166" t="s">
        <v>3</v>
      </c>
      <c r="F63" s="405" t="s">
        <v>110</v>
      </c>
      <c r="G63" s="405"/>
      <c r="H63" s="405"/>
      <c r="I63" s="405"/>
      <c r="J63" s="405"/>
      <c r="K63" s="405" t="s">
        <v>39</v>
      </c>
      <c r="L63" s="405"/>
      <c r="M63" s="166" t="s">
        <v>40</v>
      </c>
      <c r="N63" s="405" t="s">
        <v>41</v>
      </c>
      <c r="O63" s="405"/>
      <c r="P63" s="402" t="s">
        <v>42</v>
      </c>
      <c r="Q63" s="404"/>
      <c r="R63" s="402" t="s">
        <v>43</v>
      </c>
      <c r="S63" s="403"/>
      <c r="T63" s="403"/>
      <c r="U63" s="403"/>
      <c r="V63" s="403"/>
      <c r="W63" s="403"/>
      <c r="X63" s="403"/>
      <c r="Y63" s="403"/>
      <c r="Z63" s="403"/>
      <c r="AA63" s="404"/>
      <c r="AB63" s="405" t="s">
        <v>44</v>
      </c>
      <c r="AC63" s="405"/>
      <c r="AD63" s="406"/>
      <c r="AF63" s="87">
        <f>SUM(AF60:AF62)</f>
        <v>96000</v>
      </c>
    </row>
    <row r="64" spans="1:32" ht="25.5" customHeight="1">
      <c r="A64" s="396">
        <v>1</v>
      </c>
      <c r="B64" s="397"/>
      <c r="C64" s="117"/>
      <c r="D64" s="161"/>
      <c r="E64" s="164"/>
      <c r="F64" s="398"/>
      <c r="G64" s="390"/>
      <c r="H64" s="390"/>
      <c r="I64" s="390"/>
      <c r="J64" s="390"/>
      <c r="K64" s="390"/>
      <c r="L64" s="390"/>
      <c r="M64" s="51"/>
      <c r="N64" s="401"/>
      <c r="O64" s="401"/>
      <c r="P64" s="399"/>
      <c r="Q64" s="399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2</v>
      </c>
      <c r="B65" s="397"/>
      <c r="C65" s="117"/>
      <c r="D65" s="161"/>
      <c r="E65" s="164"/>
      <c r="F65" s="398"/>
      <c r="G65" s="390"/>
      <c r="H65" s="390"/>
      <c r="I65" s="390"/>
      <c r="J65" s="390"/>
      <c r="K65" s="390"/>
      <c r="L65" s="390"/>
      <c r="M65" s="51"/>
      <c r="N65" s="401"/>
      <c r="O65" s="401"/>
      <c r="P65" s="399"/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3</v>
      </c>
      <c r="B66" s="397"/>
      <c r="C66" s="117"/>
      <c r="D66" s="161"/>
      <c r="E66" s="164"/>
      <c r="F66" s="398"/>
      <c r="G66" s="390"/>
      <c r="H66" s="390"/>
      <c r="I66" s="390"/>
      <c r="J66" s="390"/>
      <c r="K66" s="390"/>
      <c r="L66" s="390"/>
      <c r="M66" s="51"/>
      <c r="N66" s="401"/>
      <c r="O66" s="401"/>
      <c r="P66" s="399"/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4</v>
      </c>
      <c r="B67" s="397"/>
      <c r="C67" s="117"/>
      <c r="D67" s="161"/>
      <c r="E67" s="164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5</v>
      </c>
      <c r="B68" s="397"/>
      <c r="C68" s="117"/>
      <c r="D68" s="161"/>
      <c r="E68" s="164"/>
      <c r="F68" s="398"/>
      <c r="G68" s="390"/>
      <c r="H68" s="390"/>
      <c r="I68" s="390"/>
      <c r="J68" s="390"/>
      <c r="K68" s="390"/>
      <c r="L68" s="390"/>
      <c r="M68" s="51"/>
      <c r="N68" s="401"/>
      <c r="O68" s="401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6</v>
      </c>
      <c r="B69" s="397"/>
      <c r="C69" s="117"/>
      <c r="D69" s="161"/>
      <c r="E69" s="164"/>
      <c r="F69" s="398"/>
      <c r="G69" s="390"/>
      <c r="H69" s="390"/>
      <c r="I69" s="390"/>
      <c r="J69" s="390"/>
      <c r="K69" s="390"/>
      <c r="L69" s="390"/>
      <c r="M69" s="51"/>
      <c r="N69" s="390"/>
      <c r="O69" s="390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7</v>
      </c>
      <c r="B70" s="397"/>
      <c r="C70" s="117"/>
      <c r="D70" s="161"/>
      <c r="E70" s="164"/>
      <c r="F70" s="398"/>
      <c r="G70" s="390"/>
      <c r="H70" s="390"/>
      <c r="I70" s="390"/>
      <c r="J70" s="390"/>
      <c r="K70" s="390"/>
      <c r="L70" s="390"/>
      <c r="M70" s="51"/>
      <c r="N70" s="401"/>
      <c r="O70" s="401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5.5" customHeight="1">
      <c r="A71" s="396">
        <v>8</v>
      </c>
      <c r="B71" s="397"/>
      <c r="C71" s="117"/>
      <c r="D71" s="161"/>
      <c r="E71" s="164"/>
      <c r="F71" s="398"/>
      <c r="G71" s="390"/>
      <c r="H71" s="390"/>
      <c r="I71" s="390"/>
      <c r="J71" s="390"/>
      <c r="K71" s="390"/>
      <c r="L71" s="390"/>
      <c r="M71" s="51"/>
      <c r="N71" s="390"/>
      <c r="O71" s="390"/>
      <c r="P71" s="399"/>
      <c r="Q71" s="399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390"/>
      <c r="AC71" s="390"/>
      <c r="AD71" s="391"/>
      <c r="AF71" s="50"/>
    </row>
    <row r="72" spans="1:32" ht="26.25" customHeight="1" thickBot="1">
      <c r="A72" s="370" t="s">
        <v>296</v>
      </c>
      <c r="B72" s="370"/>
      <c r="C72" s="370"/>
      <c r="D72" s="370"/>
      <c r="E72" s="370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371" t="s">
        <v>113</v>
      </c>
      <c r="B73" s="372"/>
      <c r="C73" s="163" t="s">
        <v>2</v>
      </c>
      <c r="D73" s="163" t="s">
        <v>37</v>
      </c>
      <c r="E73" s="163" t="s">
        <v>3</v>
      </c>
      <c r="F73" s="372" t="s">
        <v>38</v>
      </c>
      <c r="G73" s="372"/>
      <c r="H73" s="372"/>
      <c r="I73" s="372"/>
      <c r="J73" s="372"/>
      <c r="K73" s="392" t="s">
        <v>58</v>
      </c>
      <c r="L73" s="393"/>
      <c r="M73" s="393"/>
      <c r="N73" s="393"/>
      <c r="O73" s="393"/>
      <c r="P73" s="393"/>
      <c r="Q73" s="393"/>
      <c r="R73" s="393"/>
      <c r="S73" s="394"/>
      <c r="T73" s="372" t="s">
        <v>49</v>
      </c>
      <c r="U73" s="372"/>
      <c r="V73" s="392" t="s">
        <v>50</v>
      </c>
      <c r="W73" s="394"/>
      <c r="X73" s="393" t="s">
        <v>51</v>
      </c>
      <c r="Y73" s="393"/>
      <c r="Z73" s="393"/>
      <c r="AA73" s="393"/>
      <c r="AB73" s="393"/>
      <c r="AC73" s="393"/>
      <c r="AD73" s="395"/>
      <c r="AF73" s="50"/>
    </row>
    <row r="74" spans="1:32" ht="33.75" customHeight="1">
      <c r="A74" s="364">
        <v>1</v>
      </c>
      <c r="B74" s="365"/>
      <c r="C74" s="162" t="s">
        <v>114</v>
      </c>
      <c r="D74" s="162"/>
      <c r="E74" s="65" t="s">
        <v>119</v>
      </c>
      <c r="F74" s="379" t="s">
        <v>118</v>
      </c>
      <c r="G74" s="380"/>
      <c r="H74" s="380"/>
      <c r="I74" s="380"/>
      <c r="J74" s="381"/>
      <c r="K74" s="382" t="s">
        <v>156</v>
      </c>
      <c r="L74" s="383"/>
      <c r="M74" s="383"/>
      <c r="N74" s="383"/>
      <c r="O74" s="383"/>
      <c r="P74" s="383"/>
      <c r="Q74" s="383"/>
      <c r="R74" s="383"/>
      <c r="S74" s="384"/>
      <c r="T74" s="385">
        <v>43675</v>
      </c>
      <c r="U74" s="386"/>
      <c r="V74" s="387"/>
      <c r="W74" s="387"/>
      <c r="X74" s="388"/>
      <c r="Y74" s="388"/>
      <c r="Z74" s="388"/>
      <c r="AA74" s="388"/>
      <c r="AB74" s="388"/>
      <c r="AC74" s="388"/>
      <c r="AD74" s="389"/>
      <c r="AF74" s="50"/>
    </row>
    <row r="75" spans="1:32" ht="30" customHeight="1">
      <c r="A75" s="357">
        <f>A74+1</f>
        <v>2</v>
      </c>
      <c r="B75" s="358"/>
      <c r="C75" s="161"/>
      <c r="D75" s="161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ref="A76:A82" si="22">A75+1</f>
        <v>3</v>
      </c>
      <c r="B76" s="358"/>
      <c r="C76" s="161"/>
      <c r="D76" s="161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22"/>
        <v>4</v>
      </c>
      <c r="B77" s="358"/>
      <c r="C77" s="161"/>
      <c r="D77" s="161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22"/>
        <v>5</v>
      </c>
      <c r="B78" s="358"/>
      <c r="C78" s="161"/>
      <c r="D78" s="161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22"/>
        <v>6</v>
      </c>
      <c r="B79" s="358"/>
      <c r="C79" s="161"/>
      <c r="D79" s="161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22"/>
        <v>7</v>
      </c>
      <c r="B80" s="358"/>
      <c r="C80" s="161"/>
      <c r="D80" s="161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22"/>
        <v>8</v>
      </c>
      <c r="B81" s="358"/>
      <c r="C81" s="161"/>
      <c r="D81" s="161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0" customHeight="1">
      <c r="A82" s="357">
        <f t="shared" si="22"/>
        <v>9</v>
      </c>
      <c r="B82" s="358"/>
      <c r="C82" s="161"/>
      <c r="D82" s="161"/>
      <c r="E82" s="32"/>
      <c r="F82" s="358"/>
      <c r="G82" s="358"/>
      <c r="H82" s="358"/>
      <c r="I82" s="358"/>
      <c r="J82" s="358"/>
      <c r="K82" s="373"/>
      <c r="L82" s="374"/>
      <c r="M82" s="374"/>
      <c r="N82" s="374"/>
      <c r="O82" s="374"/>
      <c r="P82" s="374"/>
      <c r="Q82" s="374"/>
      <c r="R82" s="374"/>
      <c r="S82" s="375"/>
      <c r="T82" s="376"/>
      <c r="U82" s="376"/>
      <c r="V82" s="376"/>
      <c r="W82" s="376"/>
      <c r="X82" s="377"/>
      <c r="Y82" s="377"/>
      <c r="Z82" s="377"/>
      <c r="AA82" s="377"/>
      <c r="AB82" s="377"/>
      <c r="AC82" s="377"/>
      <c r="AD82" s="378"/>
      <c r="AF82" s="50"/>
    </row>
    <row r="83" spans="1:32" ht="36" thickBot="1">
      <c r="A83" s="370" t="s">
        <v>297</v>
      </c>
      <c r="B83" s="370"/>
      <c r="C83" s="370"/>
      <c r="D83" s="370"/>
      <c r="E83" s="370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371" t="s">
        <v>113</v>
      </c>
      <c r="B84" s="372"/>
      <c r="C84" s="362" t="s">
        <v>52</v>
      </c>
      <c r="D84" s="362"/>
      <c r="E84" s="362" t="s">
        <v>53</v>
      </c>
      <c r="F84" s="362"/>
      <c r="G84" s="362"/>
      <c r="H84" s="362"/>
      <c r="I84" s="362"/>
      <c r="J84" s="362"/>
      <c r="K84" s="362" t="s">
        <v>54</v>
      </c>
      <c r="L84" s="362"/>
      <c r="M84" s="362"/>
      <c r="N84" s="362"/>
      <c r="O84" s="362"/>
      <c r="P84" s="362"/>
      <c r="Q84" s="362"/>
      <c r="R84" s="362"/>
      <c r="S84" s="362"/>
      <c r="T84" s="362" t="s">
        <v>55</v>
      </c>
      <c r="U84" s="362"/>
      <c r="V84" s="362" t="s">
        <v>56</v>
      </c>
      <c r="W84" s="362"/>
      <c r="X84" s="362"/>
      <c r="Y84" s="362" t="s">
        <v>51</v>
      </c>
      <c r="Z84" s="362"/>
      <c r="AA84" s="362"/>
      <c r="AB84" s="362"/>
      <c r="AC84" s="362"/>
      <c r="AD84" s="363"/>
      <c r="AF84" s="50"/>
    </row>
    <row r="85" spans="1:32" ht="30.75" customHeight="1">
      <c r="A85" s="364">
        <v>1</v>
      </c>
      <c r="B85" s="365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7"/>
      <c r="W85" s="367"/>
      <c r="X85" s="367"/>
      <c r="Y85" s="368"/>
      <c r="Z85" s="368"/>
      <c r="AA85" s="368"/>
      <c r="AB85" s="368"/>
      <c r="AC85" s="368"/>
      <c r="AD85" s="369"/>
      <c r="AF85" s="50"/>
    </row>
    <row r="86" spans="1:32" ht="30.75" customHeight="1">
      <c r="A86" s="357">
        <v>2</v>
      </c>
      <c r="B86" s="358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60"/>
      <c r="U86" s="360"/>
      <c r="V86" s="361"/>
      <c r="W86" s="361"/>
      <c r="X86" s="361"/>
      <c r="Y86" s="350"/>
      <c r="Z86" s="350"/>
      <c r="AA86" s="350"/>
      <c r="AB86" s="350"/>
      <c r="AC86" s="350"/>
      <c r="AD86" s="351"/>
      <c r="AF86" s="50"/>
    </row>
    <row r="87" spans="1:32" ht="30.75" customHeight="1" thickBot="1">
      <c r="A87" s="352">
        <v>3</v>
      </c>
      <c r="B87" s="353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55"/>
      <c r="Z87" s="355"/>
      <c r="AA87" s="355"/>
      <c r="AB87" s="355"/>
      <c r="AC87" s="355"/>
      <c r="AD87" s="356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C1F1-2271-45F4-820A-7453B4553BF5}">
  <sheetPr codeName="Sheet7"/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298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183" t="s">
        <v>17</v>
      </c>
      <c r="L5" s="183" t="s">
        <v>18</v>
      </c>
      <c r="M5" s="183" t="s">
        <v>19</v>
      </c>
      <c r="N5" s="183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0.59722222222222221</v>
      </c>
      <c r="AF6" s="87">
        <f t="shared" ref="AF6:AF21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0.59722222222222221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15000</v>
      </c>
      <c r="J8" s="14">
        <v>4613</v>
      </c>
      <c r="K8" s="15">
        <f>L8+3610+4566+4051+4702</f>
        <v>21542</v>
      </c>
      <c r="L8" s="15">
        <f>2478+2135</f>
        <v>4613</v>
      </c>
      <c r="M8" s="15">
        <f t="shared" si="1"/>
        <v>4613</v>
      </c>
      <c r="N8" s="15">
        <v>0</v>
      </c>
      <c r="O8" s="58">
        <f t="shared" si="2"/>
        <v>0</v>
      </c>
      <c r="P8" s="39">
        <f t="shared" si="3"/>
        <v>22</v>
      </c>
      <c r="Q8" s="40">
        <f t="shared" si="4"/>
        <v>2</v>
      </c>
      <c r="R8" s="7"/>
      <c r="S8" s="6">
        <v>2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0.91666666666666663</v>
      </c>
      <c r="AD8" s="10">
        <f t="shared" si="7"/>
        <v>0.91666666666666663</v>
      </c>
      <c r="AE8" s="36">
        <f t="shared" si="8"/>
        <v>0.59722222222222221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124</v>
      </c>
      <c r="D9" s="52" t="s">
        <v>221</v>
      </c>
      <c r="E9" s="53" t="s">
        <v>258</v>
      </c>
      <c r="F9" s="30" t="s">
        <v>132</v>
      </c>
      <c r="G9" s="33">
        <v>1</v>
      </c>
      <c r="H9" s="35">
        <v>24</v>
      </c>
      <c r="I9" s="7">
        <v>1000</v>
      </c>
      <c r="J9" s="14">
        <v>6078</v>
      </c>
      <c r="K9" s="15">
        <f>L9+5119</f>
        <v>11197</v>
      </c>
      <c r="L9" s="15">
        <f>2954+3124</f>
        <v>6078</v>
      </c>
      <c r="M9" s="15">
        <f t="shared" si="1"/>
        <v>6078</v>
      </c>
      <c r="N9" s="15">
        <v>0</v>
      </c>
      <c r="O9" s="58">
        <f t="shared" si="2"/>
        <v>0</v>
      </c>
      <c r="P9" s="39">
        <f t="shared" si="3"/>
        <v>24</v>
      </c>
      <c r="Q9" s="40">
        <f t="shared" si="4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1</v>
      </c>
      <c r="AD9" s="10">
        <f t="shared" si="7"/>
        <v>1</v>
      </c>
      <c r="AE9" s="36">
        <f t="shared" si="8"/>
        <v>0.59722222222222221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142</v>
      </c>
      <c r="D10" s="52" t="s">
        <v>152</v>
      </c>
      <c r="E10" s="53" t="s">
        <v>150</v>
      </c>
      <c r="F10" s="30" t="s">
        <v>121</v>
      </c>
      <c r="G10" s="33">
        <v>2</v>
      </c>
      <c r="H10" s="35">
        <v>24</v>
      </c>
      <c r="I10" s="7">
        <v>90000</v>
      </c>
      <c r="J10" s="5">
        <v>14620</v>
      </c>
      <c r="K10" s="15">
        <f>L10+1714+13656+15988+16420+5830+12022+8590+10992+16158+15754+14620</f>
        <v>131744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0.59722222222222221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124</v>
      </c>
      <c r="D11" s="52" t="s">
        <v>299</v>
      </c>
      <c r="E11" s="53" t="s">
        <v>300</v>
      </c>
      <c r="F11" s="30" t="s">
        <v>131</v>
      </c>
      <c r="G11" s="33">
        <v>1</v>
      </c>
      <c r="H11" s="35">
        <v>20</v>
      </c>
      <c r="I11" s="7">
        <v>5000</v>
      </c>
      <c r="J11" s="14">
        <v>2380</v>
      </c>
      <c r="K11" s="15">
        <f>L11</f>
        <v>2380</v>
      </c>
      <c r="L11" s="15">
        <f>2380</f>
        <v>2380</v>
      </c>
      <c r="M11" s="15">
        <f t="shared" si="1"/>
        <v>2380</v>
      </c>
      <c r="N11" s="15">
        <v>0</v>
      </c>
      <c r="O11" s="58">
        <f t="shared" si="2"/>
        <v>0</v>
      </c>
      <c r="P11" s="39">
        <f t="shared" si="3"/>
        <v>13</v>
      </c>
      <c r="Q11" s="40">
        <f t="shared" si="4"/>
        <v>11</v>
      </c>
      <c r="R11" s="7"/>
      <c r="S11" s="6"/>
      <c r="T11" s="16">
        <v>11</v>
      </c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0.54166666666666663</v>
      </c>
      <c r="AD11" s="10">
        <f t="shared" ref="AD11" si="10">AC11*AB11*(1-O11)</f>
        <v>0.54166666666666663</v>
      </c>
      <c r="AE11" s="36">
        <f t="shared" si="8"/>
        <v>0.59722222222222221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158</v>
      </c>
      <c r="F12" s="30" t="s">
        <v>132</v>
      </c>
      <c r="G12" s="33">
        <v>1</v>
      </c>
      <c r="H12" s="35">
        <v>20</v>
      </c>
      <c r="I12" s="7">
        <v>30000</v>
      </c>
      <c r="J12" s="14">
        <v>3683</v>
      </c>
      <c r="K12" s="15">
        <f>L12+3692+4770+4641+4418+3314</f>
        <v>24518</v>
      </c>
      <c r="L12" s="15">
        <f>1437+2246</f>
        <v>3683</v>
      </c>
      <c r="M12" s="15">
        <f t="shared" si="1"/>
        <v>3683</v>
      </c>
      <c r="N12" s="15">
        <v>0</v>
      </c>
      <c r="O12" s="58">
        <f t="shared" si="2"/>
        <v>0</v>
      </c>
      <c r="P12" s="39">
        <f t="shared" si="3"/>
        <v>20</v>
      </c>
      <c r="Q12" s="40">
        <f t="shared" si="4"/>
        <v>4</v>
      </c>
      <c r="R12" s="7"/>
      <c r="S12" s="6">
        <v>4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0.83333333333333337</v>
      </c>
      <c r="AD12" s="10">
        <f t="shared" si="7"/>
        <v>0.83333333333333337</v>
      </c>
      <c r="AE12" s="36">
        <f t="shared" si="8"/>
        <v>0.59722222222222221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140</v>
      </c>
      <c r="D13" s="52" t="s">
        <v>301</v>
      </c>
      <c r="E13" s="53" t="s">
        <v>302</v>
      </c>
      <c r="F13" s="30" t="s">
        <v>131</v>
      </c>
      <c r="G13" s="33">
        <v>1</v>
      </c>
      <c r="H13" s="35">
        <v>24</v>
      </c>
      <c r="I13" s="7">
        <v>2000</v>
      </c>
      <c r="J13" s="14">
        <v>2176</v>
      </c>
      <c r="K13" s="15">
        <f>L13</f>
        <v>2176</v>
      </c>
      <c r="L13" s="15">
        <f>460+1716</f>
        <v>2176</v>
      </c>
      <c r="M13" s="15">
        <f t="shared" si="1"/>
        <v>2176</v>
      </c>
      <c r="N13" s="15">
        <v>0</v>
      </c>
      <c r="O13" s="58">
        <f t="shared" si="2"/>
        <v>0</v>
      </c>
      <c r="P13" s="39">
        <f t="shared" si="3"/>
        <v>14</v>
      </c>
      <c r="Q13" s="40">
        <f t="shared" si="4"/>
        <v>10</v>
      </c>
      <c r="R13" s="7"/>
      <c r="S13" s="6">
        <v>10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0.58333333333333337</v>
      </c>
      <c r="AD13" s="10">
        <f t="shared" si="7"/>
        <v>0.58333333333333337</v>
      </c>
      <c r="AE13" s="36">
        <f t="shared" si="8"/>
        <v>0.59722222222222221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140</v>
      </c>
      <c r="D14" s="52" t="s">
        <v>223</v>
      </c>
      <c r="E14" s="53" t="s">
        <v>224</v>
      </c>
      <c r="F14" s="30" t="s">
        <v>216</v>
      </c>
      <c r="G14" s="12">
        <v>1</v>
      </c>
      <c r="H14" s="13">
        <v>28</v>
      </c>
      <c r="I14" s="7">
        <v>1000</v>
      </c>
      <c r="J14" s="5">
        <v>1620</v>
      </c>
      <c r="K14" s="15">
        <f>L14+1620</f>
        <v>1620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0.59722222222222221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124</v>
      </c>
      <c r="D15" s="52" t="s">
        <v>135</v>
      </c>
      <c r="E15" s="53" t="s">
        <v>244</v>
      </c>
      <c r="F15" s="12" t="s">
        <v>134</v>
      </c>
      <c r="G15" s="12">
        <v>1</v>
      </c>
      <c r="H15" s="13">
        <v>24</v>
      </c>
      <c r="I15" s="31">
        <v>400</v>
      </c>
      <c r="J15" s="14">
        <v>814</v>
      </c>
      <c r="K15" s="15">
        <f>L15</f>
        <v>814</v>
      </c>
      <c r="L15" s="15">
        <v>814</v>
      </c>
      <c r="M15" s="15">
        <f t="shared" si="1"/>
        <v>814</v>
      </c>
      <c r="N15" s="15">
        <v>0</v>
      </c>
      <c r="O15" s="58">
        <f t="shared" si="2"/>
        <v>0</v>
      </c>
      <c r="P15" s="39">
        <f t="shared" si="3"/>
        <v>4</v>
      </c>
      <c r="Q15" s="40">
        <f t="shared" si="4"/>
        <v>20</v>
      </c>
      <c r="R15" s="7"/>
      <c r="S15" s="6"/>
      <c r="T15" s="16"/>
      <c r="U15" s="16"/>
      <c r="V15" s="17"/>
      <c r="W15" s="5">
        <v>20</v>
      </c>
      <c r="X15" s="16"/>
      <c r="Y15" s="16"/>
      <c r="Z15" s="16"/>
      <c r="AA15" s="18"/>
      <c r="AB15" s="8">
        <f t="shared" si="5"/>
        <v>1</v>
      </c>
      <c r="AC15" s="9">
        <f t="shared" si="6"/>
        <v>0.16666666666666666</v>
      </c>
      <c r="AD15" s="10">
        <f t="shared" si="7"/>
        <v>0.16666666666666666</v>
      </c>
      <c r="AE15" s="36">
        <f t="shared" si="8"/>
        <v>0.59722222222222221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129</v>
      </c>
      <c r="E16" s="53" t="s">
        <v>259</v>
      </c>
      <c r="F16" s="30" t="s">
        <v>130</v>
      </c>
      <c r="G16" s="12">
        <v>1</v>
      </c>
      <c r="H16" s="13">
        <v>28</v>
      </c>
      <c r="I16" s="7">
        <v>9000</v>
      </c>
      <c r="J16" s="14">
        <v>5503</v>
      </c>
      <c r="K16" s="15">
        <f>L16+5027</f>
        <v>10530</v>
      </c>
      <c r="L16" s="15">
        <f>2869+2634</f>
        <v>5503</v>
      </c>
      <c r="M16" s="15">
        <f t="shared" si="1"/>
        <v>5503</v>
      </c>
      <c r="N16" s="15">
        <v>0</v>
      </c>
      <c r="O16" s="58">
        <f t="shared" si="2"/>
        <v>0</v>
      </c>
      <c r="P16" s="39">
        <f t="shared" si="3"/>
        <v>24</v>
      </c>
      <c r="Q16" s="40">
        <f t="shared" si="4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1</v>
      </c>
      <c r="AD16" s="10">
        <f t="shared" si="7"/>
        <v>1</v>
      </c>
      <c r="AE16" s="36">
        <f t="shared" si="8"/>
        <v>0.59722222222222221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124</v>
      </c>
      <c r="D17" s="52" t="s">
        <v>135</v>
      </c>
      <c r="E17" s="53" t="s">
        <v>181</v>
      </c>
      <c r="F17" s="30" t="s">
        <v>134</v>
      </c>
      <c r="G17" s="33">
        <v>1</v>
      </c>
      <c r="H17" s="35">
        <v>20</v>
      </c>
      <c r="I17" s="7">
        <v>200</v>
      </c>
      <c r="J17" s="14">
        <v>272</v>
      </c>
      <c r="K17" s="15">
        <f>L17</f>
        <v>272</v>
      </c>
      <c r="L17" s="15">
        <v>272</v>
      </c>
      <c r="M17" s="15">
        <f t="shared" si="1"/>
        <v>272</v>
      </c>
      <c r="N17" s="15">
        <v>0</v>
      </c>
      <c r="O17" s="58">
        <f t="shared" si="2"/>
        <v>0</v>
      </c>
      <c r="P17" s="39">
        <f t="shared" si="3"/>
        <v>4</v>
      </c>
      <c r="Q17" s="40">
        <f t="shared" si="4"/>
        <v>20</v>
      </c>
      <c r="R17" s="7"/>
      <c r="S17" s="6"/>
      <c r="T17" s="16"/>
      <c r="U17" s="16"/>
      <c r="V17" s="17"/>
      <c r="W17" s="5">
        <v>20</v>
      </c>
      <c r="X17" s="16"/>
      <c r="Y17" s="16"/>
      <c r="Z17" s="16"/>
      <c r="AA17" s="18"/>
      <c r="AB17" s="8">
        <f t="shared" si="5"/>
        <v>1</v>
      </c>
      <c r="AC17" s="9">
        <f t="shared" si="6"/>
        <v>0.16666666666666666</v>
      </c>
      <c r="AD17" s="10">
        <f t="shared" si="7"/>
        <v>0.16666666666666666</v>
      </c>
      <c r="AE17" s="36">
        <f t="shared" si="8"/>
        <v>0.59722222222222221</v>
      </c>
      <c r="AF17" s="87">
        <f t="shared" si="9"/>
        <v>12</v>
      </c>
    </row>
    <row r="18" spans="1:32" ht="27" customHeight="1">
      <c r="A18" s="102">
        <v>12</v>
      </c>
      <c r="B18" s="11" t="s">
        <v>57</v>
      </c>
      <c r="C18" s="11" t="s">
        <v>303</v>
      </c>
      <c r="D18" s="52"/>
      <c r="E18" s="53" t="s">
        <v>304</v>
      </c>
      <c r="F18" s="30" t="s">
        <v>273</v>
      </c>
      <c r="G18" s="33" t="s">
        <v>153</v>
      </c>
      <c r="H18" s="35">
        <v>20</v>
      </c>
      <c r="I18" s="7">
        <v>2000</v>
      </c>
      <c r="J18" s="14">
        <v>3356</v>
      </c>
      <c r="K18" s="15">
        <f>L18</f>
        <v>3356</v>
      </c>
      <c r="L18" s="15">
        <f>884+2472</f>
        <v>3356</v>
      </c>
      <c r="M18" s="15">
        <f t="shared" si="1"/>
        <v>3356</v>
      </c>
      <c r="N18" s="15">
        <v>0</v>
      </c>
      <c r="O18" s="58">
        <f t="shared" si="2"/>
        <v>0</v>
      </c>
      <c r="P18" s="39">
        <f t="shared" si="3"/>
        <v>18</v>
      </c>
      <c r="Q18" s="40">
        <f t="shared" si="4"/>
        <v>6</v>
      </c>
      <c r="R18" s="7"/>
      <c r="S18" s="6"/>
      <c r="T18" s="16">
        <v>6</v>
      </c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0.75</v>
      </c>
      <c r="AD18" s="10">
        <f t="shared" si="7"/>
        <v>0.75</v>
      </c>
      <c r="AE18" s="36">
        <f t="shared" si="8"/>
        <v>0.59722222222222221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124</v>
      </c>
      <c r="D19" s="52" t="s">
        <v>117</v>
      </c>
      <c r="E19" s="53" t="s">
        <v>260</v>
      </c>
      <c r="F19" s="30" t="s">
        <v>121</v>
      </c>
      <c r="G19" s="33">
        <v>1</v>
      </c>
      <c r="H19" s="35">
        <v>24</v>
      </c>
      <c r="I19" s="7">
        <v>5000</v>
      </c>
      <c r="J19" s="5">
        <v>4843</v>
      </c>
      <c r="K19" s="15">
        <f>L19+3066</f>
        <v>7909</v>
      </c>
      <c r="L19" s="15">
        <f>2465+2378</f>
        <v>4843</v>
      </c>
      <c r="M19" s="15">
        <f t="shared" si="1"/>
        <v>4843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0.59722222222222221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11" t="s">
        <v>124</v>
      </c>
      <c r="D20" s="52" t="s">
        <v>245</v>
      </c>
      <c r="E20" s="53" t="s">
        <v>246</v>
      </c>
      <c r="F20" s="30" t="s">
        <v>247</v>
      </c>
      <c r="G20" s="33">
        <v>1</v>
      </c>
      <c r="H20" s="35">
        <v>24</v>
      </c>
      <c r="I20" s="7">
        <v>10000</v>
      </c>
      <c r="J20" s="5">
        <v>4959</v>
      </c>
      <c r="K20" s="15">
        <f>L20+4560+5151</f>
        <v>14670</v>
      </c>
      <c r="L20" s="15">
        <f>2743+2216</f>
        <v>4959</v>
      </c>
      <c r="M20" s="15">
        <f t="shared" si="1"/>
        <v>4959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ref="AD20" si="11">AC20*AB20*(1-O20)</f>
        <v>1</v>
      </c>
      <c r="AE20" s="36">
        <f t="shared" si="8"/>
        <v>0.59722222222222221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162</v>
      </c>
      <c r="F21" s="12" t="s">
        <v>116</v>
      </c>
      <c r="G21" s="12">
        <v>4</v>
      </c>
      <c r="H21" s="35">
        <v>20</v>
      </c>
      <c r="I21" s="7">
        <v>500000</v>
      </c>
      <c r="J21" s="14">
        <v>45468</v>
      </c>
      <c r="K21" s="15">
        <f>L21+19752+41052+33264+35472+82348</f>
        <v>257356</v>
      </c>
      <c r="L21" s="15">
        <f>11367*4</f>
        <v>45468</v>
      </c>
      <c r="M21" s="15">
        <f t="shared" si="1"/>
        <v>45468</v>
      </c>
      <c r="N21" s="15">
        <v>0</v>
      </c>
      <c r="O21" s="58">
        <f t="shared" si="2"/>
        <v>0</v>
      </c>
      <c r="P21" s="39">
        <f t="shared" si="3"/>
        <v>24</v>
      </c>
      <c r="Q21" s="40">
        <f t="shared" si="4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1</v>
      </c>
      <c r="AD21" s="10">
        <f t="shared" si="7"/>
        <v>1</v>
      </c>
      <c r="AE21" s="36">
        <f t="shared" si="8"/>
        <v>0.59722222222222221</v>
      </c>
      <c r="AF21" s="87">
        <f t="shared" si="9"/>
        <v>15</v>
      </c>
    </row>
    <row r="22" spans="1:32" ht="31.5" customHeight="1" thickBot="1">
      <c r="A22" s="427" t="s">
        <v>34</v>
      </c>
      <c r="B22" s="428"/>
      <c r="C22" s="428"/>
      <c r="D22" s="428"/>
      <c r="E22" s="428"/>
      <c r="F22" s="428"/>
      <c r="G22" s="428"/>
      <c r="H22" s="429"/>
      <c r="I22" s="22">
        <f t="shared" ref="I22:N22" si="12">SUM(I6:I21)</f>
        <v>691600</v>
      </c>
      <c r="J22" s="19">
        <f t="shared" si="12"/>
        <v>102446</v>
      </c>
      <c r="K22" s="20">
        <f t="shared" si="12"/>
        <v>501632</v>
      </c>
      <c r="L22" s="21">
        <f t="shared" si="12"/>
        <v>84145</v>
      </c>
      <c r="M22" s="20">
        <f t="shared" si="12"/>
        <v>84145</v>
      </c>
      <c r="N22" s="21">
        <f t="shared" si="12"/>
        <v>0</v>
      </c>
      <c r="O22" s="41">
        <f t="shared" si="2"/>
        <v>0</v>
      </c>
      <c r="P22" s="42">
        <f t="shared" ref="P22:AA22" si="13">SUM(P6:P21)</f>
        <v>215</v>
      </c>
      <c r="Q22" s="43">
        <f t="shared" si="13"/>
        <v>169</v>
      </c>
      <c r="R22" s="23">
        <f t="shared" si="13"/>
        <v>24</v>
      </c>
      <c r="S22" s="24">
        <f t="shared" si="13"/>
        <v>40</v>
      </c>
      <c r="T22" s="24">
        <f t="shared" si="13"/>
        <v>17</v>
      </c>
      <c r="U22" s="24">
        <f t="shared" si="13"/>
        <v>0</v>
      </c>
      <c r="V22" s="25">
        <f t="shared" si="13"/>
        <v>24</v>
      </c>
      <c r="W22" s="26">
        <f t="shared" si="13"/>
        <v>64</v>
      </c>
      <c r="X22" s="27">
        <f t="shared" si="13"/>
        <v>0</v>
      </c>
      <c r="Y22" s="27">
        <f t="shared" si="13"/>
        <v>0</v>
      </c>
      <c r="Z22" s="27">
        <f t="shared" si="13"/>
        <v>0</v>
      </c>
      <c r="AA22" s="27">
        <f t="shared" si="13"/>
        <v>0</v>
      </c>
      <c r="AB22" s="28">
        <f>SUM(AB6:AB21)/15</f>
        <v>0.8</v>
      </c>
      <c r="AC22" s="4">
        <f>SUM(AC6:AC21)/15</f>
        <v>0.59722222222222221</v>
      </c>
      <c r="AD22" s="4">
        <f>SUM(AD6:AD21)/15</f>
        <v>0.59722222222222221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430" t="s">
        <v>45</v>
      </c>
      <c r="B49" s="430"/>
      <c r="C49" s="430"/>
      <c r="D49" s="430"/>
      <c r="E49" s="430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431" t="s">
        <v>305</v>
      </c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3"/>
      <c r="N50" s="434" t="s">
        <v>309</v>
      </c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5"/>
      <c r="AD50" s="436"/>
    </row>
    <row r="51" spans="1:32" ht="27" customHeight="1">
      <c r="A51" s="437" t="s">
        <v>2</v>
      </c>
      <c r="B51" s="438"/>
      <c r="C51" s="182" t="s">
        <v>46</v>
      </c>
      <c r="D51" s="182" t="s">
        <v>47</v>
      </c>
      <c r="E51" s="182" t="s">
        <v>108</v>
      </c>
      <c r="F51" s="438" t="s">
        <v>107</v>
      </c>
      <c r="G51" s="438"/>
      <c r="H51" s="438"/>
      <c r="I51" s="438"/>
      <c r="J51" s="438"/>
      <c r="K51" s="438"/>
      <c r="L51" s="438"/>
      <c r="M51" s="439"/>
      <c r="N51" s="67" t="s">
        <v>112</v>
      </c>
      <c r="O51" s="182" t="s">
        <v>46</v>
      </c>
      <c r="P51" s="440" t="s">
        <v>47</v>
      </c>
      <c r="Q51" s="441"/>
      <c r="R51" s="440" t="s">
        <v>38</v>
      </c>
      <c r="S51" s="442"/>
      <c r="T51" s="442"/>
      <c r="U51" s="441"/>
      <c r="V51" s="440" t="s">
        <v>48</v>
      </c>
      <c r="W51" s="442"/>
      <c r="X51" s="442"/>
      <c r="Y51" s="442"/>
      <c r="Z51" s="442"/>
      <c r="AA51" s="442"/>
      <c r="AB51" s="442"/>
      <c r="AC51" s="442"/>
      <c r="AD51" s="443"/>
    </row>
    <row r="52" spans="1:32" ht="27" customHeight="1">
      <c r="A52" s="409" t="s">
        <v>124</v>
      </c>
      <c r="B52" s="410"/>
      <c r="C52" s="180" t="s">
        <v>145</v>
      </c>
      <c r="D52" s="180" t="s">
        <v>122</v>
      </c>
      <c r="E52" s="180" t="s">
        <v>175</v>
      </c>
      <c r="F52" s="411" t="s">
        <v>306</v>
      </c>
      <c r="G52" s="412"/>
      <c r="H52" s="412"/>
      <c r="I52" s="412"/>
      <c r="J52" s="412"/>
      <c r="K52" s="412"/>
      <c r="L52" s="412"/>
      <c r="M52" s="413"/>
      <c r="N52" s="179" t="s">
        <v>142</v>
      </c>
      <c r="O52" s="177" t="s">
        <v>136</v>
      </c>
      <c r="P52" s="423" t="s">
        <v>151</v>
      </c>
      <c r="Q52" s="424"/>
      <c r="R52" s="410" t="s">
        <v>150</v>
      </c>
      <c r="S52" s="410"/>
      <c r="T52" s="410"/>
      <c r="U52" s="410"/>
      <c r="V52" s="400" t="s">
        <v>126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142</v>
      </c>
      <c r="B53" s="410"/>
      <c r="C53" s="180" t="s">
        <v>138</v>
      </c>
      <c r="D53" s="180" t="s">
        <v>154</v>
      </c>
      <c r="E53" s="180" t="s">
        <v>155</v>
      </c>
      <c r="F53" s="411" t="s">
        <v>307</v>
      </c>
      <c r="G53" s="412"/>
      <c r="H53" s="412"/>
      <c r="I53" s="412"/>
      <c r="J53" s="412"/>
      <c r="K53" s="412"/>
      <c r="L53" s="412"/>
      <c r="M53" s="413"/>
      <c r="N53" s="179" t="s">
        <v>114</v>
      </c>
      <c r="O53" s="177" t="s">
        <v>128</v>
      </c>
      <c r="P53" s="423" t="s">
        <v>117</v>
      </c>
      <c r="Q53" s="424"/>
      <c r="R53" s="410" t="s">
        <v>310</v>
      </c>
      <c r="S53" s="410"/>
      <c r="T53" s="410"/>
      <c r="U53" s="410"/>
      <c r="V53" s="400" t="s">
        <v>120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124</v>
      </c>
      <c r="B54" s="410"/>
      <c r="C54" s="180" t="s">
        <v>138</v>
      </c>
      <c r="D54" s="180" t="s">
        <v>299</v>
      </c>
      <c r="E54" s="180" t="s">
        <v>308</v>
      </c>
      <c r="F54" s="411" t="s">
        <v>120</v>
      </c>
      <c r="G54" s="412"/>
      <c r="H54" s="412"/>
      <c r="I54" s="412"/>
      <c r="J54" s="412"/>
      <c r="K54" s="412"/>
      <c r="L54" s="412"/>
      <c r="M54" s="413"/>
      <c r="N54" s="179"/>
      <c r="O54" s="177"/>
      <c r="P54" s="423"/>
      <c r="Q54" s="424"/>
      <c r="R54" s="410"/>
      <c r="S54" s="410"/>
      <c r="T54" s="410"/>
      <c r="U54" s="410"/>
      <c r="V54" s="400"/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 t="s">
        <v>140</v>
      </c>
      <c r="B55" s="410"/>
      <c r="C55" s="180" t="s">
        <v>204</v>
      </c>
      <c r="D55" s="180" t="s">
        <v>301</v>
      </c>
      <c r="E55" s="180" t="s">
        <v>302</v>
      </c>
      <c r="F55" s="411" t="s">
        <v>120</v>
      </c>
      <c r="G55" s="412"/>
      <c r="H55" s="412"/>
      <c r="I55" s="412"/>
      <c r="J55" s="412"/>
      <c r="K55" s="412"/>
      <c r="L55" s="412"/>
      <c r="M55" s="413"/>
      <c r="N55" s="179"/>
      <c r="O55" s="177"/>
      <c r="P55" s="423"/>
      <c r="Q55" s="424"/>
      <c r="R55" s="410"/>
      <c r="S55" s="410"/>
      <c r="T55" s="410"/>
      <c r="U55" s="410"/>
      <c r="V55" s="400"/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 t="s">
        <v>124</v>
      </c>
      <c r="B56" s="410"/>
      <c r="C56" s="180" t="s">
        <v>176</v>
      </c>
      <c r="D56" s="180" t="s">
        <v>117</v>
      </c>
      <c r="E56" s="180" t="s">
        <v>158</v>
      </c>
      <c r="F56" s="411" t="s">
        <v>306</v>
      </c>
      <c r="G56" s="412"/>
      <c r="H56" s="412"/>
      <c r="I56" s="412"/>
      <c r="J56" s="412"/>
      <c r="K56" s="412"/>
      <c r="L56" s="412"/>
      <c r="M56" s="413"/>
      <c r="N56" s="179"/>
      <c r="O56" s="177"/>
      <c r="P56" s="423"/>
      <c r="Q56" s="424"/>
      <c r="R56" s="410"/>
      <c r="S56" s="410"/>
      <c r="T56" s="410"/>
      <c r="U56" s="410"/>
      <c r="V56" s="400"/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 t="s">
        <v>124</v>
      </c>
      <c r="B57" s="410"/>
      <c r="C57" s="180" t="s">
        <v>210</v>
      </c>
      <c r="D57" s="180" t="s">
        <v>135</v>
      </c>
      <c r="E57" s="180" t="s">
        <v>244</v>
      </c>
      <c r="F57" s="411" t="s">
        <v>120</v>
      </c>
      <c r="G57" s="412"/>
      <c r="H57" s="412"/>
      <c r="I57" s="412"/>
      <c r="J57" s="412"/>
      <c r="K57" s="412"/>
      <c r="L57" s="412"/>
      <c r="M57" s="413"/>
      <c r="N57" s="179"/>
      <c r="O57" s="177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 t="s">
        <v>124</v>
      </c>
      <c r="B58" s="410"/>
      <c r="C58" s="180" t="s">
        <v>143</v>
      </c>
      <c r="D58" s="180" t="s">
        <v>135</v>
      </c>
      <c r="E58" s="180" t="s">
        <v>181</v>
      </c>
      <c r="F58" s="411" t="s">
        <v>120</v>
      </c>
      <c r="G58" s="412"/>
      <c r="H58" s="412"/>
      <c r="I58" s="412"/>
      <c r="J58" s="412"/>
      <c r="K58" s="412"/>
      <c r="L58" s="412"/>
      <c r="M58" s="413"/>
      <c r="N58" s="179"/>
      <c r="O58" s="177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180"/>
      <c r="D59" s="180"/>
      <c r="E59" s="180"/>
      <c r="F59" s="411"/>
      <c r="G59" s="412"/>
      <c r="H59" s="412"/>
      <c r="I59" s="412"/>
      <c r="J59" s="412"/>
      <c r="K59" s="412"/>
      <c r="L59" s="412"/>
      <c r="M59" s="413"/>
      <c r="N59" s="179"/>
      <c r="O59" s="177"/>
      <c r="P59" s="423"/>
      <c r="Q59" s="424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</row>
    <row r="60" spans="1:32" ht="27" customHeight="1">
      <c r="A60" s="409"/>
      <c r="B60" s="410"/>
      <c r="C60" s="180"/>
      <c r="D60" s="180"/>
      <c r="E60" s="180"/>
      <c r="F60" s="411"/>
      <c r="G60" s="412"/>
      <c r="H60" s="412"/>
      <c r="I60" s="412"/>
      <c r="J60" s="412"/>
      <c r="K60" s="412"/>
      <c r="L60" s="412"/>
      <c r="M60" s="413"/>
      <c r="N60" s="179"/>
      <c r="O60" s="177"/>
      <c r="P60" s="410"/>
      <c r="Q60" s="410"/>
      <c r="R60" s="410"/>
      <c r="S60" s="410"/>
      <c r="T60" s="410"/>
      <c r="U60" s="410"/>
      <c r="V60" s="400"/>
      <c r="W60" s="400"/>
      <c r="X60" s="400"/>
      <c r="Y60" s="400"/>
      <c r="Z60" s="400"/>
      <c r="AA60" s="400"/>
      <c r="AB60" s="400"/>
      <c r="AC60" s="400"/>
      <c r="AD60" s="414"/>
      <c r="AF60" s="87">
        <f>8*3000</f>
        <v>24000</v>
      </c>
    </row>
    <row r="61" spans="1:32" ht="27" customHeight="1" thickBot="1">
      <c r="A61" s="415"/>
      <c r="B61" s="416"/>
      <c r="C61" s="181"/>
      <c r="D61" s="181"/>
      <c r="E61" s="181"/>
      <c r="F61" s="417"/>
      <c r="G61" s="418"/>
      <c r="H61" s="418"/>
      <c r="I61" s="418"/>
      <c r="J61" s="418"/>
      <c r="K61" s="418"/>
      <c r="L61" s="418"/>
      <c r="M61" s="419"/>
      <c r="N61" s="124"/>
      <c r="O61" s="114"/>
      <c r="P61" s="420"/>
      <c r="Q61" s="420"/>
      <c r="R61" s="420"/>
      <c r="S61" s="420"/>
      <c r="T61" s="420"/>
      <c r="U61" s="420"/>
      <c r="V61" s="421"/>
      <c r="W61" s="421"/>
      <c r="X61" s="421"/>
      <c r="Y61" s="421"/>
      <c r="Z61" s="421"/>
      <c r="AA61" s="421"/>
      <c r="AB61" s="421"/>
      <c r="AC61" s="421"/>
      <c r="AD61" s="422"/>
      <c r="AF61" s="87">
        <f>16*3000</f>
        <v>48000</v>
      </c>
    </row>
    <row r="62" spans="1:32" ht="27.75" thickBot="1">
      <c r="A62" s="407" t="s">
        <v>311</v>
      </c>
      <c r="B62" s="407"/>
      <c r="C62" s="407"/>
      <c r="D62" s="407"/>
      <c r="E62" s="407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408" t="s">
        <v>113</v>
      </c>
      <c r="B63" s="405"/>
      <c r="C63" s="178" t="s">
        <v>2</v>
      </c>
      <c r="D63" s="178" t="s">
        <v>37</v>
      </c>
      <c r="E63" s="178" t="s">
        <v>3</v>
      </c>
      <c r="F63" s="405" t="s">
        <v>110</v>
      </c>
      <c r="G63" s="405"/>
      <c r="H63" s="405"/>
      <c r="I63" s="405"/>
      <c r="J63" s="405"/>
      <c r="K63" s="405" t="s">
        <v>39</v>
      </c>
      <c r="L63" s="405"/>
      <c r="M63" s="178" t="s">
        <v>40</v>
      </c>
      <c r="N63" s="405" t="s">
        <v>41</v>
      </c>
      <c r="O63" s="405"/>
      <c r="P63" s="402" t="s">
        <v>42</v>
      </c>
      <c r="Q63" s="404"/>
      <c r="R63" s="402" t="s">
        <v>43</v>
      </c>
      <c r="S63" s="403"/>
      <c r="T63" s="403"/>
      <c r="U63" s="403"/>
      <c r="V63" s="403"/>
      <c r="W63" s="403"/>
      <c r="X63" s="403"/>
      <c r="Y63" s="403"/>
      <c r="Z63" s="403"/>
      <c r="AA63" s="404"/>
      <c r="AB63" s="405" t="s">
        <v>44</v>
      </c>
      <c r="AC63" s="405"/>
      <c r="AD63" s="406"/>
      <c r="AF63" s="87">
        <f>SUM(AF60:AF62)</f>
        <v>96000</v>
      </c>
    </row>
    <row r="64" spans="1:32" ht="25.5" customHeight="1">
      <c r="A64" s="396">
        <v>1</v>
      </c>
      <c r="B64" s="397"/>
      <c r="C64" s="117" t="s">
        <v>303</v>
      </c>
      <c r="D64" s="173"/>
      <c r="E64" s="176" t="s">
        <v>312</v>
      </c>
      <c r="F64" s="398"/>
      <c r="G64" s="390"/>
      <c r="H64" s="390"/>
      <c r="I64" s="390"/>
      <c r="J64" s="390"/>
      <c r="K64" s="390">
        <v>7301</v>
      </c>
      <c r="L64" s="390"/>
      <c r="M64" s="51" t="s">
        <v>313</v>
      </c>
      <c r="N64" s="401" t="s">
        <v>204</v>
      </c>
      <c r="O64" s="401"/>
      <c r="P64" s="399">
        <v>20</v>
      </c>
      <c r="Q64" s="399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2</v>
      </c>
      <c r="B65" s="397"/>
      <c r="C65" s="117" t="s">
        <v>142</v>
      </c>
      <c r="D65" s="173"/>
      <c r="E65" s="176"/>
      <c r="F65" s="398" t="s">
        <v>214</v>
      </c>
      <c r="G65" s="390"/>
      <c r="H65" s="390"/>
      <c r="I65" s="390"/>
      <c r="J65" s="390"/>
      <c r="K65" s="390" t="s">
        <v>216</v>
      </c>
      <c r="L65" s="390"/>
      <c r="M65" s="51" t="s">
        <v>207</v>
      </c>
      <c r="N65" s="401" t="s">
        <v>204</v>
      </c>
      <c r="O65" s="401"/>
      <c r="P65" s="399">
        <v>100</v>
      </c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3</v>
      </c>
      <c r="B66" s="397"/>
      <c r="C66" s="117"/>
      <c r="D66" s="173"/>
      <c r="E66" s="176"/>
      <c r="F66" s="398"/>
      <c r="G66" s="390"/>
      <c r="H66" s="390"/>
      <c r="I66" s="390"/>
      <c r="J66" s="390"/>
      <c r="K66" s="390"/>
      <c r="L66" s="390"/>
      <c r="M66" s="51"/>
      <c r="N66" s="401"/>
      <c r="O66" s="401"/>
      <c r="P66" s="399"/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4</v>
      </c>
      <c r="B67" s="397"/>
      <c r="C67" s="117"/>
      <c r="D67" s="173"/>
      <c r="E67" s="176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5</v>
      </c>
      <c r="B68" s="397"/>
      <c r="C68" s="117"/>
      <c r="D68" s="173"/>
      <c r="E68" s="176"/>
      <c r="F68" s="398"/>
      <c r="G68" s="390"/>
      <c r="H68" s="390"/>
      <c r="I68" s="390"/>
      <c r="J68" s="390"/>
      <c r="K68" s="390"/>
      <c r="L68" s="390"/>
      <c r="M68" s="51"/>
      <c r="N68" s="401"/>
      <c r="O68" s="401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6</v>
      </c>
      <c r="B69" s="397"/>
      <c r="C69" s="117"/>
      <c r="D69" s="173"/>
      <c r="E69" s="176"/>
      <c r="F69" s="398"/>
      <c r="G69" s="390"/>
      <c r="H69" s="390"/>
      <c r="I69" s="390"/>
      <c r="J69" s="390"/>
      <c r="K69" s="390"/>
      <c r="L69" s="390"/>
      <c r="M69" s="51"/>
      <c r="N69" s="390"/>
      <c r="O69" s="390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7</v>
      </c>
      <c r="B70" s="397"/>
      <c r="C70" s="117"/>
      <c r="D70" s="173"/>
      <c r="E70" s="176"/>
      <c r="F70" s="398"/>
      <c r="G70" s="390"/>
      <c r="H70" s="390"/>
      <c r="I70" s="390"/>
      <c r="J70" s="390"/>
      <c r="K70" s="390"/>
      <c r="L70" s="390"/>
      <c r="M70" s="51"/>
      <c r="N70" s="401"/>
      <c r="O70" s="401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5.5" customHeight="1">
      <c r="A71" s="396">
        <v>8</v>
      </c>
      <c r="B71" s="397"/>
      <c r="C71" s="117"/>
      <c r="D71" s="173"/>
      <c r="E71" s="176"/>
      <c r="F71" s="398"/>
      <c r="G71" s="390"/>
      <c r="H71" s="390"/>
      <c r="I71" s="390"/>
      <c r="J71" s="390"/>
      <c r="K71" s="390"/>
      <c r="L71" s="390"/>
      <c r="M71" s="51"/>
      <c r="N71" s="390"/>
      <c r="O71" s="390"/>
      <c r="P71" s="399"/>
      <c r="Q71" s="399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390"/>
      <c r="AC71" s="390"/>
      <c r="AD71" s="391"/>
      <c r="AF71" s="50"/>
    </row>
    <row r="72" spans="1:32" ht="26.25" customHeight="1" thickBot="1">
      <c r="A72" s="370" t="s">
        <v>314</v>
      </c>
      <c r="B72" s="370"/>
      <c r="C72" s="370"/>
      <c r="D72" s="370"/>
      <c r="E72" s="370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371" t="s">
        <v>113</v>
      </c>
      <c r="B73" s="372"/>
      <c r="C73" s="175" t="s">
        <v>2</v>
      </c>
      <c r="D73" s="175" t="s">
        <v>37</v>
      </c>
      <c r="E73" s="175" t="s">
        <v>3</v>
      </c>
      <c r="F73" s="372" t="s">
        <v>38</v>
      </c>
      <c r="G73" s="372"/>
      <c r="H73" s="372"/>
      <c r="I73" s="372"/>
      <c r="J73" s="372"/>
      <c r="K73" s="392" t="s">
        <v>58</v>
      </c>
      <c r="L73" s="393"/>
      <c r="M73" s="393"/>
      <c r="N73" s="393"/>
      <c r="O73" s="393"/>
      <c r="P73" s="393"/>
      <c r="Q73" s="393"/>
      <c r="R73" s="393"/>
      <c r="S73" s="394"/>
      <c r="T73" s="372" t="s">
        <v>49</v>
      </c>
      <c r="U73" s="372"/>
      <c r="V73" s="392" t="s">
        <v>50</v>
      </c>
      <c r="W73" s="394"/>
      <c r="X73" s="393" t="s">
        <v>51</v>
      </c>
      <c r="Y73" s="393"/>
      <c r="Z73" s="393"/>
      <c r="AA73" s="393"/>
      <c r="AB73" s="393"/>
      <c r="AC73" s="393"/>
      <c r="AD73" s="395"/>
      <c r="AF73" s="50"/>
    </row>
    <row r="74" spans="1:32" ht="33.75" customHeight="1">
      <c r="A74" s="364">
        <v>1</v>
      </c>
      <c r="B74" s="365"/>
      <c r="C74" s="174" t="s">
        <v>114</v>
      </c>
      <c r="D74" s="174"/>
      <c r="E74" s="65" t="s">
        <v>119</v>
      </c>
      <c r="F74" s="379" t="s">
        <v>118</v>
      </c>
      <c r="G74" s="380"/>
      <c r="H74" s="380"/>
      <c r="I74" s="380"/>
      <c r="J74" s="381"/>
      <c r="K74" s="382" t="s">
        <v>156</v>
      </c>
      <c r="L74" s="383"/>
      <c r="M74" s="383"/>
      <c r="N74" s="383"/>
      <c r="O74" s="383"/>
      <c r="P74" s="383"/>
      <c r="Q74" s="383"/>
      <c r="R74" s="383"/>
      <c r="S74" s="384"/>
      <c r="T74" s="385">
        <v>43675</v>
      </c>
      <c r="U74" s="386"/>
      <c r="V74" s="387"/>
      <c r="W74" s="387"/>
      <c r="X74" s="388"/>
      <c r="Y74" s="388"/>
      <c r="Z74" s="388"/>
      <c r="AA74" s="388"/>
      <c r="AB74" s="388"/>
      <c r="AC74" s="388"/>
      <c r="AD74" s="389"/>
      <c r="AF74" s="50"/>
    </row>
    <row r="75" spans="1:32" ht="30" customHeight="1">
      <c r="A75" s="357">
        <f>A74+1</f>
        <v>2</v>
      </c>
      <c r="B75" s="358"/>
      <c r="C75" s="173"/>
      <c r="D75" s="173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ref="A76:A82" si="14">A75+1</f>
        <v>3</v>
      </c>
      <c r="B76" s="358"/>
      <c r="C76" s="173"/>
      <c r="D76" s="173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14"/>
        <v>4</v>
      </c>
      <c r="B77" s="358"/>
      <c r="C77" s="173"/>
      <c r="D77" s="173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14"/>
        <v>5</v>
      </c>
      <c r="B78" s="358"/>
      <c r="C78" s="173"/>
      <c r="D78" s="173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14"/>
        <v>6</v>
      </c>
      <c r="B79" s="358"/>
      <c r="C79" s="173"/>
      <c r="D79" s="173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14"/>
        <v>7</v>
      </c>
      <c r="B80" s="358"/>
      <c r="C80" s="173"/>
      <c r="D80" s="173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14"/>
        <v>8</v>
      </c>
      <c r="B81" s="358"/>
      <c r="C81" s="173"/>
      <c r="D81" s="173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0" customHeight="1">
      <c r="A82" s="357">
        <f t="shared" si="14"/>
        <v>9</v>
      </c>
      <c r="B82" s="358"/>
      <c r="C82" s="173"/>
      <c r="D82" s="173"/>
      <c r="E82" s="32"/>
      <c r="F82" s="358"/>
      <c r="G82" s="358"/>
      <c r="H82" s="358"/>
      <c r="I82" s="358"/>
      <c r="J82" s="358"/>
      <c r="K82" s="373"/>
      <c r="L82" s="374"/>
      <c r="M82" s="374"/>
      <c r="N82" s="374"/>
      <c r="O82" s="374"/>
      <c r="P82" s="374"/>
      <c r="Q82" s="374"/>
      <c r="R82" s="374"/>
      <c r="S82" s="375"/>
      <c r="T82" s="376"/>
      <c r="U82" s="376"/>
      <c r="V82" s="376"/>
      <c r="W82" s="376"/>
      <c r="X82" s="377"/>
      <c r="Y82" s="377"/>
      <c r="Z82" s="377"/>
      <c r="AA82" s="377"/>
      <c r="AB82" s="377"/>
      <c r="AC82" s="377"/>
      <c r="AD82" s="378"/>
      <c r="AF82" s="50"/>
    </row>
    <row r="83" spans="1:32" ht="36" thickBot="1">
      <c r="A83" s="370" t="s">
        <v>315</v>
      </c>
      <c r="B83" s="370"/>
      <c r="C83" s="370"/>
      <c r="D83" s="370"/>
      <c r="E83" s="370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371" t="s">
        <v>113</v>
      </c>
      <c r="B84" s="372"/>
      <c r="C84" s="362" t="s">
        <v>52</v>
      </c>
      <c r="D84" s="362"/>
      <c r="E84" s="362" t="s">
        <v>53</v>
      </c>
      <c r="F84" s="362"/>
      <c r="G84" s="362"/>
      <c r="H84" s="362"/>
      <c r="I84" s="362"/>
      <c r="J84" s="362"/>
      <c r="K84" s="362" t="s">
        <v>54</v>
      </c>
      <c r="L84" s="362"/>
      <c r="M84" s="362"/>
      <c r="N84" s="362"/>
      <c r="O84" s="362"/>
      <c r="P84" s="362"/>
      <c r="Q84" s="362"/>
      <c r="R84" s="362"/>
      <c r="S84" s="362"/>
      <c r="T84" s="362" t="s">
        <v>55</v>
      </c>
      <c r="U84" s="362"/>
      <c r="V84" s="362" t="s">
        <v>56</v>
      </c>
      <c r="W84" s="362"/>
      <c r="X84" s="362"/>
      <c r="Y84" s="362" t="s">
        <v>51</v>
      </c>
      <c r="Z84" s="362"/>
      <c r="AA84" s="362"/>
      <c r="AB84" s="362"/>
      <c r="AC84" s="362"/>
      <c r="AD84" s="363"/>
      <c r="AF84" s="50"/>
    </row>
    <row r="85" spans="1:32" ht="30.75" customHeight="1">
      <c r="A85" s="364">
        <v>1</v>
      </c>
      <c r="B85" s="365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7"/>
      <c r="W85" s="367"/>
      <c r="X85" s="367"/>
      <c r="Y85" s="368"/>
      <c r="Z85" s="368"/>
      <c r="AA85" s="368"/>
      <c r="AB85" s="368"/>
      <c r="AC85" s="368"/>
      <c r="AD85" s="369"/>
      <c r="AF85" s="50"/>
    </row>
    <row r="86" spans="1:32" ht="30.75" customHeight="1">
      <c r="A86" s="357">
        <v>2</v>
      </c>
      <c r="B86" s="358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60"/>
      <c r="U86" s="360"/>
      <c r="V86" s="361"/>
      <c r="W86" s="361"/>
      <c r="X86" s="361"/>
      <c r="Y86" s="350"/>
      <c r="Z86" s="350"/>
      <c r="AA86" s="350"/>
      <c r="AB86" s="350"/>
      <c r="AC86" s="350"/>
      <c r="AD86" s="351"/>
      <c r="AF86" s="50"/>
    </row>
    <row r="87" spans="1:32" ht="30.75" customHeight="1" thickBot="1">
      <c r="A87" s="352">
        <v>3</v>
      </c>
      <c r="B87" s="353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55"/>
      <c r="Z87" s="355"/>
      <c r="AA87" s="355"/>
      <c r="AB87" s="355"/>
      <c r="AC87" s="355"/>
      <c r="AD87" s="356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E31B-4C52-498E-9C2A-DF1DCE4FD30E}">
  <sheetPr codeName="Sheet8"/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316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184" t="s">
        <v>17</v>
      </c>
      <c r="L5" s="184" t="s">
        <v>18</v>
      </c>
      <c r="M5" s="184" t="s">
        <v>19</v>
      </c>
      <c r="N5" s="18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0.49722222222222218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0.49722222222222218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15000</v>
      </c>
      <c r="J8" s="14">
        <v>1236</v>
      </c>
      <c r="K8" s="15">
        <f>L8+3610+4566+4051+4702+4613</f>
        <v>22778</v>
      </c>
      <c r="L8" s="15">
        <v>1236</v>
      </c>
      <c r="M8" s="15">
        <f t="shared" si="1"/>
        <v>1236</v>
      </c>
      <c r="N8" s="15">
        <v>0</v>
      </c>
      <c r="O8" s="58">
        <f t="shared" si="2"/>
        <v>0</v>
      </c>
      <c r="P8" s="39">
        <f t="shared" si="3"/>
        <v>6</v>
      </c>
      <c r="Q8" s="40">
        <f t="shared" si="4"/>
        <v>18</v>
      </c>
      <c r="R8" s="7">
        <v>18</v>
      </c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0.25</v>
      </c>
      <c r="AD8" s="10">
        <f t="shared" si="7"/>
        <v>0.25</v>
      </c>
      <c r="AE8" s="36">
        <f t="shared" si="8"/>
        <v>0.49722222222222218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124</v>
      </c>
      <c r="D9" s="52" t="s">
        <v>221</v>
      </c>
      <c r="E9" s="53" t="s">
        <v>258</v>
      </c>
      <c r="F9" s="30" t="s">
        <v>132</v>
      </c>
      <c r="G9" s="33">
        <v>1</v>
      </c>
      <c r="H9" s="35">
        <v>24</v>
      </c>
      <c r="I9" s="7">
        <v>1000</v>
      </c>
      <c r="J9" s="14">
        <v>5653</v>
      </c>
      <c r="K9" s="15">
        <f>L9+5119+6078</f>
        <v>16850</v>
      </c>
      <c r="L9" s="15">
        <f>3100+2553</f>
        <v>5653</v>
      </c>
      <c r="M9" s="15">
        <f t="shared" si="1"/>
        <v>5653</v>
      </c>
      <c r="N9" s="15">
        <v>0</v>
      </c>
      <c r="O9" s="58">
        <f t="shared" si="2"/>
        <v>0</v>
      </c>
      <c r="P9" s="39">
        <f t="shared" si="3"/>
        <v>24</v>
      </c>
      <c r="Q9" s="40">
        <f t="shared" si="4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1</v>
      </c>
      <c r="AD9" s="10">
        <f t="shared" si="7"/>
        <v>1</v>
      </c>
      <c r="AE9" s="36">
        <f t="shared" si="8"/>
        <v>0.49722222222222218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142</v>
      </c>
      <c r="D10" s="52" t="s">
        <v>152</v>
      </c>
      <c r="E10" s="53" t="s">
        <v>150</v>
      </c>
      <c r="F10" s="30" t="s">
        <v>121</v>
      </c>
      <c r="G10" s="33">
        <v>2</v>
      </c>
      <c r="H10" s="35">
        <v>24</v>
      </c>
      <c r="I10" s="7">
        <v>90000</v>
      </c>
      <c r="J10" s="5">
        <v>14620</v>
      </c>
      <c r="K10" s="15">
        <f>L10+1714+13656+15988+16420+5830+12022+8590+10992+16158+15754+14620</f>
        <v>131744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0.49722222222222218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124</v>
      </c>
      <c r="D11" s="52" t="s">
        <v>299</v>
      </c>
      <c r="E11" s="53" t="s">
        <v>300</v>
      </c>
      <c r="F11" s="30" t="s">
        <v>131</v>
      </c>
      <c r="G11" s="33">
        <v>1</v>
      </c>
      <c r="H11" s="35">
        <v>20</v>
      </c>
      <c r="I11" s="7">
        <v>5000</v>
      </c>
      <c r="J11" s="14">
        <v>5658</v>
      </c>
      <c r="K11" s="15">
        <f>L11+2380</f>
        <v>8038</v>
      </c>
      <c r="L11" s="15">
        <f>2771+2887</f>
        <v>5658</v>
      </c>
      <c r="M11" s="15">
        <f t="shared" si="1"/>
        <v>5658</v>
      </c>
      <c r="N11" s="15">
        <v>0</v>
      </c>
      <c r="O11" s="58">
        <f t="shared" si="2"/>
        <v>0</v>
      </c>
      <c r="P11" s="39">
        <f t="shared" si="3"/>
        <v>24</v>
      </c>
      <c r="Q11" s="40">
        <f t="shared" si="4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1</v>
      </c>
      <c r="AD11" s="10">
        <f t="shared" ref="AD11" si="10">AC11*AB11*(1-O11)</f>
        <v>1</v>
      </c>
      <c r="AE11" s="36">
        <f t="shared" si="8"/>
        <v>0.49722222222222218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158</v>
      </c>
      <c r="F12" s="30" t="s">
        <v>132</v>
      </c>
      <c r="G12" s="33">
        <v>1</v>
      </c>
      <c r="H12" s="35">
        <v>20</v>
      </c>
      <c r="I12" s="7">
        <v>30000</v>
      </c>
      <c r="J12" s="14">
        <v>4731</v>
      </c>
      <c r="K12" s="15">
        <f>L12+3692+4770+4641+4418+3314+3683</f>
        <v>29249</v>
      </c>
      <c r="L12" s="15">
        <f>2410+2321</f>
        <v>4731</v>
      </c>
      <c r="M12" s="15">
        <f t="shared" si="1"/>
        <v>4731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si="7"/>
        <v>1</v>
      </c>
      <c r="AE12" s="36">
        <f t="shared" si="8"/>
        <v>0.49722222222222218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140</v>
      </c>
      <c r="D13" s="52" t="s">
        <v>317</v>
      </c>
      <c r="E13" s="53" t="s">
        <v>318</v>
      </c>
      <c r="F13" s="30" t="s">
        <v>131</v>
      </c>
      <c r="G13" s="33">
        <v>1</v>
      </c>
      <c r="H13" s="35">
        <v>24</v>
      </c>
      <c r="I13" s="7">
        <v>1000</v>
      </c>
      <c r="J13" s="14">
        <v>2154</v>
      </c>
      <c r="K13" s="15">
        <f>L13</f>
        <v>2154</v>
      </c>
      <c r="L13" s="15">
        <f>368+1786</f>
        <v>2154</v>
      </c>
      <c r="M13" s="15">
        <f t="shared" si="1"/>
        <v>2154</v>
      </c>
      <c r="N13" s="15">
        <v>0</v>
      </c>
      <c r="O13" s="58">
        <f t="shared" si="2"/>
        <v>0</v>
      </c>
      <c r="P13" s="39">
        <f t="shared" si="3"/>
        <v>10</v>
      </c>
      <c r="Q13" s="40">
        <f t="shared" si="4"/>
        <v>14</v>
      </c>
      <c r="R13" s="7"/>
      <c r="S13" s="6"/>
      <c r="T13" s="16"/>
      <c r="U13" s="16"/>
      <c r="V13" s="17"/>
      <c r="W13" s="5">
        <v>14</v>
      </c>
      <c r="X13" s="16"/>
      <c r="Y13" s="16"/>
      <c r="Z13" s="16"/>
      <c r="AA13" s="18"/>
      <c r="AB13" s="8">
        <f t="shared" si="5"/>
        <v>1</v>
      </c>
      <c r="AC13" s="9">
        <f t="shared" si="6"/>
        <v>0.41666666666666669</v>
      </c>
      <c r="AD13" s="10">
        <f t="shared" si="7"/>
        <v>0.41666666666666669</v>
      </c>
      <c r="AE13" s="36">
        <f t="shared" si="8"/>
        <v>0.49722222222222218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140</v>
      </c>
      <c r="D14" s="52" t="s">
        <v>223</v>
      </c>
      <c r="E14" s="53" t="s">
        <v>224</v>
      </c>
      <c r="F14" s="30" t="s">
        <v>216</v>
      </c>
      <c r="G14" s="12">
        <v>1</v>
      </c>
      <c r="H14" s="13">
        <v>28</v>
      </c>
      <c r="I14" s="7">
        <v>1000</v>
      </c>
      <c r="J14" s="5">
        <v>1620</v>
      </c>
      <c r="K14" s="15">
        <f>L14+1620</f>
        <v>1620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0.49722222222222218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124</v>
      </c>
      <c r="D15" s="52" t="s">
        <v>135</v>
      </c>
      <c r="E15" s="53" t="s">
        <v>244</v>
      </c>
      <c r="F15" s="12" t="s">
        <v>134</v>
      </c>
      <c r="G15" s="12">
        <v>1</v>
      </c>
      <c r="H15" s="13">
        <v>24</v>
      </c>
      <c r="I15" s="31">
        <v>400</v>
      </c>
      <c r="J15" s="14">
        <v>814</v>
      </c>
      <c r="K15" s="15">
        <f>L15+814</f>
        <v>814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0.49722222222222218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129</v>
      </c>
      <c r="E16" s="53" t="s">
        <v>259</v>
      </c>
      <c r="F16" s="30" t="s">
        <v>130</v>
      </c>
      <c r="G16" s="12">
        <v>1</v>
      </c>
      <c r="H16" s="13">
        <v>28</v>
      </c>
      <c r="I16" s="7">
        <v>9000</v>
      </c>
      <c r="J16" s="14">
        <v>5566</v>
      </c>
      <c r="K16" s="15">
        <f>L16+5027+5503</f>
        <v>16096</v>
      </c>
      <c r="L16" s="15">
        <f>2723+2843</f>
        <v>5566</v>
      </c>
      <c r="M16" s="15">
        <f t="shared" si="1"/>
        <v>5566</v>
      </c>
      <c r="N16" s="15">
        <v>0</v>
      </c>
      <c r="O16" s="58">
        <f t="shared" si="2"/>
        <v>0</v>
      </c>
      <c r="P16" s="39">
        <f t="shared" si="3"/>
        <v>24</v>
      </c>
      <c r="Q16" s="40">
        <f t="shared" si="4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1</v>
      </c>
      <c r="AD16" s="10">
        <f t="shared" si="7"/>
        <v>1</v>
      </c>
      <c r="AE16" s="36">
        <f t="shared" si="8"/>
        <v>0.49722222222222218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124</v>
      </c>
      <c r="D17" s="52" t="s">
        <v>135</v>
      </c>
      <c r="E17" s="53" t="s">
        <v>181</v>
      </c>
      <c r="F17" s="30" t="s">
        <v>134</v>
      </c>
      <c r="G17" s="33">
        <v>1</v>
      </c>
      <c r="H17" s="35">
        <v>20</v>
      </c>
      <c r="I17" s="7">
        <v>200</v>
      </c>
      <c r="J17" s="14">
        <v>272</v>
      </c>
      <c r="K17" s="15">
        <f>L17+272</f>
        <v>272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0.49722222222222218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124</v>
      </c>
      <c r="D18" s="52" t="s">
        <v>117</v>
      </c>
      <c r="E18" s="53" t="s">
        <v>260</v>
      </c>
      <c r="F18" s="30" t="s">
        <v>121</v>
      </c>
      <c r="G18" s="33">
        <v>1</v>
      </c>
      <c r="H18" s="35">
        <v>24</v>
      </c>
      <c r="I18" s="7">
        <v>5000</v>
      </c>
      <c r="J18" s="5">
        <v>4971</v>
      </c>
      <c r="K18" s="15">
        <f>L18+3066+4843</f>
        <v>12880</v>
      </c>
      <c r="L18" s="15">
        <f>2433+2538</f>
        <v>4971</v>
      </c>
      <c r="M18" s="15">
        <f t="shared" si="1"/>
        <v>4971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0.49722222222222218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114</v>
      </c>
      <c r="D19" s="52" t="s">
        <v>117</v>
      </c>
      <c r="E19" s="53" t="s">
        <v>310</v>
      </c>
      <c r="F19" s="30" t="s">
        <v>123</v>
      </c>
      <c r="G19" s="33">
        <v>1</v>
      </c>
      <c r="H19" s="35">
        <v>24</v>
      </c>
      <c r="I19" s="7">
        <v>8000</v>
      </c>
      <c r="J19" s="5">
        <v>3113</v>
      </c>
      <c r="K19" s="15">
        <f>L19</f>
        <v>3113</v>
      </c>
      <c r="L19" s="15">
        <f>539+2574</f>
        <v>3113</v>
      </c>
      <c r="M19" s="15">
        <f t="shared" si="1"/>
        <v>3113</v>
      </c>
      <c r="N19" s="15">
        <v>0</v>
      </c>
      <c r="O19" s="58">
        <f t="shared" si="2"/>
        <v>0</v>
      </c>
      <c r="P19" s="39">
        <f t="shared" si="3"/>
        <v>19</v>
      </c>
      <c r="Q19" s="40">
        <f t="shared" si="4"/>
        <v>5</v>
      </c>
      <c r="R19" s="7"/>
      <c r="S19" s="6"/>
      <c r="T19" s="16">
        <v>5</v>
      </c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0.79166666666666663</v>
      </c>
      <c r="AD19" s="10">
        <f t="shared" ref="AD19" si="11">AC19*AB19*(1-O19)</f>
        <v>0.79166666666666663</v>
      </c>
      <c r="AE19" s="36">
        <f t="shared" si="8"/>
        <v>0.49722222222222218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162</v>
      </c>
      <c r="F20" s="12" t="s">
        <v>116</v>
      </c>
      <c r="G20" s="12">
        <v>4</v>
      </c>
      <c r="H20" s="35">
        <v>20</v>
      </c>
      <c r="I20" s="7">
        <v>500000</v>
      </c>
      <c r="J20" s="14">
        <v>79672</v>
      </c>
      <c r="K20" s="15">
        <f>L20+19752+41052+33264+35472+82348+45468</f>
        <v>337028</v>
      </c>
      <c r="L20" s="15">
        <f>9026*4+10892*4</f>
        <v>79672</v>
      </c>
      <c r="M20" s="15">
        <f t="shared" si="1"/>
        <v>79672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si="7"/>
        <v>1</v>
      </c>
      <c r="AE20" s="36">
        <f t="shared" si="8"/>
        <v>0.49722222222222218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2">SUM(I6:I20)</f>
        <v>686600</v>
      </c>
      <c r="J21" s="19">
        <f t="shared" si="12"/>
        <v>132141</v>
      </c>
      <c r="K21" s="20">
        <f t="shared" si="12"/>
        <v>594184</v>
      </c>
      <c r="L21" s="21">
        <f t="shared" si="12"/>
        <v>112754</v>
      </c>
      <c r="M21" s="20">
        <f t="shared" si="12"/>
        <v>112754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179</v>
      </c>
      <c r="Q21" s="43">
        <f t="shared" si="13"/>
        <v>181</v>
      </c>
      <c r="R21" s="23">
        <f t="shared" si="13"/>
        <v>42</v>
      </c>
      <c r="S21" s="24">
        <f t="shared" si="13"/>
        <v>24</v>
      </c>
      <c r="T21" s="24">
        <f t="shared" si="13"/>
        <v>5</v>
      </c>
      <c r="U21" s="24">
        <f t="shared" si="13"/>
        <v>0</v>
      </c>
      <c r="V21" s="25">
        <f t="shared" si="13"/>
        <v>24</v>
      </c>
      <c r="W21" s="26">
        <f t="shared" si="13"/>
        <v>86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0.6</v>
      </c>
      <c r="AC21" s="4">
        <f>SUM(AC6:AC20)/15</f>
        <v>0.49722222222222218</v>
      </c>
      <c r="AD21" s="4">
        <f>SUM(AD6:AD20)/15</f>
        <v>0.49722222222222218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319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321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185" t="s">
        <v>46</v>
      </c>
      <c r="D50" s="185" t="s">
        <v>47</v>
      </c>
      <c r="E50" s="185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185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09" t="s">
        <v>124</v>
      </c>
      <c r="B51" s="410"/>
      <c r="C51" s="187" t="s">
        <v>145</v>
      </c>
      <c r="D51" s="187" t="s">
        <v>122</v>
      </c>
      <c r="E51" s="187" t="s">
        <v>175</v>
      </c>
      <c r="F51" s="411" t="s">
        <v>320</v>
      </c>
      <c r="G51" s="412"/>
      <c r="H51" s="412"/>
      <c r="I51" s="412"/>
      <c r="J51" s="412"/>
      <c r="K51" s="412"/>
      <c r="L51" s="412"/>
      <c r="M51" s="413"/>
      <c r="N51" s="186" t="s">
        <v>142</v>
      </c>
      <c r="O51" s="191" t="s">
        <v>136</v>
      </c>
      <c r="P51" s="423" t="s">
        <v>151</v>
      </c>
      <c r="Q51" s="424"/>
      <c r="R51" s="410" t="s">
        <v>150</v>
      </c>
      <c r="S51" s="410"/>
      <c r="T51" s="410"/>
      <c r="U51" s="410"/>
      <c r="V51" s="400" t="s">
        <v>126</v>
      </c>
      <c r="W51" s="400"/>
      <c r="X51" s="400"/>
      <c r="Y51" s="400"/>
      <c r="Z51" s="400"/>
      <c r="AA51" s="400"/>
      <c r="AB51" s="400"/>
      <c r="AC51" s="400"/>
      <c r="AD51" s="414"/>
    </row>
    <row r="52" spans="1:32" ht="27" customHeight="1">
      <c r="A52" s="409" t="s">
        <v>140</v>
      </c>
      <c r="B52" s="410"/>
      <c r="C52" s="187" t="s">
        <v>204</v>
      </c>
      <c r="D52" s="187" t="s">
        <v>317</v>
      </c>
      <c r="E52" s="187" t="s">
        <v>318</v>
      </c>
      <c r="F52" s="411" t="s">
        <v>126</v>
      </c>
      <c r="G52" s="412"/>
      <c r="H52" s="412"/>
      <c r="I52" s="412"/>
      <c r="J52" s="412"/>
      <c r="K52" s="412"/>
      <c r="L52" s="412"/>
      <c r="M52" s="413"/>
      <c r="N52" s="186" t="s">
        <v>114</v>
      </c>
      <c r="O52" s="191" t="s">
        <v>189</v>
      </c>
      <c r="P52" s="423" t="s">
        <v>122</v>
      </c>
      <c r="Q52" s="424"/>
      <c r="R52" s="410" t="s">
        <v>322</v>
      </c>
      <c r="S52" s="410"/>
      <c r="T52" s="410"/>
      <c r="U52" s="410"/>
      <c r="V52" s="400" t="s">
        <v>120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114</v>
      </c>
      <c r="B53" s="410"/>
      <c r="C53" s="187" t="s">
        <v>217</v>
      </c>
      <c r="D53" s="187" t="s">
        <v>117</v>
      </c>
      <c r="E53" s="187" t="s">
        <v>310</v>
      </c>
      <c r="F53" s="411" t="s">
        <v>120</v>
      </c>
      <c r="G53" s="412"/>
      <c r="H53" s="412"/>
      <c r="I53" s="412"/>
      <c r="J53" s="412"/>
      <c r="K53" s="412"/>
      <c r="L53" s="412"/>
      <c r="M53" s="413"/>
      <c r="N53" s="186" t="s">
        <v>323</v>
      </c>
      <c r="O53" s="191" t="s">
        <v>143</v>
      </c>
      <c r="P53" s="423" t="s">
        <v>317</v>
      </c>
      <c r="Q53" s="424"/>
      <c r="R53" s="410" t="s">
        <v>324</v>
      </c>
      <c r="S53" s="410"/>
      <c r="T53" s="410"/>
      <c r="U53" s="410"/>
      <c r="V53" s="400" t="s">
        <v>120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/>
      <c r="B54" s="410"/>
      <c r="C54" s="187"/>
      <c r="D54" s="187"/>
      <c r="E54" s="187"/>
      <c r="F54" s="411"/>
      <c r="G54" s="412"/>
      <c r="H54" s="412"/>
      <c r="I54" s="412"/>
      <c r="J54" s="412"/>
      <c r="K54" s="412"/>
      <c r="L54" s="412"/>
      <c r="M54" s="413"/>
      <c r="N54" s="186"/>
      <c r="O54" s="191"/>
      <c r="P54" s="423"/>
      <c r="Q54" s="424"/>
      <c r="R54" s="410"/>
      <c r="S54" s="410"/>
      <c r="T54" s="410"/>
      <c r="U54" s="410"/>
      <c r="V54" s="400"/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/>
      <c r="B55" s="410"/>
      <c r="C55" s="187"/>
      <c r="D55" s="187"/>
      <c r="E55" s="187"/>
      <c r="F55" s="411"/>
      <c r="G55" s="412"/>
      <c r="H55" s="412"/>
      <c r="I55" s="412"/>
      <c r="J55" s="412"/>
      <c r="K55" s="412"/>
      <c r="L55" s="412"/>
      <c r="M55" s="413"/>
      <c r="N55" s="186"/>
      <c r="O55" s="191"/>
      <c r="P55" s="423"/>
      <c r="Q55" s="424"/>
      <c r="R55" s="410"/>
      <c r="S55" s="410"/>
      <c r="T55" s="410"/>
      <c r="U55" s="410"/>
      <c r="V55" s="400"/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/>
      <c r="B56" s="410"/>
      <c r="C56" s="187"/>
      <c r="D56" s="187"/>
      <c r="E56" s="187"/>
      <c r="F56" s="411"/>
      <c r="G56" s="412"/>
      <c r="H56" s="412"/>
      <c r="I56" s="412"/>
      <c r="J56" s="412"/>
      <c r="K56" s="412"/>
      <c r="L56" s="412"/>
      <c r="M56" s="413"/>
      <c r="N56" s="186"/>
      <c r="O56" s="191"/>
      <c r="P56" s="423"/>
      <c r="Q56" s="424"/>
      <c r="R56" s="410"/>
      <c r="S56" s="410"/>
      <c r="T56" s="410"/>
      <c r="U56" s="410"/>
      <c r="V56" s="400"/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/>
      <c r="B57" s="410"/>
      <c r="C57" s="187"/>
      <c r="D57" s="187"/>
      <c r="E57" s="187"/>
      <c r="F57" s="411"/>
      <c r="G57" s="412"/>
      <c r="H57" s="412"/>
      <c r="I57" s="412"/>
      <c r="J57" s="412"/>
      <c r="K57" s="412"/>
      <c r="L57" s="412"/>
      <c r="M57" s="413"/>
      <c r="N57" s="186"/>
      <c r="O57" s="191"/>
      <c r="P57" s="423"/>
      <c r="Q57" s="424"/>
      <c r="R57" s="410"/>
      <c r="S57" s="410"/>
      <c r="T57" s="410"/>
      <c r="U57" s="410"/>
      <c r="V57" s="400"/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/>
      <c r="B58" s="410"/>
      <c r="C58" s="187"/>
      <c r="D58" s="187"/>
      <c r="E58" s="187"/>
      <c r="F58" s="411"/>
      <c r="G58" s="412"/>
      <c r="H58" s="412"/>
      <c r="I58" s="412"/>
      <c r="J58" s="412"/>
      <c r="K58" s="412"/>
      <c r="L58" s="412"/>
      <c r="M58" s="413"/>
      <c r="N58" s="186"/>
      <c r="O58" s="191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187"/>
      <c r="D59" s="187"/>
      <c r="E59" s="187"/>
      <c r="F59" s="411"/>
      <c r="G59" s="412"/>
      <c r="H59" s="412"/>
      <c r="I59" s="412"/>
      <c r="J59" s="412"/>
      <c r="K59" s="412"/>
      <c r="L59" s="412"/>
      <c r="M59" s="413"/>
      <c r="N59" s="186"/>
      <c r="O59" s="191"/>
      <c r="P59" s="410"/>
      <c r="Q59" s="410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  <c r="AF59" s="87">
        <f>8*3000</f>
        <v>24000</v>
      </c>
    </row>
    <row r="60" spans="1:32" ht="27" customHeight="1" thickBot="1">
      <c r="A60" s="415"/>
      <c r="B60" s="416"/>
      <c r="C60" s="188"/>
      <c r="D60" s="188"/>
      <c r="E60" s="188"/>
      <c r="F60" s="417"/>
      <c r="G60" s="418"/>
      <c r="H60" s="418"/>
      <c r="I60" s="418"/>
      <c r="J60" s="418"/>
      <c r="K60" s="418"/>
      <c r="L60" s="418"/>
      <c r="M60" s="419"/>
      <c r="N60" s="124"/>
      <c r="O60" s="114"/>
      <c r="P60" s="420"/>
      <c r="Q60" s="420"/>
      <c r="R60" s="420"/>
      <c r="S60" s="420"/>
      <c r="T60" s="420"/>
      <c r="U60" s="420"/>
      <c r="V60" s="421"/>
      <c r="W60" s="421"/>
      <c r="X60" s="421"/>
      <c r="Y60" s="421"/>
      <c r="Z60" s="421"/>
      <c r="AA60" s="421"/>
      <c r="AB60" s="421"/>
      <c r="AC60" s="421"/>
      <c r="AD60" s="422"/>
      <c r="AF60" s="87">
        <f>16*3000</f>
        <v>48000</v>
      </c>
    </row>
    <row r="61" spans="1:32" ht="27.75" thickBot="1">
      <c r="A61" s="407" t="s">
        <v>325</v>
      </c>
      <c r="B61" s="407"/>
      <c r="C61" s="407"/>
      <c r="D61" s="407"/>
      <c r="E61" s="40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08" t="s">
        <v>113</v>
      </c>
      <c r="B62" s="405"/>
      <c r="C62" s="189" t="s">
        <v>2</v>
      </c>
      <c r="D62" s="189" t="s">
        <v>37</v>
      </c>
      <c r="E62" s="189" t="s">
        <v>3</v>
      </c>
      <c r="F62" s="405" t="s">
        <v>110</v>
      </c>
      <c r="G62" s="405"/>
      <c r="H62" s="405"/>
      <c r="I62" s="405"/>
      <c r="J62" s="405"/>
      <c r="K62" s="405" t="s">
        <v>39</v>
      </c>
      <c r="L62" s="405"/>
      <c r="M62" s="189" t="s">
        <v>40</v>
      </c>
      <c r="N62" s="405" t="s">
        <v>41</v>
      </c>
      <c r="O62" s="405"/>
      <c r="P62" s="402" t="s">
        <v>42</v>
      </c>
      <c r="Q62" s="404"/>
      <c r="R62" s="402" t="s">
        <v>43</v>
      </c>
      <c r="S62" s="403"/>
      <c r="T62" s="403"/>
      <c r="U62" s="403"/>
      <c r="V62" s="403"/>
      <c r="W62" s="403"/>
      <c r="X62" s="403"/>
      <c r="Y62" s="403"/>
      <c r="Z62" s="403"/>
      <c r="AA62" s="404"/>
      <c r="AB62" s="405" t="s">
        <v>44</v>
      </c>
      <c r="AC62" s="405"/>
      <c r="AD62" s="406"/>
      <c r="AF62" s="87">
        <f>SUM(AF59:AF61)</f>
        <v>96000</v>
      </c>
    </row>
    <row r="63" spans="1:32" ht="25.5" customHeight="1">
      <c r="A63" s="396">
        <v>1</v>
      </c>
      <c r="B63" s="397"/>
      <c r="C63" s="117" t="s">
        <v>142</v>
      </c>
      <c r="D63" s="193"/>
      <c r="E63" s="190"/>
      <c r="F63" s="398" t="s">
        <v>326</v>
      </c>
      <c r="G63" s="390"/>
      <c r="H63" s="390"/>
      <c r="I63" s="390"/>
      <c r="J63" s="390"/>
      <c r="K63" s="390" t="s">
        <v>209</v>
      </c>
      <c r="L63" s="390"/>
      <c r="M63" s="51" t="s">
        <v>207</v>
      </c>
      <c r="N63" s="401" t="s">
        <v>210</v>
      </c>
      <c r="O63" s="401"/>
      <c r="P63" s="399">
        <v>100</v>
      </c>
      <c r="Q63" s="399"/>
      <c r="R63" s="400"/>
      <c r="S63" s="400"/>
      <c r="T63" s="400"/>
      <c r="U63" s="400"/>
      <c r="V63" s="400"/>
      <c r="W63" s="400"/>
      <c r="X63" s="400"/>
      <c r="Y63" s="400"/>
      <c r="Z63" s="400"/>
      <c r="AA63" s="400"/>
      <c r="AB63" s="390"/>
      <c r="AC63" s="390"/>
      <c r="AD63" s="391"/>
      <c r="AF63" s="50"/>
    </row>
    <row r="64" spans="1:32" ht="25.5" customHeight="1">
      <c r="A64" s="396">
        <v>2</v>
      </c>
      <c r="B64" s="397"/>
      <c r="C64" s="117" t="s">
        <v>124</v>
      </c>
      <c r="D64" s="193"/>
      <c r="E64" s="190" t="s">
        <v>135</v>
      </c>
      <c r="F64" s="398" t="s">
        <v>327</v>
      </c>
      <c r="G64" s="390"/>
      <c r="H64" s="390"/>
      <c r="I64" s="390"/>
      <c r="J64" s="390"/>
      <c r="K64" s="390" t="s">
        <v>134</v>
      </c>
      <c r="L64" s="390"/>
      <c r="M64" s="51" t="s">
        <v>207</v>
      </c>
      <c r="N64" s="401" t="s">
        <v>143</v>
      </c>
      <c r="O64" s="401"/>
      <c r="P64" s="399">
        <v>50</v>
      </c>
      <c r="Q64" s="399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3</v>
      </c>
      <c r="B65" s="397"/>
      <c r="C65" s="117"/>
      <c r="D65" s="193"/>
      <c r="E65" s="190"/>
      <c r="F65" s="398"/>
      <c r="G65" s="390"/>
      <c r="H65" s="390"/>
      <c r="I65" s="390"/>
      <c r="J65" s="390"/>
      <c r="K65" s="390"/>
      <c r="L65" s="390"/>
      <c r="M65" s="51"/>
      <c r="N65" s="401"/>
      <c r="O65" s="401"/>
      <c r="P65" s="399"/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4</v>
      </c>
      <c r="B66" s="397"/>
      <c r="C66" s="117"/>
      <c r="D66" s="193"/>
      <c r="E66" s="190"/>
      <c r="F66" s="398"/>
      <c r="G66" s="390"/>
      <c r="H66" s="390"/>
      <c r="I66" s="390"/>
      <c r="J66" s="390"/>
      <c r="K66" s="390"/>
      <c r="L66" s="390"/>
      <c r="M66" s="51"/>
      <c r="N66" s="401"/>
      <c r="O66" s="401"/>
      <c r="P66" s="399"/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5</v>
      </c>
      <c r="B67" s="397"/>
      <c r="C67" s="117"/>
      <c r="D67" s="193"/>
      <c r="E67" s="190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6</v>
      </c>
      <c r="B68" s="397"/>
      <c r="C68" s="117"/>
      <c r="D68" s="193"/>
      <c r="E68" s="190"/>
      <c r="F68" s="398"/>
      <c r="G68" s="390"/>
      <c r="H68" s="390"/>
      <c r="I68" s="390"/>
      <c r="J68" s="390"/>
      <c r="K68" s="390"/>
      <c r="L68" s="390"/>
      <c r="M68" s="51"/>
      <c r="N68" s="390"/>
      <c r="O68" s="390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7</v>
      </c>
      <c r="B69" s="397"/>
      <c r="C69" s="117"/>
      <c r="D69" s="193"/>
      <c r="E69" s="190"/>
      <c r="F69" s="398"/>
      <c r="G69" s="390"/>
      <c r="H69" s="390"/>
      <c r="I69" s="390"/>
      <c r="J69" s="390"/>
      <c r="K69" s="390"/>
      <c r="L69" s="390"/>
      <c r="M69" s="51"/>
      <c r="N69" s="401"/>
      <c r="O69" s="401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8</v>
      </c>
      <c r="B70" s="397"/>
      <c r="C70" s="117"/>
      <c r="D70" s="193"/>
      <c r="E70" s="190"/>
      <c r="F70" s="398"/>
      <c r="G70" s="390"/>
      <c r="H70" s="390"/>
      <c r="I70" s="390"/>
      <c r="J70" s="390"/>
      <c r="K70" s="390"/>
      <c r="L70" s="390"/>
      <c r="M70" s="51"/>
      <c r="N70" s="390"/>
      <c r="O70" s="390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6.25" customHeight="1" thickBot="1">
      <c r="A71" s="370" t="s">
        <v>328</v>
      </c>
      <c r="B71" s="370"/>
      <c r="C71" s="370"/>
      <c r="D71" s="370"/>
      <c r="E71" s="370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371" t="s">
        <v>113</v>
      </c>
      <c r="B72" s="372"/>
      <c r="C72" s="192" t="s">
        <v>2</v>
      </c>
      <c r="D72" s="192" t="s">
        <v>37</v>
      </c>
      <c r="E72" s="192" t="s">
        <v>3</v>
      </c>
      <c r="F72" s="372" t="s">
        <v>38</v>
      </c>
      <c r="G72" s="372"/>
      <c r="H72" s="372"/>
      <c r="I72" s="372"/>
      <c r="J72" s="372"/>
      <c r="K72" s="392" t="s">
        <v>58</v>
      </c>
      <c r="L72" s="393"/>
      <c r="M72" s="393"/>
      <c r="N72" s="393"/>
      <c r="O72" s="393"/>
      <c r="P72" s="393"/>
      <c r="Q72" s="393"/>
      <c r="R72" s="393"/>
      <c r="S72" s="394"/>
      <c r="T72" s="372" t="s">
        <v>49</v>
      </c>
      <c r="U72" s="372"/>
      <c r="V72" s="392" t="s">
        <v>50</v>
      </c>
      <c r="W72" s="394"/>
      <c r="X72" s="393" t="s">
        <v>51</v>
      </c>
      <c r="Y72" s="393"/>
      <c r="Z72" s="393"/>
      <c r="AA72" s="393"/>
      <c r="AB72" s="393"/>
      <c r="AC72" s="393"/>
      <c r="AD72" s="395"/>
      <c r="AF72" s="50"/>
    </row>
    <row r="73" spans="1:32" ht="33.75" customHeight="1">
      <c r="A73" s="364">
        <v>1</v>
      </c>
      <c r="B73" s="365"/>
      <c r="C73" s="194" t="s">
        <v>114</v>
      </c>
      <c r="D73" s="194"/>
      <c r="E73" s="65" t="s">
        <v>119</v>
      </c>
      <c r="F73" s="379" t="s">
        <v>118</v>
      </c>
      <c r="G73" s="380"/>
      <c r="H73" s="380"/>
      <c r="I73" s="380"/>
      <c r="J73" s="381"/>
      <c r="K73" s="382" t="s">
        <v>156</v>
      </c>
      <c r="L73" s="383"/>
      <c r="M73" s="383"/>
      <c r="N73" s="383"/>
      <c r="O73" s="383"/>
      <c r="P73" s="383"/>
      <c r="Q73" s="383"/>
      <c r="R73" s="383"/>
      <c r="S73" s="384"/>
      <c r="T73" s="385">
        <v>43675</v>
      </c>
      <c r="U73" s="386"/>
      <c r="V73" s="387"/>
      <c r="W73" s="387"/>
      <c r="X73" s="388"/>
      <c r="Y73" s="388"/>
      <c r="Z73" s="388"/>
      <c r="AA73" s="388"/>
      <c r="AB73" s="388"/>
      <c r="AC73" s="388"/>
      <c r="AD73" s="389"/>
      <c r="AF73" s="50"/>
    </row>
    <row r="74" spans="1:32" ht="30" customHeight="1">
      <c r="A74" s="357">
        <f>A73+1</f>
        <v>2</v>
      </c>
      <c r="B74" s="358"/>
      <c r="C74" s="193"/>
      <c r="D74" s="193"/>
      <c r="E74" s="32"/>
      <c r="F74" s="358"/>
      <c r="G74" s="358"/>
      <c r="H74" s="358"/>
      <c r="I74" s="358"/>
      <c r="J74" s="358"/>
      <c r="K74" s="373"/>
      <c r="L74" s="374"/>
      <c r="M74" s="374"/>
      <c r="N74" s="374"/>
      <c r="O74" s="374"/>
      <c r="P74" s="374"/>
      <c r="Q74" s="374"/>
      <c r="R74" s="374"/>
      <c r="S74" s="375"/>
      <c r="T74" s="376"/>
      <c r="U74" s="376"/>
      <c r="V74" s="376"/>
      <c r="W74" s="376"/>
      <c r="X74" s="377"/>
      <c r="Y74" s="377"/>
      <c r="Z74" s="377"/>
      <c r="AA74" s="377"/>
      <c r="AB74" s="377"/>
      <c r="AC74" s="377"/>
      <c r="AD74" s="378"/>
      <c r="AF74" s="50"/>
    </row>
    <row r="75" spans="1:32" ht="30" customHeight="1">
      <c r="A75" s="357">
        <f t="shared" ref="A75:A81" si="14">A74+1</f>
        <v>3</v>
      </c>
      <c r="B75" s="358"/>
      <c r="C75" s="193"/>
      <c r="D75" s="193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si="14"/>
        <v>4</v>
      </c>
      <c r="B76" s="358"/>
      <c r="C76" s="193"/>
      <c r="D76" s="193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14"/>
        <v>5</v>
      </c>
      <c r="B77" s="358"/>
      <c r="C77" s="193"/>
      <c r="D77" s="193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14"/>
        <v>6</v>
      </c>
      <c r="B78" s="358"/>
      <c r="C78" s="193"/>
      <c r="D78" s="193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14"/>
        <v>7</v>
      </c>
      <c r="B79" s="358"/>
      <c r="C79" s="193"/>
      <c r="D79" s="193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14"/>
        <v>8</v>
      </c>
      <c r="B80" s="358"/>
      <c r="C80" s="193"/>
      <c r="D80" s="193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14"/>
        <v>9</v>
      </c>
      <c r="B81" s="358"/>
      <c r="C81" s="193"/>
      <c r="D81" s="193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6" thickBot="1">
      <c r="A82" s="370" t="s">
        <v>329</v>
      </c>
      <c r="B82" s="370"/>
      <c r="C82" s="370"/>
      <c r="D82" s="370"/>
      <c r="E82" s="370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371" t="s">
        <v>113</v>
      </c>
      <c r="B83" s="372"/>
      <c r="C83" s="362" t="s">
        <v>52</v>
      </c>
      <c r="D83" s="362"/>
      <c r="E83" s="362" t="s">
        <v>53</v>
      </c>
      <c r="F83" s="362"/>
      <c r="G83" s="362"/>
      <c r="H83" s="362"/>
      <c r="I83" s="362"/>
      <c r="J83" s="362"/>
      <c r="K83" s="362" t="s">
        <v>54</v>
      </c>
      <c r="L83" s="362"/>
      <c r="M83" s="362"/>
      <c r="N83" s="362"/>
      <c r="O83" s="362"/>
      <c r="P83" s="362"/>
      <c r="Q83" s="362"/>
      <c r="R83" s="362"/>
      <c r="S83" s="362"/>
      <c r="T83" s="362" t="s">
        <v>55</v>
      </c>
      <c r="U83" s="362"/>
      <c r="V83" s="362" t="s">
        <v>56</v>
      </c>
      <c r="W83" s="362"/>
      <c r="X83" s="362"/>
      <c r="Y83" s="362" t="s">
        <v>51</v>
      </c>
      <c r="Z83" s="362"/>
      <c r="AA83" s="362"/>
      <c r="AB83" s="362"/>
      <c r="AC83" s="362"/>
      <c r="AD83" s="363"/>
      <c r="AF83" s="50"/>
    </row>
    <row r="84" spans="1:32" ht="30.75" customHeight="1">
      <c r="A84" s="364">
        <v>1</v>
      </c>
      <c r="B84" s="365"/>
      <c r="C84" s="366"/>
      <c r="D84" s="366"/>
      <c r="E84" s="366"/>
      <c r="F84" s="366"/>
      <c r="G84" s="366"/>
      <c r="H84" s="366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  <c r="U84" s="366"/>
      <c r="V84" s="367"/>
      <c r="W84" s="367"/>
      <c r="X84" s="367"/>
      <c r="Y84" s="368"/>
      <c r="Z84" s="368"/>
      <c r="AA84" s="368"/>
      <c r="AB84" s="368"/>
      <c r="AC84" s="368"/>
      <c r="AD84" s="369"/>
      <c r="AF84" s="50"/>
    </row>
    <row r="85" spans="1:32" ht="30.75" customHeight="1">
      <c r="A85" s="357">
        <v>2</v>
      </c>
      <c r="B85" s="358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60"/>
      <c r="U85" s="360"/>
      <c r="V85" s="361"/>
      <c r="W85" s="361"/>
      <c r="X85" s="361"/>
      <c r="Y85" s="350"/>
      <c r="Z85" s="350"/>
      <c r="AA85" s="350"/>
      <c r="AB85" s="350"/>
      <c r="AC85" s="350"/>
      <c r="AD85" s="351"/>
      <c r="AF85" s="50"/>
    </row>
    <row r="86" spans="1:32" ht="30.75" customHeight="1" thickBot="1">
      <c r="A86" s="352">
        <v>3</v>
      </c>
      <c r="B86" s="353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5"/>
      <c r="Z86" s="355"/>
      <c r="AA86" s="355"/>
      <c r="AB86" s="355"/>
      <c r="AC86" s="355"/>
      <c r="AD86" s="356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0EC9-AEF5-4475-BBE8-3ABFE8BC591B}">
  <sheetPr codeName="Sheet9"/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.625" style="50" bestFit="1" customWidth="1"/>
    <col min="11" max="11" width="21.625" style="50" bestFit="1" customWidth="1"/>
    <col min="12" max="12" width="15.625" style="50" bestFit="1" customWidth="1"/>
    <col min="13" max="13" width="16.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3" width="9.12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7" bestFit="1" customWidth="1"/>
    <col min="33" max="33" width="17.625" style="50" customWidth="1"/>
    <col min="34" max="16384" width="9" style="50"/>
  </cols>
  <sheetData>
    <row r="1" spans="1:32" ht="44.25" customHeight="1">
      <c r="A1" s="454" t="s">
        <v>330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55"/>
      <c r="B3" s="455"/>
      <c r="C3" s="455"/>
      <c r="D3" s="455"/>
      <c r="E3" s="455"/>
      <c r="F3" s="455"/>
      <c r="G3" s="455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56" t="s">
        <v>0</v>
      </c>
      <c r="B4" s="458" t="s">
        <v>1</v>
      </c>
      <c r="C4" s="458" t="s">
        <v>2</v>
      </c>
      <c r="D4" s="461" t="s">
        <v>3</v>
      </c>
      <c r="E4" s="463" t="s">
        <v>4</v>
      </c>
      <c r="F4" s="461" t="s">
        <v>5</v>
      </c>
      <c r="G4" s="458" t="s">
        <v>6</v>
      </c>
      <c r="H4" s="464" t="s">
        <v>7</v>
      </c>
      <c r="I4" s="444" t="s">
        <v>8</v>
      </c>
      <c r="J4" s="445"/>
      <c r="K4" s="445"/>
      <c r="L4" s="445"/>
      <c r="M4" s="445"/>
      <c r="N4" s="445"/>
      <c r="O4" s="446"/>
      <c r="P4" s="447" t="s">
        <v>9</v>
      </c>
      <c r="Q4" s="448"/>
      <c r="R4" s="449" t="s">
        <v>10</v>
      </c>
      <c r="S4" s="449"/>
      <c r="T4" s="449"/>
      <c r="U4" s="449"/>
      <c r="V4" s="449"/>
      <c r="W4" s="450" t="s">
        <v>11</v>
      </c>
      <c r="X4" s="449"/>
      <c r="Y4" s="449"/>
      <c r="Z4" s="449"/>
      <c r="AA4" s="451"/>
      <c r="AB4" s="452" t="s">
        <v>12</v>
      </c>
      <c r="AC4" s="425" t="s">
        <v>13</v>
      </c>
      <c r="AD4" s="425" t="s">
        <v>14</v>
      </c>
      <c r="AE4" s="54"/>
    </row>
    <row r="5" spans="1:32" ht="51" customHeight="1" thickBot="1">
      <c r="A5" s="457"/>
      <c r="B5" s="459"/>
      <c r="C5" s="460"/>
      <c r="D5" s="462"/>
      <c r="E5" s="462"/>
      <c r="F5" s="462"/>
      <c r="G5" s="459"/>
      <c r="H5" s="465"/>
      <c r="I5" s="55" t="s">
        <v>15</v>
      </c>
      <c r="J5" s="56" t="s">
        <v>16</v>
      </c>
      <c r="K5" s="205" t="s">
        <v>17</v>
      </c>
      <c r="L5" s="205" t="s">
        <v>18</v>
      </c>
      <c r="M5" s="205" t="s">
        <v>19</v>
      </c>
      <c r="N5" s="20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53"/>
      <c r="AC5" s="426"/>
      <c r="AD5" s="426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0.38611111111111107</v>
      </c>
      <c r="AF6" s="87">
        <f t="shared" ref="AF6:AF20" si="9">A6</f>
        <v>1</v>
      </c>
    </row>
    <row r="7" spans="1:32" ht="27" customHeight="1">
      <c r="A7" s="101">
        <v>2</v>
      </c>
      <c r="B7" s="11" t="s">
        <v>57</v>
      </c>
      <c r="C7" s="34" t="s">
        <v>140</v>
      </c>
      <c r="D7" s="52" t="s">
        <v>141</v>
      </c>
      <c r="E7" s="53" t="s">
        <v>139</v>
      </c>
      <c r="F7" s="30" t="s">
        <v>116</v>
      </c>
      <c r="G7" s="12">
        <v>1</v>
      </c>
      <c r="H7" s="13">
        <v>28</v>
      </c>
      <c r="I7" s="31">
        <v>21000</v>
      </c>
      <c r="J7" s="5">
        <v>2061</v>
      </c>
      <c r="K7" s="15">
        <f>L7+4193+5294+2061</f>
        <v>11548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>
        <v>24</v>
      </c>
      <c r="W7" s="5"/>
      <c r="X7" s="16"/>
      <c r="Y7" s="16"/>
      <c r="Z7" s="16"/>
      <c r="AA7" s="18"/>
      <c r="AB7" s="8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0.38611111111111107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11" t="s">
        <v>124</v>
      </c>
      <c r="D8" s="52" t="s">
        <v>122</v>
      </c>
      <c r="E8" s="53" t="s">
        <v>175</v>
      </c>
      <c r="F8" s="30" t="s">
        <v>123</v>
      </c>
      <c r="G8" s="33">
        <v>1</v>
      </c>
      <c r="H8" s="35">
        <v>24</v>
      </c>
      <c r="I8" s="7">
        <v>15000</v>
      </c>
      <c r="J8" s="14">
        <v>1236</v>
      </c>
      <c r="K8" s="15">
        <f>L8+3610+4566+4051+4702+4613+1236</f>
        <v>22778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18</v>
      </c>
      <c r="R8" s="7">
        <v>18</v>
      </c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0.38611111111111107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122</v>
      </c>
      <c r="E9" s="53" t="s">
        <v>322</v>
      </c>
      <c r="F9" s="30" t="s">
        <v>131</v>
      </c>
      <c r="G9" s="33">
        <v>1</v>
      </c>
      <c r="H9" s="35">
        <v>24</v>
      </c>
      <c r="I9" s="7">
        <v>8000</v>
      </c>
      <c r="J9" s="14">
        <v>4525</v>
      </c>
      <c r="K9" s="15">
        <f>L9</f>
        <v>4525</v>
      </c>
      <c r="L9" s="15">
        <f>1393+3132</f>
        <v>4525</v>
      </c>
      <c r="M9" s="15">
        <f t="shared" si="1"/>
        <v>4525</v>
      </c>
      <c r="N9" s="15">
        <v>0</v>
      </c>
      <c r="O9" s="58">
        <f t="shared" si="2"/>
        <v>0</v>
      </c>
      <c r="P9" s="39">
        <f t="shared" si="3"/>
        <v>21</v>
      </c>
      <c r="Q9" s="40">
        <f t="shared" si="4"/>
        <v>3</v>
      </c>
      <c r="R9" s="7"/>
      <c r="S9" s="6">
        <v>3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0.875</v>
      </c>
      <c r="AD9" s="10">
        <f t="shared" si="7"/>
        <v>0.875</v>
      </c>
      <c r="AE9" s="36">
        <f t="shared" si="8"/>
        <v>0.38611111111111107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34" t="s">
        <v>142</v>
      </c>
      <c r="D10" s="52" t="s">
        <v>152</v>
      </c>
      <c r="E10" s="53" t="s">
        <v>150</v>
      </c>
      <c r="F10" s="30" t="s">
        <v>121</v>
      </c>
      <c r="G10" s="33">
        <v>2</v>
      </c>
      <c r="H10" s="35">
        <v>24</v>
      </c>
      <c r="I10" s="7">
        <v>90000</v>
      </c>
      <c r="J10" s="5">
        <v>14620</v>
      </c>
      <c r="K10" s="15">
        <f>L10+1714+13656+15988+16420+5830+12022+8590+10992+16158+15754+14620</f>
        <v>131744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>AC10*AB10*(1-O10)</f>
        <v>0</v>
      </c>
      <c r="AE10" s="36">
        <f t="shared" si="8"/>
        <v>0.38611111111111107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124</v>
      </c>
      <c r="D11" s="52" t="s">
        <v>299</v>
      </c>
      <c r="E11" s="53" t="s">
        <v>300</v>
      </c>
      <c r="F11" s="30" t="s">
        <v>131</v>
      </c>
      <c r="G11" s="33">
        <v>1</v>
      </c>
      <c r="H11" s="35">
        <v>20</v>
      </c>
      <c r="I11" s="7">
        <v>5000</v>
      </c>
      <c r="J11" s="14">
        <v>5453</v>
      </c>
      <c r="K11" s="15">
        <f>L11+2380+5658</f>
        <v>13491</v>
      </c>
      <c r="L11" s="15">
        <f>2612+2841</f>
        <v>5453</v>
      </c>
      <c r="M11" s="15">
        <f t="shared" si="1"/>
        <v>5453</v>
      </c>
      <c r="N11" s="15">
        <v>0</v>
      </c>
      <c r="O11" s="58">
        <f t="shared" si="2"/>
        <v>0</v>
      </c>
      <c r="P11" s="39">
        <f t="shared" si="3"/>
        <v>24</v>
      </c>
      <c r="Q11" s="40">
        <f t="shared" si="4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1</v>
      </c>
      <c r="AD11" s="10">
        <f t="shared" ref="AD11" si="10">AC11*AB11*(1-O11)</f>
        <v>1</v>
      </c>
      <c r="AE11" s="36">
        <f t="shared" si="8"/>
        <v>0.38611111111111107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124</v>
      </c>
      <c r="D12" s="52" t="s">
        <v>117</v>
      </c>
      <c r="E12" s="53" t="s">
        <v>158</v>
      </c>
      <c r="F12" s="30" t="s">
        <v>132</v>
      </c>
      <c r="G12" s="33">
        <v>1</v>
      </c>
      <c r="H12" s="35">
        <v>20</v>
      </c>
      <c r="I12" s="7">
        <v>30000</v>
      </c>
      <c r="J12" s="14">
        <v>4731</v>
      </c>
      <c r="K12" s="15">
        <f>L12+3692+4770+4641+4418+3314+3683+4731</f>
        <v>33980</v>
      </c>
      <c r="L12" s="15">
        <f>2724+2007</f>
        <v>4731</v>
      </c>
      <c r="M12" s="15">
        <f t="shared" si="1"/>
        <v>4731</v>
      </c>
      <c r="N12" s="15">
        <v>0</v>
      </c>
      <c r="O12" s="58">
        <f t="shared" si="2"/>
        <v>0</v>
      </c>
      <c r="P12" s="39">
        <f t="shared" si="3"/>
        <v>22</v>
      </c>
      <c r="Q12" s="40">
        <f t="shared" si="4"/>
        <v>2</v>
      </c>
      <c r="R12" s="7"/>
      <c r="S12" s="6">
        <v>2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0.91666666666666663</v>
      </c>
      <c r="AD12" s="10">
        <f t="shared" si="7"/>
        <v>0.91666666666666663</v>
      </c>
      <c r="AE12" s="36">
        <f t="shared" si="8"/>
        <v>0.38611111111111107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140</v>
      </c>
      <c r="D13" s="52" t="s">
        <v>317</v>
      </c>
      <c r="E13" s="53" t="s">
        <v>318</v>
      </c>
      <c r="F13" s="30" t="s">
        <v>131</v>
      </c>
      <c r="G13" s="33">
        <v>1</v>
      </c>
      <c r="H13" s="35">
        <v>24</v>
      </c>
      <c r="I13" s="7">
        <v>1000</v>
      </c>
      <c r="J13" s="14">
        <v>2154</v>
      </c>
      <c r="K13" s="15">
        <f>L13+2154</f>
        <v>2154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5"/>
        <v>0</v>
      </c>
      <c r="AC13" s="9">
        <f t="shared" si="6"/>
        <v>0</v>
      </c>
      <c r="AD13" s="10">
        <f t="shared" si="7"/>
        <v>0</v>
      </c>
      <c r="AE13" s="36">
        <f t="shared" si="8"/>
        <v>0.38611111111111107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140</v>
      </c>
      <c r="D14" s="52" t="s">
        <v>223</v>
      </c>
      <c r="E14" s="53" t="s">
        <v>224</v>
      </c>
      <c r="F14" s="30" t="s">
        <v>216</v>
      </c>
      <c r="G14" s="12">
        <v>1</v>
      </c>
      <c r="H14" s="13">
        <v>28</v>
      </c>
      <c r="I14" s="7">
        <v>1000</v>
      </c>
      <c r="J14" s="5">
        <v>1620</v>
      </c>
      <c r="K14" s="15">
        <f>L14+1620</f>
        <v>1620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0.38611111111111107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140</v>
      </c>
      <c r="D15" s="52" t="s">
        <v>129</v>
      </c>
      <c r="E15" s="53" t="s">
        <v>331</v>
      </c>
      <c r="F15" s="12" t="s">
        <v>332</v>
      </c>
      <c r="G15" s="12">
        <v>2</v>
      </c>
      <c r="H15" s="13">
        <v>24</v>
      </c>
      <c r="I15" s="31">
        <v>10000</v>
      </c>
      <c r="J15" s="14">
        <v>814</v>
      </c>
      <c r="K15" s="15">
        <f>L15</f>
        <v>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>
        <v>24</v>
      </c>
      <c r="T15" s="16"/>
      <c r="U15" s="16"/>
      <c r="V15" s="17"/>
      <c r="W15" s="5"/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0.38611111111111107</v>
      </c>
      <c r="AF15" s="87">
        <f t="shared" si="9"/>
        <v>10</v>
      </c>
    </row>
    <row r="16" spans="1:32" ht="30" customHeight="1">
      <c r="A16" s="102">
        <v>11</v>
      </c>
      <c r="B16" s="11" t="s">
        <v>57</v>
      </c>
      <c r="C16" s="34" t="s">
        <v>124</v>
      </c>
      <c r="D16" s="52" t="s">
        <v>129</v>
      </c>
      <c r="E16" s="53" t="s">
        <v>259</v>
      </c>
      <c r="F16" s="30" t="s">
        <v>130</v>
      </c>
      <c r="G16" s="12">
        <v>1</v>
      </c>
      <c r="H16" s="13">
        <v>28</v>
      </c>
      <c r="I16" s="7">
        <v>9000</v>
      </c>
      <c r="J16" s="14">
        <v>4928</v>
      </c>
      <c r="K16" s="15">
        <f>L16+5027+5503+5566</f>
        <v>21024</v>
      </c>
      <c r="L16" s="15">
        <f>2821+2107</f>
        <v>4928</v>
      </c>
      <c r="M16" s="15">
        <f t="shared" si="1"/>
        <v>4928</v>
      </c>
      <c r="N16" s="15">
        <v>0</v>
      </c>
      <c r="O16" s="58">
        <f t="shared" si="2"/>
        <v>0</v>
      </c>
      <c r="P16" s="39">
        <f t="shared" si="3"/>
        <v>24</v>
      </c>
      <c r="Q16" s="40">
        <f t="shared" si="4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1</v>
      </c>
      <c r="AD16" s="10">
        <f t="shared" si="7"/>
        <v>1</v>
      </c>
      <c r="AE16" s="36">
        <f t="shared" si="8"/>
        <v>0.38611111111111107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11" t="s">
        <v>323</v>
      </c>
      <c r="D17" s="52" t="s">
        <v>317</v>
      </c>
      <c r="E17" s="53" t="s">
        <v>324</v>
      </c>
      <c r="F17" s="30" t="s">
        <v>273</v>
      </c>
      <c r="G17" s="33">
        <v>1</v>
      </c>
      <c r="H17" s="35">
        <v>20</v>
      </c>
      <c r="I17" s="7">
        <v>500</v>
      </c>
      <c r="J17" s="14">
        <v>1160</v>
      </c>
      <c r="K17" s="15">
        <f>L17</f>
        <v>1160</v>
      </c>
      <c r="L17" s="15">
        <f>1160</f>
        <v>1160</v>
      </c>
      <c r="M17" s="15">
        <f t="shared" si="1"/>
        <v>1160</v>
      </c>
      <c r="N17" s="15">
        <v>0</v>
      </c>
      <c r="O17" s="58">
        <f t="shared" si="2"/>
        <v>0</v>
      </c>
      <c r="P17" s="39">
        <f t="shared" si="3"/>
        <v>6</v>
      </c>
      <c r="Q17" s="40">
        <f t="shared" si="4"/>
        <v>18</v>
      </c>
      <c r="R17" s="7"/>
      <c r="S17" s="6"/>
      <c r="T17" s="16"/>
      <c r="U17" s="16"/>
      <c r="V17" s="17"/>
      <c r="W17" s="5">
        <v>18</v>
      </c>
      <c r="X17" s="16"/>
      <c r="Y17" s="16"/>
      <c r="Z17" s="16"/>
      <c r="AA17" s="18"/>
      <c r="AB17" s="8">
        <f t="shared" si="5"/>
        <v>1</v>
      </c>
      <c r="AC17" s="9">
        <f t="shared" si="6"/>
        <v>0.25</v>
      </c>
      <c r="AD17" s="10">
        <f t="shared" si="7"/>
        <v>0.25</v>
      </c>
      <c r="AE17" s="36">
        <f t="shared" si="8"/>
        <v>0.38611111111111107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124</v>
      </c>
      <c r="D18" s="52" t="s">
        <v>117</v>
      </c>
      <c r="E18" s="53" t="s">
        <v>260</v>
      </c>
      <c r="F18" s="30" t="s">
        <v>121</v>
      </c>
      <c r="G18" s="33">
        <v>1</v>
      </c>
      <c r="H18" s="35">
        <v>24</v>
      </c>
      <c r="I18" s="7">
        <v>5000</v>
      </c>
      <c r="J18" s="5">
        <v>3133</v>
      </c>
      <c r="K18" s="15">
        <f>L18+3066+4843+4971</f>
        <v>16013</v>
      </c>
      <c r="L18" s="15">
        <f>1113+2020</f>
        <v>3133</v>
      </c>
      <c r="M18" s="15">
        <f t="shared" si="1"/>
        <v>3133</v>
      </c>
      <c r="N18" s="15">
        <v>0</v>
      </c>
      <c r="O18" s="58">
        <f t="shared" si="2"/>
        <v>0</v>
      </c>
      <c r="P18" s="39">
        <f t="shared" si="3"/>
        <v>18</v>
      </c>
      <c r="Q18" s="40">
        <f t="shared" si="4"/>
        <v>6</v>
      </c>
      <c r="R18" s="7"/>
      <c r="S18" s="6">
        <v>6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0.75</v>
      </c>
      <c r="AD18" s="10">
        <f>AC18*AB18*(1-O18)</f>
        <v>0.75</v>
      </c>
      <c r="AE18" s="36">
        <f t="shared" si="8"/>
        <v>0.38611111111111107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11" t="s">
        <v>114</v>
      </c>
      <c r="D19" s="52" t="s">
        <v>117</v>
      </c>
      <c r="E19" s="53" t="s">
        <v>310</v>
      </c>
      <c r="F19" s="30" t="s">
        <v>123</v>
      </c>
      <c r="G19" s="33">
        <v>1</v>
      </c>
      <c r="H19" s="35">
        <v>24</v>
      </c>
      <c r="I19" s="7">
        <v>8000</v>
      </c>
      <c r="J19" s="5">
        <v>5646</v>
      </c>
      <c r="K19" s="15">
        <f>L19+3113</f>
        <v>8759</v>
      </c>
      <c r="L19" s="15">
        <f>3014+2632</f>
        <v>5646</v>
      </c>
      <c r="M19" s="15">
        <f t="shared" si="1"/>
        <v>5646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 t="shared" ref="AD19" si="11">AC19*AB19*(1-O19)</f>
        <v>1</v>
      </c>
      <c r="AE19" s="36">
        <f t="shared" si="8"/>
        <v>0.38611111111111107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333</v>
      </c>
      <c r="F20" s="12" t="s">
        <v>116</v>
      </c>
      <c r="G20" s="12">
        <v>4</v>
      </c>
      <c r="H20" s="35">
        <v>20</v>
      </c>
      <c r="I20" s="7">
        <v>300000</v>
      </c>
      <c r="J20" s="14">
        <v>79672</v>
      </c>
      <c r="K20" s="15">
        <f>L20</f>
        <v>0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>
        <v>24</v>
      </c>
      <c r="T20" s="16"/>
      <c r="U20" s="16"/>
      <c r="V20" s="17"/>
      <c r="W20" s="5"/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0.38611111111111107</v>
      </c>
      <c r="AF20" s="87">
        <f t="shared" si="9"/>
        <v>15</v>
      </c>
    </row>
    <row r="21" spans="1:32" ht="31.5" customHeight="1" thickBot="1">
      <c r="A21" s="427" t="s">
        <v>34</v>
      </c>
      <c r="B21" s="428"/>
      <c r="C21" s="428"/>
      <c r="D21" s="428"/>
      <c r="E21" s="428"/>
      <c r="F21" s="428"/>
      <c r="G21" s="428"/>
      <c r="H21" s="429"/>
      <c r="I21" s="22">
        <f t="shared" ref="I21:N21" si="12">SUM(I6:I20)</f>
        <v>503500</v>
      </c>
      <c r="J21" s="19">
        <f t="shared" si="12"/>
        <v>131753</v>
      </c>
      <c r="K21" s="20">
        <f t="shared" si="12"/>
        <v>268796</v>
      </c>
      <c r="L21" s="21">
        <f t="shared" si="12"/>
        <v>29576</v>
      </c>
      <c r="M21" s="20">
        <f t="shared" si="12"/>
        <v>29576</v>
      </c>
      <c r="N21" s="21">
        <f t="shared" si="12"/>
        <v>0</v>
      </c>
      <c r="O21" s="41">
        <f t="shared" si="2"/>
        <v>0</v>
      </c>
      <c r="P21" s="42">
        <f t="shared" ref="P21:AA21" si="13">SUM(P6:P20)</f>
        <v>139</v>
      </c>
      <c r="Q21" s="43">
        <f t="shared" si="13"/>
        <v>215</v>
      </c>
      <c r="R21" s="23">
        <f t="shared" si="13"/>
        <v>42</v>
      </c>
      <c r="S21" s="24">
        <f t="shared" si="13"/>
        <v>83</v>
      </c>
      <c r="T21" s="24">
        <f t="shared" si="13"/>
        <v>0</v>
      </c>
      <c r="U21" s="24">
        <f t="shared" si="13"/>
        <v>0</v>
      </c>
      <c r="V21" s="25">
        <f t="shared" si="13"/>
        <v>24</v>
      </c>
      <c r="W21" s="26">
        <f t="shared" si="13"/>
        <v>66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8">
        <f>SUM(AB6:AB20)/15</f>
        <v>0.46666666666666667</v>
      </c>
      <c r="AC21" s="4">
        <f>SUM(AC6:AC20)/15</f>
        <v>0.38611111111111107</v>
      </c>
      <c r="AD21" s="4">
        <f>SUM(AD6:AD20)/15</f>
        <v>0.38611111111111107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430" t="s">
        <v>45</v>
      </c>
      <c r="B48" s="430"/>
      <c r="C48" s="430"/>
      <c r="D48" s="430"/>
      <c r="E48" s="43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431" t="s">
        <v>334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3"/>
      <c r="N49" s="434" t="s">
        <v>339</v>
      </c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6"/>
    </row>
    <row r="50" spans="1:32" ht="27" customHeight="1">
      <c r="A50" s="437" t="s">
        <v>2</v>
      </c>
      <c r="B50" s="438"/>
      <c r="C50" s="204" t="s">
        <v>46</v>
      </c>
      <c r="D50" s="204" t="s">
        <v>47</v>
      </c>
      <c r="E50" s="204" t="s">
        <v>108</v>
      </c>
      <c r="F50" s="438" t="s">
        <v>107</v>
      </c>
      <c r="G50" s="438"/>
      <c r="H50" s="438"/>
      <c r="I50" s="438"/>
      <c r="J50" s="438"/>
      <c r="K50" s="438"/>
      <c r="L50" s="438"/>
      <c r="M50" s="439"/>
      <c r="N50" s="67" t="s">
        <v>112</v>
      </c>
      <c r="O50" s="204" t="s">
        <v>46</v>
      </c>
      <c r="P50" s="440" t="s">
        <v>47</v>
      </c>
      <c r="Q50" s="441"/>
      <c r="R50" s="440" t="s">
        <v>38</v>
      </c>
      <c r="S50" s="442"/>
      <c r="T50" s="442"/>
      <c r="U50" s="441"/>
      <c r="V50" s="440" t="s">
        <v>48</v>
      </c>
      <c r="W50" s="442"/>
      <c r="X50" s="442"/>
      <c r="Y50" s="442"/>
      <c r="Z50" s="442"/>
      <c r="AA50" s="442"/>
      <c r="AB50" s="442"/>
      <c r="AC50" s="442"/>
      <c r="AD50" s="443"/>
    </row>
    <row r="51" spans="1:32" ht="27" customHeight="1">
      <c r="A51" s="409" t="s">
        <v>114</v>
      </c>
      <c r="B51" s="410"/>
      <c r="C51" s="202" t="s">
        <v>189</v>
      </c>
      <c r="D51" s="202" t="s">
        <v>122</v>
      </c>
      <c r="E51" s="202" t="s">
        <v>322</v>
      </c>
      <c r="F51" s="411" t="s">
        <v>335</v>
      </c>
      <c r="G51" s="412"/>
      <c r="H51" s="412"/>
      <c r="I51" s="412"/>
      <c r="J51" s="412"/>
      <c r="K51" s="412"/>
      <c r="L51" s="412"/>
      <c r="M51" s="413"/>
      <c r="N51" s="201" t="s">
        <v>142</v>
      </c>
      <c r="O51" s="199" t="s">
        <v>136</v>
      </c>
      <c r="P51" s="423" t="s">
        <v>151</v>
      </c>
      <c r="Q51" s="424"/>
      <c r="R51" s="410" t="s">
        <v>150</v>
      </c>
      <c r="S51" s="410"/>
      <c r="T51" s="410"/>
      <c r="U51" s="410"/>
      <c r="V51" s="400" t="s">
        <v>126</v>
      </c>
      <c r="W51" s="400"/>
      <c r="X51" s="400"/>
      <c r="Y51" s="400"/>
      <c r="Z51" s="400"/>
      <c r="AA51" s="400"/>
      <c r="AB51" s="400"/>
      <c r="AC51" s="400"/>
      <c r="AD51" s="414"/>
    </row>
    <row r="52" spans="1:32" ht="27" customHeight="1">
      <c r="A52" s="409" t="s">
        <v>124</v>
      </c>
      <c r="B52" s="410"/>
      <c r="C52" s="202" t="s">
        <v>176</v>
      </c>
      <c r="D52" s="202" t="s">
        <v>117</v>
      </c>
      <c r="E52" s="202" t="s">
        <v>158</v>
      </c>
      <c r="F52" s="411" t="s">
        <v>336</v>
      </c>
      <c r="G52" s="412"/>
      <c r="H52" s="412"/>
      <c r="I52" s="412"/>
      <c r="J52" s="412"/>
      <c r="K52" s="412"/>
      <c r="L52" s="412"/>
      <c r="M52" s="413"/>
      <c r="N52" s="201" t="s">
        <v>124</v>
      </c>
      <c r="O52" s="199" t="s">
        <v>165</v>
      </c>
      <c r="P52" s="423" t="s">
        <v>122</v>
      </c>
      <c r="Q52" s="424"/>
      <c r="R52" s="410" t="s">
        <v>175</v>
      </c>
      <c r="S52" s="410"/>
      <c r="T52" s="410"/>
      <c r="U52" s="410"/>
      <c r="V52" s="400" t="s">
        <v>120</v>
      </c>
      <c r="W52" s="400"/>
      <c r="X52" s="400"/>
      <c r="Y52" s="400"/>
      <c r="Z52" s="400"/>
      <c r="AA52" s="400"/>
      <c r="AB52" s="400"/>
      <c r="AC52" s="400"/>
      <c r="AD52" s="414"/>
    </row>
    <row r="53" spans="1:32" ht="27" customHeight="1">
      <c r="A53" s="409" t="s">
        <v>124</v>
      </c>
      <c r="B53" s="410"/>
      <c r="C53" s="202" t="s">
        <v>128</v>
      </c>
      <c r="D53" s="202" t="s">
        <v>117</v>
      </c>
      <c r="E53" s="202" t="s">
        <v>260</v>
      </c>
      <c r="F53" s="411" t="s">
        <v>337</v>
      </c>
      <c r="G53" s="412"/>
      <c r="H53" s="412"/>
      <c r="I53" s="412"/>
      <c r="J53" s="412"/>
      <c r="K53" s="412"/>
      <c r="L53" s="412"/>
      <c r="M53" s="413"/>
      <c r="N53" s="201" t="s">
        <v>140</v>
      </c>
      <c r="O53" s="199" t="s">
        <v>204</v>
      </c>
      <c r="P53" s="423" t="s">
        <v>117</v>
      </c>
      <c r="Q53" s="424"/>
      <c r="R53" s="410" t="s">
        <v>340</v>
      </c>
      <c r="S53" s="410"/>
      <c r="T53" s="410"/>
      <c r="U53" s="410"/>
      <c r="V53" s="400" t="s">
        <v>341</v>
      </c>
      <c r="W53" s="400"/>
      <c r="X53" s="400"/>
      <c r="Y53" s="400"/>
      <c r="Z53" s="400"/>
      <c r="AA53" s="400"/>
      <c r="AB53" s="400"/>
      <c r="AC53" s="400"/>
      <c r="AD53" s="414"/>
    </row>
    <row r="54" spans="1:32" ht="27" customHeight="1">
      <c r="A54" s="409" t="s">
        <v>140</v>
      </c>
      <c r="B54" s="410"/>
      <c r="C54" s="202" t="s">
        <v>210</v>
      </c>
      <c r="D54" s="202" t="s">
        <v>129</v>
      </c>
      <c r="E54" s="202" t="s">
        <v>331</v>
      </c>
      <c r="F54" s="411" t="s">
        <v>338</v>
      </c>
      <c r="G54" s="412"/>
      <c r="H54" s="412"/>
      <c r="I54" s="412"/>
      <c r="J54" s="412"/>
      <c r="K54" s="412"/>
      <c r="L54" s="412"/>
      <c r="M54" s="413"/>
      <c r="N54" s="201" t="s">
        <v>140</v>
      </c>
      <c r="O54" s="199" t="s">
        <v>143</v>
      </c>
      <c r="P54" s="423" t="s">
        <v>221</v>
      </c>
      <c r="Q54" s="424"/>
      <c r="R54" s="410" t="s">
        <v>343</v>
      </c>
      <c r="S54" s="410"/>
      <c r="T54" s="410"/>
      <c r="U54" s="410"/>
      <c r="V54" s="400" t="s">
        <v>341</v>
      </c>
      <c r="W54" s="400"/>
      <c r="X54" s="400"/>
      <c r="Y54" s="400"/>
      <c r="Z54" s="400"/>
      <c r="AA54" s="400"/>
      <c r="AB54" s="400"/>
      <c r="AC54" s="400"/>
      <c r="AD54" s="414"/>
    </row>
    <row r="55" spans="1:32" ht="27" customHeight="1">
      <c r="A55" s="409" t="s">
        <v>115</v>
      </c>
      <c r="B55" s="410"/>
      <c r="C55" s="202" t="s">
        <v>168</v>
      </c>
      <c r="D55" s="202"/>
      <c r="E55" s="202" t="s">
        <v>333</v>
      </c>
      <c r="F55" s="411" t="s">
        <v>275</v>
      </c>
      <c r="G55" s="412"/>
      <c r="H55" s="412"/>
      <c r="I55" s="412"/>
      <c r="J55" s="412"/>
      <c r="K55" s="412"/>
      <c r="L55" s="412"/>
      <c r="M55" s="413"/>
      <c r="N55" s="201" t="s">
        <v>140</v>
      </c>
      <c r="O55" s="199" t="s">
        <v>138</v>
      </c>
      <c r="P55" s="423" t="s">
        <v>122</v>
      </c>
      <c r="Q55" s="424"/>
      <c r="R55" s="410" t="s">
        <v>342</v>
      </c>
      <c r="S55" s="410"/>
      <c r="T55" s="410"/>
      <c r="U55" s="410"/>
      <c r="V55" s="400" t="s">
        <v>341</v>
      </c>
      <c r="W55" s="400"/>
      <c r="X55" s="400"/>
      <c r="Y55" s="400"/>
      <c r="Z55" s="400"/>
      <c r="AA55" s="400"/>
      <c r="AB55" s="400"/>
      <c r="AC55" s="400"/>
      <c r="AD55" s="414"/>
    </row>
    <row r="56" spans="1:32" ht="27" customHeight="1">
      <c r="A56" s="409"/>
      <c r="B56" s="410"/>
      <c r="C56" s="202"/>
      <c r="D56" s="202"/>
      <c r="E56" s="202"/>
      <c r="F56" s="411"/>
      <c r="G56" s="412"/>
      <c r="H56" s="412"/>
      <c r="I56" s="412"/>
      <c r="J56" s="412"/>
      <c r="K56" s="412"/>
      <c r="L56" s="412"/>
      <c r="M56" s="413"/>
      <c r="N56" s="201" t="s">
        <v>140</v>
      </c>
      <c r="O56" s="199" t="s">
        <v>210</v>
      </c>
      <c r="P56" s="423" t="s">
        <v>129</v>
      </c>
      <c r="Q56" s="424"/>
      <c r="R56" s="410" t="s">
        <v>331</v>
      </c>
      <c r="S56" s="410"/>
      <c r="T56" s="410"/>
      <c r="U56" s="410"/>
      <c r="V56" s="400" t="s">
        <v>341</v>
      </c>
      <c r="W56" s="400"/>
      <c r="X56" s="400"/>
      <c r="Y56" s="400"/>
      <c r="Z56" s="400"/>
      <c r="AA56" s="400"/>
      <c r="AB56" s="400"/>
      <c r="AC56" s="400"/>
      <c r="AD56" s="414"/>
    </row>
    <row r="57" spans="1:32" ht="27" customHeight="1">
      <c r="A57" s="409"/>
      <c r="B57" s="410"/>
      <c r="C57" s="202"/>
      <c r="D57" s="202"/>
      <c r="E57" s="202"/>
      <c r="F57" s="411"/>
      <c r="G57" s="412"/>
      <c r="H57" s="412"/>
      <c r="I57" s="412"/>
      <c r="J57" s="412"/>
      <c r="K57" s="412"/>
      <c r="L57" s="412"/>
      <c r="M57" s="413"/>
      <c r="N57" s="201" t="s">
        <v>323</v>
      </c>
      <c r="O57" s="199" t="s">
        <v>128</v>
      </c>
      <c r="P57" s="423" t="s">
        <v>119</v>
      </c>
      <c r="Q57" s="424"/>
      <c r="R57" s="410" t="s">
        <v>344</v>
      </c>
      <c r="S57" s="410"/>
      <c r="T57" s="410"/>
      <c r="U57" s="410"/>
      <c r="V57" s="400" t="s">
        <v>120</v>
      </c>
      <c r="W57" s="400"/>
      <c r="X57" s="400"/>
      <c r="Y57" s="400"/>
      <c r="Z57" s="400"/>
      <c r="AA57" s="400"/>
      <c r="AB57" s="400"/>
      <c r="AC57" s="400"/>
      <c r="AD57" s="414"/>
    </row>
    <row r="58" spans="1:32" ht="27" customHeight="1">
      <c r="A58" s="409"/>
      <c r="B58" s="410"/>
      <c r="C58" s="202"/>
      <c r="D58" s="202"/>
      <c r="E58" s="202"/>
      <c r="F58" s="411"/>
      <c r="G58" s="412"/>
      <c r="H58" s="412"/>
      <c r="I58" s="412"/>
      <c r="J58" s="412"/>
      <c r="K58" s="412"/>
      <c r="L58" s="412"/>
      <c r="M58" s="413"/>
      <c r="N58" s="201"/>
      <c r="O58" s="199"/>
      <c r="P58" s="423"/>
      <c r="Q58" s="424"/>
      <c r="R58" s="410"/>
      <c r="S58" s="410"/>
      <c r="T58" s="410"/>
      <c r="U58" s="410"/>
      <c r="V58" s="400"/>
      <c r="W58" s="400"/>
      <c r="X58" s="400"/>
      <c r="Y58" s="400"/>
      <c r="Z58" s="400"/>
      <c r="AA58" s="400"/>
      <c r="AB58" s="400"/>
      <c r="AC58" s="400"/>
      <c r="AD58" s="414"/>
    </row>
    <row r="59" spans="1:32" ht="27" customHeight="1">
      <c r="A59" s="409"/>
      <c r="B59" s="410"/>
      <c r="C59" s="202"/>
      <c r="D59" s="202"/>
      <c r="E59" s="202"/>
      <c r="F59" s="411"/>
      <c r="G59" s="412"/>
      <c r="H59" s="412"/>
      <c r="I59" s="412"/>
      <c r="J59" s="412"/>
      <c r="K59" s="412"/>
      <c r="L59" s="412"/>
      <c r="M59" s="413"/>
      <c r="N59" s="201"/>
      <c r="O59" s="199"/>
      <c r="P59" s="410"/>
      <c r="Q59" s="410"/>
      <c r="R59" s="410"/>
      <c r="S59" s="410"/>
      <c r="T59" s="410"/>
      <c r="U59" s="410"/>
      <c r="V59" s="400"/>
      <c r="W59" s="400"/>
      <c r="X59" s="400"/>
      <c r="Y59" s="400"/>
      <c r="Z59" s="400"/>
      <c r="AA59" s="400"/>
      <c r="AB59" s="400"/>
      <c r="AC59" s="400"/>
      <c r="AD59" s="414"/>
      <c r="AF59" s="87">
        <f>8*3000</f>
        <v>24000</v>
      </c>
    </row>
    <row r="60" spans="1:32" ht="27" customHeight="1" thickBot="1">
      <c r="A60" s="415"/>
      <c r="B60" s="416"/>
      <c r="C60" s="203"/>
      <c r="D60" s="203"/>
      <c r="E60" s="203"/>
      <c r="F60" s="417"/>
      <c r="G60" s="418"/>
      <c r="H60" s="418"/>
      <c r="I60" s="418"/>
      <c r="J60" s="418"/>
      <c r="K60" s="418"/>
      <c r="L60" s="418"/>
      <c r="M60" s="419"/>
      <c r="N60" s="124"/>
      <c r="O60" s="114"/>
      <c r="P60" s="420"/>
      <c r="Q60" s="420"/>
      <c r="R60" s="420"/>
      <c r="S60" s="420"/>
      <c r="T60" s="420"/>
      <c r="U60" s="420"/>
      <c r="V60" s="421"/>
      <c r="W60" s="421"/>
      <c r="X60" s="421"/>
      <c r="Y60" s="421"/>
      <c r="Z60" s="421"/>
      <c r="AA60" s="421"/>
      <c r="AB60" s="421"/>
      <c r="AC60" s="421"/>
      <c r="AD60" s="422"/>
      <c r="AF60" s="87">
        <f>16*3000</f>
        <v>48000</v>
      </c>
    </row>
    <row r="61" spans="1:32" ht="27.75" thickBot="1">
      <c r="A61" s="407" t="s">
        <v>345</v>
      </c>
      <c r="B61" s="407"/>
      <c r="C61" s="407"/>
      <c r="D61" s="407"/>
      <c r="E61" s="407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408" t="s">
        <v>113</v>
      </c>
      <c r="B62" s="405"/>
      <c r="C62" s="200" t="s">
        <v>2</v>
      </c>
      <c r="D62" s="200" t="s">
        <v>37</v>
      </c>
      <c r="E62" s="200" t="s">
        <v>3</v>
      </c>
      <c r="F62" s="405" t="s">
        <v>110</v>
      </c>
      <c r="G62" s="405"/>
      <c r="H62" s="405"/>
      <c r="I62" s="405"/>
      <c r="J62" s="405"/>
      <c r="K62" s="405" t="s">
        <v>39</v>
      </c>
      <c r="L62" s="405"/>
      <c r="M62" s="200" t="s">
        <v>40</v>
      </c>
      <c r="N62" s="405" t="s">
        <v>41</v>
      </c>
      <c r="O62" s="405"/>
      <c r="P62" s="402" t="s">
        <v>42</v>
      </c>
      <c r="Q62" s="404"/>
      <c r="R62" s="402" t="s">
        <v>43</v>
      </c>
      <c r="S62" s="403"/>
      <c r="T62" s="403"/>
      <c r="U62" s="403"/>
      <c r="V62" s="403"/>
      <c r="W62" s="403"/>
      <c r="X62" s="403"/>
      <c r="Y62" s="403"/>
      <c r="Z62" s="403"/>
      <c r="AA62" s="404"/>
      <c r="AB62" s="405" t="s">
        <v>44</v>
      </c>
      <c r="AC62" s="405"/>
      <c r="AD62" s="406"/>
      <c r="AF62" s="87">
        <f>SUM(AF59:AF61)</f>
        <v>96000</v>
      </c>
    </row>
    <row r="63" spans="1:32" ht="25.5" customHeight="1">
      <c r="A63" s="396">
        <v>1</v>
      </c>
      <c r="B63" s="397"/>
      <c r="C63" s="117" t="s">
        <v>140</v>
      </c>
      <c r="D63" s="195"/>
      <c r="E63" s="198" t="s">
        <v>122</v>
      </c>
      <c r="F63" s="398" t="s">
        <v>342</v>
      </c>
      <c r="G63" s="390"/>
      <c r="H63" s="390"/>
      <c r="I63" s="390"/>
      <c r="J63" s="390"/>
      <c r="K63" s="390" t="s">
        <v>216</v>
      </c>
      <c r="L63" s="390"/>
      <c r="M63" s="51" t="s">
        <v>207</v>
      </c>
      <c r="N63" s="401" t="s">
        <v>204</v>
      </c>
      <c r="O63" s="401"/>
      <c r="P63" s="399">
        <v>100</v>
      </c>
      <c r="Q63" s="399"/>
      <c r="R63" s="400"/>
      <c r="S63" s="400"/>
      <c r="T63" s="400"/>
      <c r="U63" s="400"/>
      <c r="V63" s="400"/>
      <c r="W63" s="400"/>
      <c r="X63" s="400"/>
      <c r="Y63" s="400"/>
      <c r="Z63" s="400"/>
      <c r="AA63" s="400"/>
      <c r="AB63" s="390"/>
      <c r="AC63" s="390"/>
      <c r="AD63" s="391"/>
      <c r="AF63" s="50"/>
    </row>
    <row r="64" spans="1:32" ht="25.5" customHeight="1">
      <c r="A64" s="396">
        <v>2</v>
      </c>
      <c r="B64" s="397"/>
      <c r="C64" s="117" t="s">
        <v>140</v>
      </c>
      <c r="D64" s="195"/>
      <c r="E64" s="198" t="s">
        <v>117</v>
      </c>
      <c r="F64" s="398" t="s">
        <v>340</v>
      </c>
      <c r="G64" s="390"/>
      <c r="H64" s="390"/>
      <c r="I64" s="390"/>
      <c r="J64" s="390"/>
      <c r="K64" s="390" t="s">
        <v>216</v>
      </c>
      <c r="L64" s="390"/>
      <c r="M64" s="51" t="s">
        <v>207</v>
      </c>
      <c r="N64" s="401" t="s">
        <v>204</v>
      </c>
      <c r="O64" s="401"/>
      <c r="P64" s="399">
        <v>100</v>
      </c>
      <c r="Q64" s="399"/>
      <c r="R64" s="400" t="s">
        <v>346</v>
      </c>
      <c r="S64" s="400"/>
      <c r="T64" s="400"/>
      <c r="U64" s="400"/>
      <c r="V64" s="400"/>
      <c r="W64" s="400"/>
      <c r="X64" s="400"/>
      <c r="Y64" s="400"/>
      <c r="Z64" s="400"/>
      <c r="AA64" s="400"/>
      <c r="AB64" s="390"/>
      <c r="AC64" s="390"/>
      <c r="AD64" s="391"/>
      <c r="AF64" s="50"/>
    </row>
    <row r="65" spans="1:32" ht="25.5" customHeight="1">
      <c r="A65" s="396">
        <v>3</v>
      </c>
      <c r="B65" s="397"/>
      <c r="C65" s="117"/>
      <c r="D65" s="195"/>
      <c r="E65" s="198"/>
      <c r="F65" s="398"/>
      <c r="G65" s="390"/>
      <c r="H65" s="390"/>
      <c r="I65" s="390"/>
      <c r="J65" s="390"/>
      <c r="K65" s="390"/>
      <c r="L65" s="390"/>
      <c r="M65" s="51"/>
      <c r="N65" s="401"/>
      <c r="O65" s="401"/>
      <c r="P65" s="399"/>
      <c r="Q65" s="399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390"/>
      <c r="AC65" s="390"/>
      <c r="AD65" s="391"/>
      <c r="AF65" s="50"/>
    </row>
    <row r="66" spans="1:32" ht="25.5" customHeight="1">
      <c r="A66" s="396">
        <v>4</v>
      </c>
      <c r="B66" s="397"/>
      <c r="C66" s="117"/>
      <c r="D66" s="195"/>
      <c r="E66" s="198"/>
      <c r="F66" s="398"/>
      <c r="G66" s="390"/>
      <c r="H66" s="390"/>
      <c r="I66" s="390"/>
      <c r="J66" s="390"/>
      <c r="K66" s="390"/>
      <c r="L66" s="390"/>
      <c r="M66" s="51"/>
      <c r="N66" s="401"/>
      <c r="O66" s="401"/>
      <c r="P66" s="399"/>
      <c r="Q66" s="399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390"/>
      <c r="AC66" s="390"/>
      <c r="AD66" s="391"/>
      <c r="AF66" s="50"/>
    </row>
    <row r="67" spans="1:32" ht="25.5" customHeight="1">
      <c r="A67" s="396">
        <v>5</v>
      </c>
      <c r="B67" s="397"/>
      <c r="C67" s="117"/>
      <c r="D67" s="195"/>
      <c r="E67" s="198"/>
      <c r="F67" s="398"/>
      <c r="G67" s="390"/>
      <c r="H67" s="390"/>
      <c r="I67" s="390"/>
      <c r="J67" s="390"/>
      <c r="K67" s="390"/>
      <c r="L67" s="390"/>
      <c r="M67" s="51"/>
      <c r="N67" s="401"/>
      <c r="O67" s="401"/>
      <c r="P67" s="399"/>
      <c r="Q67" s="399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390"/>
      <c r="AC67" s="390"/>
      <c r="AD67" s="391"/>
      <c r="AF67" s="50"/>
    </row>
    <row r="68" spans="1:32" ht="25.5" customHeight="1">
      <c r="A68" s="396">
        <v>6</v>
      </c>
      <c r="B68" s="397"/>
      <c r="C68" s="117"/>
      <c r="D68" s="195"/>
      <c r="E68" s="198"/>
      <c r="F68" s="398"/>
      <c r="G68" s="390"/>
      <c r="H68" s="390"/>
      <c r="I68" s="390"/>
      <c r="J68" s="390"/>
      <c r="K68" s="390"/>
      <c r="L68" s="390"/>
      <c r="M68" s="51"/>
      <c r="N68" s="390"/>
      <c r="O68" s="390"/>
      <c r="P68" s="399"/>
      <c r="Q68" s="399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390"/>
      <c r="AC68" s="390"/>
      <c r="AD68" s="391"/>
      <c r="AF68" s="50"/>
    </row>
    <row r="69" spans="1:32" ht="25.5" customHeight="1">
      <c r="A69" s="396">
        <v>7</v>
      </c>
      <c r="B69" s="397"/>
      <c r="C69" s="117"/>
      <c r="D69" s="195"/>
      <c r="E69" s="198"/>
      <c r="F69" s="398"/>
      <c r="G69" s="390"/>
      <c r="H69" s="390"/>
      <c r="I69" s="390"/>
      <c r="J69" s="390"/>
      <c r="K69" s="390"/>
      <c r="L69" s="390"/>
      <c r="M69" s="51"/>
      <c r="N69" s="401"/>
      <c r="O69" s="401"/>
      <c r="P69" s="399"/>
      <c r="Q69" s="399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390"/>
      <c r="AC69" s="390"/>
      <c r="AD69" s="391"/>
      <c r="AF69" s="50"/>
    </row>
    <row r="70" spans="1:32" ht="25.5" customHeight="1">
      <c r="A70" s="396">
        <v>8</v>
      </c>
      <c r="B70" s="397"/>
      <c r="C70" s="117"/>
      <c r="D70" s="195"/>
      <c r="E70" s="198"/>
      <c r="F70" s="398"/>
      <c r="G70" s="390"/>
      <c r="H70" s="390"/>
      <c r="I70" s="390"/>
      <c r="J70" s="390"/>
      <c r="K70" s="390"/>
      <c r="L70" s="390"/>
      <c r="M70" s="51"/>
      <c r="N70" s="390"/>
      <c r="O70" s="390"/>
      <c r="P70" s="399"/>
      <c r="Q70" s="399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390"/>
      <c r="AC70" s="390"/>
      <c r="AD70" s="391"/>
      <c r="AF70" s="50"/>
    </row>
    <row r="71" spans="1:32" ht="26.25" customHeight="1" thickBot="1">
      <c r="A71" s="370" t="s">
        <v>347</v>
      </c>
      <c r="B71" s="370"/>
      <c r="C71" s="370"/>
      <c r="D71" s="370"/>
      <c r="E71" s="370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371" t="s">
        <v>113</v>
      </c>
      <c r="B72" s="372"/>
      <c r="C72" s="197" t="s">
        <v>2</v>
      </c>
      <c r="D72" s="197" t="s">
        <v>37</v>
      </c>
      <c r="E72" s="197" t="s">
        <v>3</v>
      </c>
      <c r="F72" s="372" t="s">
        <v>38</v>
      </c>
      <c r="G72" s="372"/>
      <c r="H72" s="372"/>
      <c r="I72" s="372"/>
      <c r="J72" s="372"/>
      <c r="K72" s="392" t="s">
        <v>58</v>
      </c>
      <c r="L72" s="393"/>
      <c r="M72" s="393"/>
      <c r="N72" s="393"/>
      <c r="O72" s="393"/>
      <c r="P72" s="393"/>
      <c r="Q72" s="393"/>
      <c r="R72" s="393"/>
      <c r="S72" s="394"/>
      <c r="T72" s="372" t="s">
        <v>49</v>
      </c>
      <c r="U72" s="372"/>
      <c r="V72" s="392" t="s">
        <v>50</v>
      </c>
      <c r="W72" s="394"/>
      <c r="X72" s="393" t="s">
        <v>51</v>
      </c>
      <c r="Y72" s="393"/>
      <c r="Z72" s="393"/>
      <c r="AA72" s="393"/>
      <c r="AB72" s="393"/>
      <c r="AC72" s="393"/>
      <c r="AD72" s="395"/>
      <c r="AF72" s="50"/>
    </row>
    <row r="73" spans="1:32" ht="33.75" customHeight="1">
      <c r="A73" s="364">
        <v>1</v>
      </c>
      <c r="B73" s="365"/>
      <c r="C73" s="196" t="s">
        <v>114</v>
      </c>
      <c r="D73" s="196"/>
      <c r="E73" s="65" t="s">
        <v>119</v>
      </c>
      <c r="F73" s="379" t="s">
        <v>118</v>
      </c>
      <c r="G73" s="380"/>
      <c r="H73" s="380"/>
      <c r="I73" s="380"/>
      <c r="J73" s="381"/>
      <c r="K73" s="382" t="s">
        <v>156</v>
      </c>
      <c r="L73" s="383"/>
      <c r="M73" s="383"/>
      <c r="N73" s="383"/>
      <c r="O73" s="383"/>
      <c r="P73" s="383"/>
      <c r="Q73" s="383"/>
      <c r="R73" s="383"/>
      <c r="S73" s="384"/>
      <c r="T73" s="385">
        <v>43675</v>
      </c>
      <c r="U73" s="386"/>
      <c r="V73" s="387"/>
      <c r="W73" s="387"/>
      <c r="X73" s="388"/>
      <c r="Y73" s="388"/>
      <c r="Z73" s="388"/>
      <c r="AA73" s="388"/>
      <c r="AB73" s="388"/>
      <c r="AC73" s="388"/>
      <c r="AD73" s="389"/>
      <c r="AF73" s="50"/>
    </row>
    <row r="74" spans="1:32" ht="30" customHeight="1">
      <c r="A74" s="357">
        <f>A73+1</f>
        <v>2</v>
      </c>
      <c r="B74" s="358"/>
      <c r="C74" s="195"/>
      <c r="D74" s="195"/>
      <c r="E74" s="32"/>
      <c r="F74" s="358"/>
      <c r="G74" s="358"/>
      <c r="H74" s="358"/>
      <c r="I74" s="358"/>
      <c r="J74" s="358"/>
      <c r="K74" s="373"/>
      <c r="L74" s="374"/>
      <c r="M74" s="374"/>
      <c r="N74" s="374"/>
      <c r="O74" s="374"/>
      <c r="P74" s="374"/>
      <c r="Q74" s="374"/>
      <c r="R74" s="374"/>
      <c r="S74" s="375"/>
      <c r="T74" s="376"/>
      <c r="U74" s="376"/>
      <c r="V74" s="376"/>
      <c r="W74" s="376"/>
      <c r="X74" s="377"/>
      <c r="Y74" s="377"/>
      <c r="Z74" s="377"/>
      <c r="AA74" s="377"/>
      <c r="AB74" s="377"/>
      <c r="AC74" s="377"/>
      <c r="AD74" s="378"/>
      <c r="AF74" s="50"/>
    </row>
    <row r="75" spans="1:32" ht="30" customHeight="1">
      <c r="A75" s="357">
        <f t="shared" ref="A75:A81" si="14">A74+1</f>
        <v>3</v>
      </c>
      <c r="B75" s="358"/>
      <c r="C75" s="195"/>
      <c r="D75" s="195"/>
      <c r="E75" s="32"/>
      <c r="F75" s="358"/>
      <c r="G75" s="358"/>
      <c r="H75" s="358"/>
      <c r="I75" s="358"/>
      <c r="J75" s="358"/>
      <c r="K75" s="373"/>
      <c r="L75" s="374"/>
      <c r="M75" s="374"/>
      <c r="N75" s="374"/>
      <c r="O75" s="374"/>
      <c r="P75" s="374"/>
      <c r="Q75" s="374"/>
      <c r="R75" s="374"/>
      <c r="S75" s="375"/>
      <c r="T75" s="376"/>
      <c r="U75" s="376"/>
      <c r="V75" s="376"/>
      <c r="W75" s="376"/>
      <c r="X75" s="377"/>
      <c r="Y75" s="377"/>
      <c r="Z75" s="377"/>
      <c r="AA75" s="377"/>
      <c r="AB75" s="377"/>
      <c r="AC75" s="377"/>
      <c r="AD75" s="378"/>
      <c r="AF75" s="50"/>
    </row>
    <row r="76" spans="1:32" ht="30" customHeight="1">
      <c r="A76" s="357">
        <f t="shared" si="14"/>
        <v>4</v>
      </c>
      <c r="B76" s="358"/>
      <c r="C76" s="195"/>
      <c r="D76" s="195"/>
      <c r="E76" s="32"/>
      <c r="F76" s="358"/>
      <c r="G76" s="358"/>
      <c r="H76" s="358"/>
      <c r="I76" s="358"/>
      <c r="J76" s="358"/>
      <c r="K76" s="373"/>
      <c r="L76" s="374"/>
      <c r="M76" s="374"/>
      <c r="N76" s="374"/>
      <c r="O76" s="374"/>
      <c r="P76" s="374"/>
      <c r="Q76" s="374"/>
      <c r="R76" s="374"/>
      <c r="S76" s="375"/>
      <c r="T76" s="376"/>
      <c r="U76" s="376"/>
      <c r="V76" s="376"/>
      <c r="W76" s="376"/>
      <c r="X76" s="377"/>
      <c r="Y76" s="377"/>
      <c r="Z76" s="377"/>
      <c r="AA76" s="377"/>
      <c r="AB76" s="377"/>
      <c r="AC76" s="377"/>
      <c r="AD76" s="378"/>
      <c r="AF76" s="50"/>
    </row>
    <row r="77" spans="1:32" ht="30" customHeight="1">
      <c r="A77" s="357">
        <f t="shared" si="14"/>
        <v>5</v>
      </c>
      <c r="B77" s="358"/>
      <c r="C77" s="195"/>
      <c r="D77" s="195"/>
      <c r="E77" s="32"/>
      <c r="F77" s="358"/>
      <c r="G77" s="358"/>
      <c r="H77" s="358"/>
      <c r="I77" s="358"/>
      <c r="J77" s="358"/>
      <c r="K77" s="373"/>
      <c r="L77" s="374"/>
      <c r="M77" s="374"/>
      <c r="N77" s="374"/>
      <c r="O77" s="374"/>
      <c r="P77" s="374"/>
      <c r="Q77" s="374"/>
      <c r="R77" s="374"/>
      <c r="S77" s="375"/>
      <c r="T77" s="376"/>
      <c r="U77" s="376"/>
      <c r="V77" s="376"/>
      <c r="W77" s="376"/>
      <c r="X77" s="377"/>
      <c r="Y77" s="377"/>
      <c r="Z77" s="377"/>
      <c r="AA77" s="377"/>
      <c r="AB77" s="377"/>
      <c r="AC77" s="377"/>
      <c r="AD77" s="378"/>
      <c r="AF77" s="50"/>
    </row>
    <row r="78" spans="1:32" ht="30" customHeight="1">
      <c r="A78" s="357">
        <f t="shared" si="14"/>
        <v>6</v>
      </c>
      <c r="B78" s="358"/>
      <c r="C78" s="195"/>
      <c r="D78" s="195"/>
      <c r="E78" s="32"/>
      <c r="F78" s="358"/>
      <c r="G78" s="358"/>
      <c r="H78" s="358"/>
      <c r="I78" s="358"/>
      <c r="J78" s="358"/>
      <c r="K78" s="373"/>
      <c r="L78" s="374"/>
      <c r="M78" s="374"/>
      <c r="N78" s="374"/>
      <c r="O78" s="374"/>
      <c r="P78" s="374"/>
      <c r="Q78" s="374"/>
      <c r="R78" s="374"/>
      <c r="S78" s="375"/>
      <c r="T78" s="376"/>
      <c r="U78" s="376"/>
      <c r="V78" s="376"/>
      <c r="W78" s="376"/>
      <c r="X78" s="377"/>
      <c r="Y78" s="377"/>
      <c r="Z78" s="377"/>
      <c r="AA78" s="377"/>
      <c r="AB78" s="377"/>
      <c r="AC78" s="377"/>
      <c r="AD78" s="378"/>
      <c r="AF78" s="50"/>
    </row>
    <row r="79" spans="1:32" ht="30" customHeight="1">
      <c r="A79" s="357">
        <f t="shared" si="14"/>
        <v>7</v>
      </c>
      <c r="B79" s="358"/>
      <c r="C79" s="195"/>
      <c r="D79" s="195"/>
      <c r="E79" s="32"/>
      <c r="F79" s="358"/>
      <c r="G79" s="358"/>
      <c r="H79" s="358"/>
      <c r="I79" s="358"/>
      <c r="J79" s="358"/>
      <c r="K79" s="373"/>
      <c r="L79" s="374"/>
      <c r="M79" s="374"/>
      <c r="N79" s="374"/>
      <c r="O79" s="374"/>
      <c r="P79" s="374"/>
      <c r="Q79" s="374"/>
      <c r="R79" s="374"/>
      <c r="S79" s="375"/>
      <c r="T79" s="376"/>
      <c r="U79" s="376"/>
      <c r="V79" s="376"/>
      <c r="W79" s="376"/>
      <c r="X79" s="377"/>
      <c r="Y79" s="377"/>
      <c r="Z79" s="377"/>
      <c r="AA79" s="377"/>
      <c r="AB79" s="377"/>
      <c r="AC79" s="377"/>
      <c r="AD79" s="378"/>
      <c r="AF79" s="50"/>
    </row>
    <row r="80" spans="1:32" ht="30" customHeight="1">
      <c r="A80" s="357">
        <f t="shared" si="14"/>
        <v>8</v>
      </c>
      <c r="B80" s="358"/>
      <c r="C80" s="195"/>
      <c r="D80" s="195"/>
      <c r="E80" s="32"/>
      <c r="F80" s="358"/>
      <c r="G80" s="358"/>
      <c r="H80" s="358"/>
      <c r="I80" s="358"/>
      <c r="J80" s="358"/>
      <c r="K80" s="373"/>
      <c r="L80" s="374"/>
      <c r="M80" s="374"/>
      <c r="N80" s="374"/>
      <c r="O80" s="374"/>
      <c r="P80" s="374"/>
      <c r="Q80" s="374"/>
      <c r="R80" s="374"/>
      <c r="S80" s="375"/>
      <c r="T80" s="376"/>
      <c r="U80" s="376"/>
      <c r="V80" s="376"/>
      <c r="W80" s="376"/>
      <c r="X80" s="377"/>
      <c r="Y80" s="377"/>
      <c r="Z80" s="377"/>
      <c r="AA80" s="377"/>
      <c r="AB80" s="377"/>
      <c r="AC80" s="377"/>
      <c r="AD80" s="378"/>
      <c r="AF80" s="50"/>
    </row>
    <row r="81" spans="1:32" ht="30" customHeight="1">
      <c r="A81" s="357">
        <f t="shared" si="14"/>
        <v>9</v>
      </c>
      <c r="B81" s="358"/>
      <c r="C81" s="195"/>
      <c r="D81" s="195"/>
      <c r="E81" s="32"/>
      <c r="F81" s="358"/>
      <c r="G81" s="358"/>
      <c r="H81" s="358"/>
      <c r="I81" s="358"/>
      <c r="J81" s="358"/>
      <c r="K81" s="373"/>
      <c r="L81" s="374"/>
      <c r="M81" s="374"/>
      <c r="N81" s="374"/>
      <c r="O81" s="374"/>
      <c r="P81" s="374"/>
      <c r="Q81" s="374"/>
      <c r="R81" s="374"/>
      <c r="S81" s="375"/>
      <c r="T81" s="376"/>
      <c r="U81" s="376"/>
      <c r="V81" s="376"/>
      <c r="W81" s="376"/>
      <c r="X81" s="377"/>
      <c r="Y81" s="377"/>
      <c r="Z81" s="377"/>
      <c r="AA81" s="377"/>
      <c r="AB81" s="377"/>
      <c r="AC81" s="377"/>
      <c r="AD81" s="378"/>
      <c r="AF81" s="50"/>
    </row>
    <row r="82" spans="1:32" ht="36" thickBot="1">
      <c r="A82" s="370" t="s">
        <v>348</v>
      </c>
      <c r="B82" s="370"/>
      <c r="C82" s="370"/>
      <c r="D82" s="370"/>
      <c r="E82" s="370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371" t="s">
        <v>113</v>
      </c>
      <c r="B83" s="372"/>
      <c r="C83" s="362" t="s">
        <v>52</v>
      </c>
      <c r="D83" s="362"/>
      <c r="E83" s="362" t="s">
        <v>53</v>
      </c>
      <c r="F83" s="362"/>
      <c r="G83" s="362"/>
      <c r="H83" s="362"/>
      <c r="I83" s="362"/>
      <c r="J83" s="362"/>
      <c r="K83" s="362" t="s">
        <v>54</v>
      </c>
      <c r="L83" s="362"/>
      <c r="M83" s="362"/>
      <c r="N83" s="362"/>
      <c r="O83" s="362"/>
      <c r="P83" s="362"/>
      <c r="Q83" s="362"/>
      <c r="R83" s="362"/>
      <c r="S83" s="362"/>
      <c r="T83" s="362" t="s">
        <v>55</v>
      </c>
      <c r="U83" s="362"/>
      <c r="V83" s="362" t="s">
        <v>56</v>
      </c>
      <c r="W83" s="362"/>
      <c r="X83" s="362"/>
      <c r="Y83" s="362" t="s">
        <v>51</v>
      </c>
      <c r="Z83" s="362"/>
      <c r="AA83" s="362"/>
      <c r="AB83" s="362"/>
      <c r="AC83" s="362"/>
      <c r="AD83" s="363"/>
      <c r="AF83" s="50"/>
    </row>
    <row r="84" spans="1:32" ht="30.75" customHeight="1">
      <c r="A84" s="364">
        <v>1</v>
      </c>
      <c r="B84" s="365"/>
      <c r="C84" s="366"/>
      <c r="D84" s="366"/>
      <c r="E84" s="366"/>
      <c r="F84" s="366"/>
      <c r="G84" s="366"/>
      <c r="H84" s="366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  <c r="U84" s="366"/>
      <c r="V84" s="367"/>
      <c r="W84" s="367"/>
      <c r="X84" s="367"/>
      <c r="Y84" s="368"/>
      <c r="Z84" s="368"/>
      <c r="AA84" s="368"/>
      <c r="AB84" s="368"/>
      <c r="AC84" s="368"/>
      <c r="AD84" s="369"/>
      <c r="AF84" s="50"/>
    </row>
    <row r="85" spans="1:32" ht="30.75" customHeight="1">
      <c r="A85" s="357">
        <v>2</v>
      </c>
      <c r="B85" s="358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60"/>
      <c r="U85" s="360"/>
      <c r="V85" s="361"/>
      <c r="W85" s="361"/>
      <c r="X85" s="361"/>
      <c r="Y85" s="350"/>
      <c r="Z85" s="350"/>
      <c r="AA85" s="350"/>
      <c r="AB85" s="350"/>
      <c r="AC85" s="350"/>
      <c r="AD85" s="351"/>
      <c r="AF85" s="50"/>
    </row>
    <row r="86" spans="1:32" ht="30.75" customHeight="1" thickBot="1">
      <c r="A86" s="352">
        <v>3</v>
      </c>
      <c r="B86" s="353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5"/>
      <c r="Z86" s="355"/>
      <c r="AA86" s="355"/>
      <c r="AB86" s="355"/>
      <c r="AC86" s="355"/>
      <c r="AD86" s="356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6" max="2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23</vt:i4>
      </vt:variant>
      <vt:variant>
        <vt:lpstr>이름 지정된 범위</vt:lpstr>
      </vt:variant>
      <vt:variant>
        <vt:i4>44</vt:i4>
      </vt:variant>
    </vt:vector>
  </HeadingPairs>
  <TitlesOfParts>
    <vt:vector size="67" baseType="lpstr">
      <vt:lpstr>총괄</vt:lpstr>
      <vt:lpstr>01</vt:lpstr>
      <vt:lpstr>02</vt:lpstr>
      <vt:lpstr>03</vt:lpstr>
      <vt:lpstr>05</vt:lpstr>
      <vt:lpstr>06</vt:lpstr>
      <vt:lpstr>07</vt:lpstr>
      <vt:lpstr>08</vt:lpstr>
      <vt:lpstr>09</vt:lpstr>
      <vt:lpstr>12</vt:lpstr>
      <vt:lpstr>13</vt:lpstr>
      <vt:lpstr>14</vt:lpstr>
      <vt:lpstr>19</vt:lpstr>
      <vt:lpstr>20</vt:lpstr>
      <vt:lpstr>21</vt:lpstr>
      <vt:lpstr>22</vt:lpstr>
      <vt:lpstr>23</vt:lpstr>
      <vt:lpstr>26</vt:lpstr>
      <vt:lpstr>27</vt:lpstr>
      <vt:lpstr>28</vt:lpstr>
      <vt:lpstr>29</vt:lpstr>
      <vt:lpstr>30</vt:lpstr>
      <vt:lpstr>31</vt:lpstr>
      <vt:lpstr>'01'!Print_Area</vt:lpstr>
      <vt:lpstr>'02'!Print_Area</vt:lpstr>
      <vt:lpstr>'03'!Print_Area</vt:lpstr>
      <vt:lpstr>'05'!Print_Area</vt:lpstr>
      <vt:lpstr>'06'!Print_Area</vt:lpstr>
      <vt:lpstr>'07'!Print_Area</vt:lpstr>
      <vt:lpstr>'08'!Print_Area</vt:lpstr>
      <vt:lpstr>'09'!Print_Area</vt:lpstr>
      <vt:lpstr>'12'!Print_Area</vt:lpstr>
      <vt:lpstr>'13'!Print_Area</vt:lpstr>
      <vt:lpstr>'14'!Print_Area</vt:lpstr>
      <vt:lpstr>'19'!Print_Area</vt:lpstr>
      <vt:lpstr>'20'!Print_Area</vt:lpstr>
      <vt:lpstr>'21'!Print_Area</vt:lpstr>
      <vt:lpstr>'22'!Print_Area</vt:lpstr>
      <vt:lpstr>'23'!Print_Area</vt:lpstr>
      <vt:lpstr>'26'!Print_Area</vt:lpstr>
      <vt:lpstr>'27'!Print_Area</vt:lpstr>
      <vt:lpstr>'28'!Print_Area</vt:lpstr>
      <vt:lpstr>'29'!Print_Area</vt:lpstr>
      <vt:lpstr>'30'!Print_Area</vt:lpstr>
      <vt:lpstr>'31'!Print_Area</vt:lpstr>
      <vt:lpstr>'01'!ㅁ1</vt:lpstr>
      <vt:lpstr>'02'!ㅁ1</vt:lpstr>
      <vt:lpstr>'03'!ㅁ1</vt:lpstr>
      <vt:lpstr>'05'!ㅁ1</vt:lpstr>
      <vt:lpstr>'06'!ㅁ1</vt:lpstr>
      <vt:lpstr>'07'!ㅁ1</vt:lpstr>
      <vt:lpstr>'08'!ㅁ1</vt:lpstr>
      <vt:lpstr>'09'!ㅁ1</vt:lpstr>
      <vt:lpstr>'12'!ㅁ1</vt:lpstr>
      <vt:lpstr>'13'!ㅁ1</vt:lpstr>
      <vt:lpstr>'14'!ㅁ1</vt:lpstr>
      <vt:lpstr>'19'!ㅁ1</vt:lpstr>
      <vt:lpstr>'20'!ㅁ1</vt:lpstr>
      <vt:lpstr>'21'!ㅁ1</vt:lpstr>
      <vt:lpstr>'22'!ㅁ1</vt:lpstr>
      <vt:lpstr>'23'!ㅁ1</vt:lpstr>
      <vt:lpstr>'26'!ㅁ1</vt:lpstr>
      <vt:lpstr>'27'!ㅁ1</vt:lpstr>
      <vt:lpstr>'28'!ㅁ1</vt:lpstr>
      <vt:lpstr>'29'!ㅁ1</vt:lpstr>
      <vt:lpstr>'30'!ㅁ1</vt:lpstr>
      <vt:lpstr>'31'!ㅁ1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2019-06-25T01:47:47Z</cp:lastPrinted>
  <dcterms:created xsi:type="dcterms:W3CDTF">2014-05-16T00:06:55Z</dcterms:created>
  <dcterms:modified xsi:type="dcterms:W3CDTF">2019-09-01T06:30:26Z</dcterms:modified>
</cp:coreProperties>
</file>