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drawings/drawing49.xml" ContentType="application/vnd.openxmlformats-officedocument.drawingml.chartshapes+xml"/>
  <Override PartName="/xl/drawings/drawing50.xml" ContentType="application/vnd.openxmlformats-officedocument.drawing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drawings/drawing51.xml" ContentType="application/vnd.openxmlformats-officedocument.drawingml.chartshapes+xml"/>
  <Override PartName="/xl/drawings/drawing52.xml" ContentType="application/vnd.openxmlformats-officedocument.drawing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drawings/drawing5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19년도\일일업무\생산일보\"/>
    </mc:Choice>
  </mc:AlternateContent>
  <xr:revisionPtr revIDLastSave="0" documentId="13_ncr:1_{15E877E0-2294-4A16-AD7E-F8E359CDE298}" xr6:coauthVersionLast="44" xr6:coauthVersionMax="44" xr10:uidLastSave="{00000000-0000-0000-0000-000000000000}"/>
  <bookViews>
    <workbookView xWindow="-120" yWindow="-120" windowWidth="29040" windowHeight="15840" firstSheet="3" activeTab="26" xr2:uid="{00000000-000D-0000-FFFF-FFFF00000000}"/>
  </bookViews>
  <sheets>
    <sheet name="총괄" sheetId="16" r:id="rId1"/>
    <sheet name="02" sheetId="1520" r:id="rId2"/>
    <sheet name="03" sheetId="1521" r:id="rId3"/>
    <sheet name="04" sheetId="1522" r:id="rId4"/>
    <sheet name="05" sheetId="1523" r:id="rId5"/>
    <sheet name="06" sheetId="1524" r:id="rId6"/>
    <sheet name="07" sheetId="1525" r:id="rId7"/>
    <sheet name="08" sheetId="1526" r:id="rId8"/>
    <sheet name="09" sheetId="1527" r:id="rId9"/>
    <sheet name="10" sheetId="1528" r:id="rId10"/>
    <sheet name="11" sheetId="1529" r:id="rId11"/>
    <sheet name="12" sheetId="1530" r:id="rId12"/>
    <sheet name="14" sheetId="1531" r:id="rId13"/>
    <sheet name="15" sheetId="1532" r:id="rId14"/>
    <sheet name="16" sheetId="1533" r:id="rId15"/>
    <sheet name="17" sheetId="1534" r:id="rId16"/>
    <sheet name="18" sheetId="1535" r:id="rId17"/>
    <sheet name="19" sheetId="1536" r:id="rId18"/>
    <sheet name="20" sheetId="1537" r:id="rId19"/>
    <sheet name="21" sheetId="1538" r:id="rId20"/>
    <sheet name="23" sheetId="1539" r:id="rId21"/>
    <sheet name="24" sheetId="1540" r:id="rId22"/>
    <sheet name="25" sheetId="1541" r:id="rId23"/>
    <sheet name="26" sheetId="1542" r:id="rId24"/>
    <sheet name="27" sheetId="1543" r:id="rId25"/>
    <sheet name="28" sheetId="1544" r:id="rId26"/>
    <sheet name="30" sheetId="1545" r:id="rId27"/>
  </sheets>
  <definedNames>
    <definedName name="_xlnm.Print_Area" localSheetId="1">'02'!$A$1:$AD$86</definedName>
    <definedName name="_xlnm.Print_Area" localSheetId="2">'03'!$A$1:$AD$86</definedName>
    <definedName name="_xlnm.Print_Area" localSheetId="3">'04'!$A$1:$AD$87</definedName>
    <definedName name="_xlnm.Print_Area" localSheetId="4">'05'!$A$1:$AD$86</definedName>
    <definedName name="_xlnm.Print_Area" localSheetId="5">'06'!$A$1:$AD$87</definedName>
    <definedName name="_xlnm.Print_Area" localSheetId="6">'07'!$A$1:$AD$86</definedName>
    <definedName name="_xlnm.Print_Area" localSheetId="7">'08'!$A$1:$AD$86</definedName>
    <definedName name="_xlnm.Print_Area" localSheetId="8">'09'!$A$1:$AD$86</definedName>
    <definedName name="_xlnm.Print_Area" localSheetId="9">'10'!$A$1:$AD$86</definedName>
    <definedName name="_xlnm.Print_Area" localSheetId="10">'11'!$A$1:$AD$87</definedName>
    <definedName name="_xlnm.Print_Area" localSheetId="11">'12'!$A$1:$AD$86</definedName>
    <definedName name="_xlnm.Print_Area" localSheetId="12">'14'!$A$1:$AD$86</definedName>
    <definedName name="_xlnm.Print_Area" localSheetId="13">'15'!$A$1:$AD$86</definedName>
    <definedName name="_xlnm.Print_Area" localSheetId="14">'16'!$A$1:$AD$86</definedName>
    <definedName name="_xlnm.Print_Area" localSheetId="15">'17'!$A$1:$AD$86</definedName>
    <definedName name="_xlnm.Print_Area" localSheetId="16">'18'!$A$1:$AD$86</definedName>
    <definedName name="_xlnm.Print_Area" localSheetId="17">'19'!$A$1:$AD$90</definedName>
    <definedName name="_xlnm.Print_Area" localSheetId="18">'20'!$A$1:$AD$89</definedName>
    <definedName name="_xlnm.Print_Area" localSheetId="19">'21'!$A$1:$AD$87</definedName>
    <definedName name="_xlnm.Print_Area" localSheetId="20">'23'!$A$1:$AD$89</definedName>
    <definedName name="_xlnm.Print_Area" localSheetId="21">'24'!$A$1:$AD$89</definedName>
    <definedName name="_xlnm.Print_Area" localSheetId="22">'25'!$A$1:$AD$89</definedName>
    <definedName name="_xlnm.Print_Area" localSheetId="23">'26'!$A$1:$AD$88</definedName>
    <definedName name="_xlnm.Print_Area" localSheetId="24">'27'!$A$1:$AD$88</definedName>
    <definedName name="_xlnm.Print_Area" localSheetId="25">'28'!$A$1:$AD$89</definedName>
    <definedName name="_xlnm.Print_Area" localSheetId="26">'30'!$A$1:$AD$87</definedName>
    <definedName name="ㅁ1" localSheetId="1">'02'!$M$1048521:$M$1048576</definedName>
    <definedName name="ㅁ1" localSheetId="2">'03'!$M$1048521:$M$1048576</definedName>
    <definedName name="ㅁ1" localSheetId="3">'04'!$M$1048522:$M$1048576</definedName>
    <definedName name="ㅁ1" localSheetId="4">'05'!$M$1048521:$M$1048576</definedName>
    <definedName name="ㅁ1" localSheetId="5">'06'!$M$1048522:$M$1048576</definedName>
    <definedName name="ㅁ1" localSheetId="6">'07'!$M$1048521:$M$1048576</definedName>
    <definedName name="ㅁ1" localSheetId="7">'08'!$M$1048521:$M$1048576</definedName>
    <definedName name="ㅁ1" localSheetId="8">'09'!$M$1048521:$M$1048576</definedName>
    <definedName name="ㅁ1" localSheetId="9">'10'!$M$1048521:$M$1048576</definedName>
    <definedName name="ㅁ1" localSheetId="10">'11'!$M$1048522:$M$1048576</definedName>
    <definedName name="ㅁ1" localSheetId="11">'12'!$M$1048521:$M$1048576</definedName>
    <definedName name="ㅁ1" localSheetId="12">'14'!$M$1048521:$M$1048576</definedName>
    <definedName name="ㅁ1" localSheetId="13">'15'!$M$1048521:$M$1048576</definedName>
    <definedName name="ㅁ1" localSheetId="14">'16'!$M$1048521:$M$1048576</definedName>
    <definedName name="ㅁ1" localSheetId="15">'17'!$M$1048521:$M$1048576</definedName>
    <definedName name="ㅁ1" localSheetId="16">'18'!$M$1048521:$M$1048576</definedName>
    <definedName name="ㅁ1" localSheetId="17">'19'!$M$1048525:$M$1048576</definedName>
    <definedName name="ㅁ1" localSheetId="18">'20'!$M$1048524:$M$1048576</definedName>
    <definedName name="ㅁ1" localSheetId="19">'21'!$M$1048522:$M$1048576</definedName>
    <definedName name="ㅁ1" localSheetId="20">'23'!$M$1048524:$M$1048576</definedName>
    <definedName name="ㅁ1" localSheetId="21">'24'!$M$1048524:$M$1048576</definedName>
    <definedName name="ㅁ1" localSheetId="22">'25'!$M$1048524:$M$1048576</definedName>
    <definedName name="ㅁ1" localSheetId="23">'26'!$M$1048523:$M$1048576</definedName>
    <definedName name="ㅁ1" localSheetId="24">'27'!$M$1048523:$M$1048576</definedName>
    <definedName name="ㅁ1" localSheetId="25">'28'!$M$1048524:$M$1048576</definedName>
    <definedName name="ㅁ1" localSheetId="26">'30'!$M$1048522:$M$1048576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18" i="16" l="1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1" i="1545"/>
  <c r="L20" i="1545"/>
  <c r="L19" i="1545"/>
  <c r="L18" i="1545"/>
  <c r="L17" i="1545"/>
  <c r="L14" i="1545"/>
  <c r="K14" i="1545" s="1"/>
  <c r="K13" i="1545"/>
  <c r="L11" i="1545"/>
  <c r="K11" i="1545"/>
  <c r="K10" i="1545"/>
  <c r="L9" i="1545"/>
  <c r="L22" i="1545" s="1"/>
  <c r="O22" i="1545" s="1"/>
  <c r="L8" i="1545"/>
  <c r="K21" i="1545"/>
  <c r="K20" i="1545"/>
  <c r="K19" i="1545"/>
  <c r="K18" i="1545"/>
  <c r="K17" i="1545"/>
  <c r="K16" i="1545"/>
  <c r="K12" i="1545"/>
  <c r="K8" i="1545"/>
  <c r="A75" i="1545"/>
  <c r="A76" i="1545" s="1"/>
  <c r="A77" i="1545" s="1"/>
  <c r="A78" i="1545" s="1"/>
  <c r="A79" i="1545" s="1"/>
  <c r="A80" i="1545" s="1"/>
  <c r="A81" i="1545" s="1"/>
  <c r="A82" i="1545" s="1"/>
  <c r="AF61" i="1545"/>
  <c r="AF60" i="1545"/>
  <c r="AA22" i="1545"/>
  <c r="Z22" i="1545"/>
  <c r="Y22" i="1545"/>
  <c r="X22" i="1545"/>
  <c r="W22" i="1545"/>
  <c r="V22" i="1545"/>
  <c r="U22" i="1545"/>
  <c r="T22" i="1545"/>
  <c r="S22" i="1545"/>
  <c r="R22" i="1545"/>
  <c r="N22" i="1545"/>
  <c r="J22" i="1545"/>
  <c r="I22" i="1545"/>
  <c r="AF21" i="1545"/>
  <c r="Q21" i="1545"/>
  <c r="O21" i="1545"/>
  <c r="AF20" i="1545"/>
  <c r="AB20" i="1545"/>
  <c r="Q20" i="1545"/>
  <c r="P20" i="1545" s="1"/>
  <c r="AC20" i="1545" s="1"/>
  <c r="O20" i="1545"/>
  <c r="M20" i="1545"/>
  <c r="AF19" i="1545"/>
  <c r="AB19" i="1545"/>
  <c r="Q19" i="1545"/>
  <c r="O19" i="1545"/>
  <c r="M19" i="1545"/>
  <c r="P19" i="1545"/>
  <c r="AC19" i="1545" s="1"/>
  <c r="AF18" i="1545"/>
  <c r="Q18" i="1545"/>
  <c r="P18" i="1545" s="1"/>
  <c r="AC18" i="1545" s="1"/>
  <c r="AF17" i="1545"/>
  <c r="Q17" i="1545"/>
  <c r="O17" i="1545"/>
  <c r="AF16" i="1545"/>
  <c r="AB16" i="1545"/>
  <c r="Q16" i="1545"/>
  <c r="P16" i="1545"/>
  <c r="AC16" i="1545" s="1"/>
  <c r="O16" i="1545"/>
  <c r="M16" i="1545"/>
  <c r="AF15" i="1545"/>
  <c r="AB15" i="1545"/>
  <c r="Q15" i="1545"/>
  <c r="P15" i="1545"/>
  <c r="AC15" i="1545" s="1"/>
  <c r="AD15" i="1545" s="1"/>
  <c r="O15" i="1545"/>
  <c r="M15" i="1545"/>
  <c r="K15" i="1545"/>
  <c r="AF14" i="1545"/>
  <c r="Q14" i="1545"/>
  <c r="O14" i="1545"/>
  <c r="AF13" i="1545"/>
  <c r="AB13" i="1545"/>
  <c r="Q13" i="1545"/>
  <c r="P13" i="1545"/>
  <c r="AC13" i="1545" s="1"/>
  <c r="O13" i="1545"/>
  <c r="M13" i="1545"/>
  <c r="AF12" i="1545"/>
  <c r="AB12" i="1545"/>
  <c r="Q12" i="1545"/>
  <c r="O12" i="1545"/>
  <c r="M12" i="1545"/>
  <c r="P12" i="1545"/>
  <c r="AC12" i="1545" s="1"/>
  <c r="AF11" i="1545"/>
  <c r="AB11" i="1545"/>
  <c r="Q11" i="1545"/>
  <c r="P11" i="1545"/>
  <c r="AC11" i="1545" s="1"/>
  <c r="O11" i="1545"/>
  <c r="M11" i="1545"/>
  <c r="AF10" i="1545"/>
  <c r="AB10" i="1545"/>
  <c r="Q10" i="1545"/>
  <c r="M10" i="1545"/>
  <c r="P10" i="1545"/>
  <c r="AC10" i="1545" s="1"/>
  <c r="AF9" i="1545"/>
  <c r="Q9" i="1545"/>
  <c r="O9" i="1545"/>
  <c r="AF8" i="1545"/>
  <c r="AB8" i="1545"/>
  <c r="Q8" i="1545"/>
  <c r="P8" i="1545" s="1"/>
  <c r="AC8" i="1545" s="1"/>
  <c r="O8" i="1545"/>
  <c r="M8" i="1545"/>
  <c r="AF7" i="1545"/>
  <c r="AC7" i="1545"/>
  <c r="AB7" i="1545"/>
  <c r="Q7" i="1545"/>
  <c r="P7" i="1545"/>
  <c r="O7" i="1545"/>
  <c r="M7" i="1545"/>
  <c r="K7" i="1545"/>
  <c r="AF6" i="1545"/>
  <c r="AB6" i="1545"/>
  <c r="Q6" i="1545"/>
  <c r="P6" i="1545"/>
  <c r="AC6" i="1545" s="1"/>
  <c r="O6" i="1545"/>
  <c r="M6" i="1545"/>
  <c r="K6" i="1545"/>
  <c r="AD7" i="1545" l="1"/>
  <c r="AF63" i="1545"/>
  <c r="K9" i="1545"/>
  <c r="AD11" i="1545"/>
  <c r="AD12" i="1545"/>
  <c r="AD16" i="1545"/>
  <c r="Q22" i="1545"/>
  <c r="AD8" i="1545"/>
  <c r="AD19" i="1545"/>
  <c r="AD20" i="1545"/>
  <c r="AD13" i="1545"/>
  <c r="AD6" i="1545"/>
  <c r="K22" i="1545"/>
  <c r="P9" i="1545"/>
  <c r="AC9" i="1545" s="1"/>
  <c r="P14" i="1545"/>
  <c r="AC14" i="1545" s="1"/>
  <c r="P17" i="1545"/>
  <c r="AC17" i="1545" s="1"/>
  <c r="P21" i="1545"/>
  <c r="AC21" i="1545" s="1"/>
  <c r="M18" i="1545"/>
  <c r="AB18" i="1545"/>
  <c r="M9" i="1545"/>
  <c r="AB9" i="1545"/>
  <c r="O10" i="1545"/>
  <c r="AD10" i="1545" s="1"/>
  <c r="M14" i="1545"/>
  <c r="AB14" i="1545"/>
  <c r="M17" i="1545"/>
  <c r="AB17" i="1545"/>
  <c r="O18" i="1545"/>
  <c r="M21" i="1545"/>
  <c r="AB21" i="1545"/>
  <c r="AD17" i="1545" l="1"/>
  <c r="P22" i="1545"/>
  <c r="AB22" i="1545"/>
  <c r="AD21" i="1545"/>
  <c r="AC22" i="1545"/>
  <c r="M22" i="1545"/>
  <c r="AD18" i="1545"/>
  <c r="AD14" i="1545"/>
  <c r="AD9" i="1545"/>
  <c r="AD22" i="1545" l="1"/>
  <c r="AE15" i="1545" s="1"/>
  <c r="AE18" i="1545" l="1"/>
  <c r="AE11" i="1545"/>
  <c r="AE20" i="1545"/>
  <c r="AE14" i="1545"/>
  <c r="AE7" i="1545"/>
  <c r="AE8" i="1545"/>
  <c r="AE19" i="1545"/>
  <c r="AE6" i="1545"/>
  <c r="AE17" i="1545"/>
  <c r="AE13" i="1545"/>
  <c r="AE12" i="1545"/>
  <c r="AE10" i="1545"/>
  <c r="AE9" i="1545"/>
  <c r="AE21" i="1545"/>
  <c r="AE16" i="1545"/>
  <c r="AC18" i="16" l="1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3" i="1544"/>
  <c r="K23" i="1544"/>
  <c r="L22" i="1544"/>
  <c r="K22" i="1544"/>
  <c r="L21" i="1544"/>
  <c r="O21" i="1544" s="1"/>
  <c r="L20" i="1544"/>
  <c r="P20" i="1544" s="1"/>
  <c r="AC20" i="1544" s="1"/>
  <c r="L19" i="1544"/>
  <c r="AB19" i="1544" s="1"/>
  <c r="L18" i="1544"/>
  <c r="K18" i="1544" s="1"/>
  <c r="L16" i="1544"/>
  <c r="K16" i="1544" s="1"/>
  <c r="L15" i="1544"/>
  <c r="K15" i="1544" s="1"/>
  <c r="L14" i="1544"/>
  <c r="K14" i="1544" s="1"/>
  <c r="L13" i="1544"/>
  <c r="AB13" i="1544" s="1"/>
  <c r="AF12" i="1544"/>
  <c r="Q12" i="1544"/>
  <c r="L12" i="1544"/>
  <c r="AB12" i="1544" s="1"/>
  <c r="AF13" i="1544"/>
  <c r="Q13" i="1544"/>
  <c r="P13" i="1544" s="1"/>
  <c r="AC13" i="1544" s="1"/>
  <c r="M13" i="1544"/>
  <c r="AF11" i="1544"/>
  <c r="Q11" i="1544"/>
  <c r="P11" i="1544" s="1"/>
  <c r="AC11" i="1544" s="1"/>
  <c r="L10" i="1544"/>
  <c r="K10" i="1544"/>
  <c r="L9" i="1544"/>
  <c r="AB9" i="1544" s="1"/>
  <c r="L8" i="1544"/>
  <c r="K21" i="1544"/>
  <c r="K20" i="1544"/>
  <c r="K19" i="1544"/>
  <c r="K9" i="1544"/>
  <c r="A77" i="1544"/>
  <c r="A78" i="1544" s="1"/>
  <c r="A79" i="1544" s="1"/>
  <c r="A80" i="1544" s="1"/>
  <c r="A81" i="1544" s="1"/>
  <c r="A82" i="1544" s="1"/>
  <c r="A83" i="1544" s="1"/>
  <c r="A84" i="1544" s="1"/>
  <c r="AF63" i="1544"/>
  <c r="AF62" i="1544"/>
  <c r="AF65" i="1544" s="1"/>
  <c r="AA24" i="1544"/>
  <c r="Z24" i="1544"/>
  <c r="Y24" i="1544"/>
  <c r="X24" i="1544"/>
  <c r="W24" i="1544"/>
  <c r="V24" i="1544"/>
  <c r="U24" i="1544"/>
  <c r="T24" i="1544"/>
  <c r="S24" i="1544"/>
  <c r="R24" i="1544"/>
  <c r="N24" i="1544"/>
  <c r="J24" i="1544"/>
  <c r="I24" i="1544"/>
  <c r="AF23" i="1544"/>
  <c r="Q23" i="1544"/>
  <c r="O23" i="1544"/>
  <c r="AF22" i="1544"/>
  <c r="Q22" i="1544"/>
  <c r="AB22" i="1544"/>
  <c r="AF21" i="1544"/>
  <c r="Q21" i="1544"/>
  <c r="AF20" i="1544"/>
  <c r="Q20" i="1544"/>
  <c r="AF19" i="1544"/>
  <c r="Q19" i="1544"/>
  <c r="P19" i="1544" s="1"/>
  <c r="AC19" i="1544" s="1"/>
  <c r="O19" i="1544"/>
  <c r="AF18" i="1544"/>
  <c r="Q18" i="1544"/>
  <c r="O18" i="1544"/>
  <c r="AF17" i="1544"/>
  <c r="AB17" i="1544"/>
  <c r="Q17" i="1544"/>
  <c r="P17" i="1544"/>
  <c r="AC17" i="1544" s="1"/>
  <c r="O17" i="1544"/>
  <c r="M17" i="1544"/>
  <c r="K17" i="1544"/>
  <c r="AF16" i="1544"/>
  <c r="Q16" i="1544"/>
  <c r="M16" i="1544"/>
  <c r="AF15" i="1544"/>
  <c r="Q15" i="1544"/>
  <c r="AF14" i="1544"/>
  <c r="Q14" i="1544"/>
  <c r="P14" i="1544" s="1"/>
  <c r="AC14" i="1544" s="1"/>
  <c r="AF10" i="1544"/>
  <c r="Q10" i="1544"/>
  <c r="O10" i="1544"/>
  <c r="AF9" i="1544"/>
  <c r="Q9" i="1544"/>
  <c r="P9" i="1544" s="1"/>
  <c r="AC9" i="1544" s="1"/>
  <c r="AF8" i="1544"/>
  <c r="Q8" i="1544"/>
  <c r="AF7" i="1544"/>
  <c r="AB7" i="1544"/>
  <c r="Q7" i="1544"/>
  <c r="P7" i="1544"/>
  <c r="AC7" i="1544" s="1"/>
  <c r="O7" i="1544"/>
  <c r="M7" i="1544"/>
  <c r="K7" i="1544"/>
  <c r="AF6" i="1544"/>
  <c r="AB6" i="1544"/>
  <c r="Q6" i="1544"/>
  <c r="P6" i="1544"/>
  <c r="O6" i="1544"/>
  <c r="M6" i="1544"/>
  <c r="K6" i="1544"/>
  <c r="O15" i="1544" l="1"/>
  <c r="AB16" i="1544"/>
  <c r="AB20" i="1544"/>
  <c r="AB21" i="1544"/>
  <c r="P22" i="1544"/>
  <c r="AC22" i="1544" s="1"/>
  <c r="P12" i="1544"/>
  <c r="AC12" i="1544" s="1"/>
  <c r="AB14" i="1544"/>
  <c r="AB18" i="1544"/>
  <c r="M18" i="1544"/>
  <c r="K12" i="1544"/>
  <c r="P21" i="1544"/>
  <c r="AC21" i="1544" s="1"/>
  <c r="AD21" i="1544" s="1"/>
  <c r="P18" i="1544"/>
  <c r="AC18" i="1544" s="1"/>
  <c r="AD18" i="1544" s="1"/>
  <c r="P16" i="1544"/>
  <c r="AC16" i="1544" s="1"/>
  <c r="O16" i="1544"/>
  <c r="L24" i="1544"/>
  <c r="O24" i="1544" s="1"/>
  <c r="O12" i="1544"/>
  <c r="M12" i="1544"/>
  <c r="M11" i="1544"/>
  <c r="AB11" i="1544"/>
  <c r="O13" i="1544"/>
  <c r="AD13" i="1544" s="1"/>
  <c r="O11" i="1544"/>
  <c r="K13" i="1544"/>
  <c r="AD7" i="1544"/>
  <c r="AD17" i="1544"/>
  <c r="P8" i="1544"/>
  <c r="AC8" i="1544" s="1"/>
  <c r="K11" i="1544"/>
  <c r="Q24" i="1544"/>
  <c r="O8" i="1544"/>
  <c r="K8" i="1544"/>
  <c r="AD19" i="1544"/>
  <c r="AC6" i="1544"/>
  <c r="M8" i="1544"/>
  <c r="AB8" i="1544"/>
  <c r="O9" i="1544"/>
  <c r="AD9" i="1544" s="1"/>
  <c r="P10" i="1544"/>
  <c r="AC10" i="1544" s="1"/>
  <c r="O14" i="1544"/>
  <c r="AD14" i="1544" s="1"/>
  <c r="P15" i="1544"/>
  <c r="AC15" i="1544" s="1"/>
  <c r="M19" i="1544"/>
  <c r="O20" i="1544"/>
  <c r="AD20" i="1544" s="1"/>
  <c r="M21" i="1544"/>
  <c r="O22" i="1544"/>
  <c r="AD22" i="1544" s="1"/>
  <c r="P23" i="1544"/>
  <c r="AC23" i="1544" s="1"/>
  <c r="M10" i="1544"/>
  <c r="AB10" i="1544"/>
  <c r="M15" i="1544"/>
  <c r="AB15" i="1544"/>
  <c r="M23" i="1544"/>
  <c r="AB23" i="1544"/>
  <c r="M9" i="1544"/>
  <c r="M14" i="1544"/>
  <c r="M20" i="1544"/>
  <c r="M22" i="1544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2" i="1543"/>
  <c r="L21" i="1543"/>
  <c r="K21" i="1543" s="1"/>
  <c r="AF19" i="1543"/>
  <c r="Q19" i="1543"/>
  <c r="P19" i="1543" s="1"/>
  <c r="AC19" i="1543" s="1"/>
  <c r="AB19" i="1543"/>
  <c r="K19" i="1543"/>
  <c r="L20" i="1543"/>
  <c r="O20" i="1543" s="1"/>
  <c r="K20" i="1543"/>
  <c r="L18" i="1543"/>
  <c r="K18" i="1543"/>
  <c r="L17" i="1543"/>
  <c r="L14" i="1543"/>
  <c r="K14" i="1543"/>
  <c r="L13" i="1543"/>
  <c r="K13" i="1543" s="1"/>
  <c r="L12" i="1543"/>
  <c r="K12" i="1543" s="1"/>
  <c r="AF12" i="1543"/>
  <c r="AB12" i="1543"/>
  <c r="Q12" i="1543"/>
  <c r="P12" i="1543" s="1"/>
  <c r="AC12" i="1543" s="1"/>
  <c r="O12" i="1543"/>
  <c r="M12" i="1543"/>
  <c r="L10" i="1543"/>
  <c r="O10" i="1543" s="1"/>
  <c r="L9" i="1543"/>
  <c r="L8" i="1543"/>
  <c r="K8" i="1543"/>
  <c r="K22" i="1543"/>
  <c r="K17" i="1543"/>
  <c r="K11" i="1543"/>
  <c r="K10" i="1543"/>
  <c r="K9" i="1543"/>
  <c r="A76" i="1543"/>
  <c r="A77" i="1543" s="1"/>
  <c r="A78" i="1543" s="1"/>
  <c r="A79" i="1543" s="1"/>
  <c r="A80" i="1543" s="1"/>
  <c r="A81" i="1543" s="1"/>
  <c r="A82" i="1543" s="1"/>
  <c r="A83" i="1543" s="1"/>
  <c r="AF62" i="1543"/>
  <c r="AF61" i="1543"/>
  <c r="AA23" i="1543"/>
  <c r="Z23" i="1543"/>
  <c r="Y23" i="1543"/>
  <c r="X23" i="1543"/>
  <c r="W23" i="1543"/>
  <c r="V23" i="1543"/>
  <c r="U23" i="1543"/>
  <c r="T23" i="1543"/>
  <c r="S23" i="1543"/>
  <c r="R23" i="1543"/>
  <c r="N23" i="1543"/>
  <c r="J23" i="1543"/>
  <c r="I23" i="1543"/>
  <c r="AF22" i="1543"/>
  <c r="Q22" i="1543"/>
  <c r="O22" i="1543"/>
  <c r="AF21" i="1543"/>
  <c r="Q21" i="1543"/>
  <c r="P21" i="1543"/>
  <c r="AC21" i="1543" s="1"/>
  <c r="AB21" i="1543"/>
  <c r="AF20" i="1543"/>
  <c r="Q20" i="1543"/>
  <c r="P20" i="1543"/>
  <c r="AC20" i="1543" s="1"/>
  <c r="AB20" i="1543"/>
  <c r="AF18" i="1543"/>
  <c r="AB18" i="1543"/>
  <c r="Q18" i="1543"/>
  <c r="P18" i="1543" s="1"/>
  <c r="AC18" i="1543" s="1"/>
  <c r="O18" i="1543"/>
  <c r="M18" i="1543"/>
  <c r="AF17" i="1543"/>
  <c r="Q17" i="1543"/>
  <c r="P17" i="1543" s="1"/>
  <c r="AC17" i="1543" s="1"/>
  <c r="AB17" i="1543"/>
  <c r="AF16" i="1543"/>
  <c r="AB16" i="1543"/>
  <c r="Q16" i="1543"/>
  <c r="P16" i="1543"/>
  <c r="AC16" i="1543" s="1"/>
  <c r="O16" i="1543"/>
  <c r="M16" i="1543"/>
  <c r="K16" i="1543"/>
  <c r="AF15" i="1543"/>
  <c r="AB15" i="1543"/>
  <c r="Q15" i="1543"/>
  <c r="P15" i="1543"/>
  <c r="AC15" i="1543" s="1"/>
  <c r="O15" i="1543"/>
  <c r="M15" i="1543"/>
  <c r="K15" i="1543"/>
  <c r="AF14" i="1543"/>
  <c r="AB14" i="1543"/>
  <c r="Q14" i="1543"/>
  <c r="P14" i="1543"/>
  <c r="AC14" i="1543" s="1"/>
  <c r="AD14" i="1543" s="1"/>
  <c r="O14" i="1543"/>
  <c r="M14" i="1543"/>
  <c r="AF13" i="1543"/>
  <c r="Q13" i="1543"/>
  <c r="AF11" i="1543"/>
  <c r="Q11" i="1543"/>
  <c r="P11" i="1543" s="1"/>
  <c r="AC11" i="1543" s="1"/>
  <c r="AB11" i="1543"/>
  <c r="AF10" i="1543"/>
  <c r="Q10" i="1543"/>
  <c r="AB10" i="1543"/>
  <c r="AF9" i="1543"/>
  <c r="Q9" i="1543"/>
  <c r="P9" i="1543" s="1"/>
  <c r="AC9" i="1543" s="1"/>
  <c r="O9" i="1543"/>
  <c r="AB9" i="1543"/>
  <c r="AF8" i="1543"/>
  <c r="AB8" i="1543"/>
  <c r="Q8" i="1543"/>
  <c r="P8" i="1543" s="1"/>
  <c r="AC8" i="1543" s="1"/>
  <c r="O8" i="1543"/>
  <c r="M8" i="1543"/>
  <c r="AF7" i="1543"/>
  <c r="AC7" i="1543"/>
  <c r="AB7" i="1543"/>
  <c r="Q7" i="1543"/>
  <c r="P7" i="1543"/>
  <c r="O7" i="1543"/>
  <c r="M7" i="1543"/>
  <c r="K7" i="1543"/>
  <c r="AF6" i="1543"/>
  <c r="AC6" i="1543"/>
  <c r="AB6" i="1543"/>
  <c r="Q6" i="1543"/>
  <c r="P6" i="1543"/>
  <c r="O6" i="1543"/>
  <c r="M6" i="1543"/>
  <c r="K6" i="1543"/>
  <c r="AD12" i="1544" l="1"/>
  <c r="AD16" i="1544"/>
  <c r="K24" i="1544"/>
  <c r="AD11" i="1544"/>
  <c r="AD8" i="1544"/>
  <c r="AD15" i="1544"/>
  <c r="M24" i="1544"/>
  <c r="AC24" i="1544"/>
  <c r="AD6" i="1544"/>
  <c r="AD23" i="1544"/>
  <c r="P24" i="1544"/>
  <c r="AB24" i="1544"/>
  <c r="AD10" i="1544"/>
  <c r="L23" i="1543"/>
  <c r="O23" i="1543" s="1"/>
  <c r="O13" i="1543"/>
  <c r="AF64" i="1543"/>
  <c r="P10" i="1543"/>
  <c r="AC10" i="1543" s="1"/>
  <c r="O19" i="1543"/>
  <c r="AD19" i="1543" s="1"/>
  <c r="AD16" i="1543"/>
  <c r="M19" i="1543"/>
  <c r="AD12" i="1543"/>
  <c r="AD7" i="1543"/>
  <c r="AD18" i="1543"/>
  <c r="Q23" i="1543"/>
  <c r="AD8" i="1543"/>
  <c r="AD15" i="1543"/>
  <c r="AD9" i="1543"/>
  <c r="AD20" i="1543"/>
  <c r="AD10" i="1543"/>
  <c r="AD6" i="1543"/>
  <c r="M9" i="1543"/>
  <c r="M10" i="1543"/>
  <c r="O11" i="1543"/>
  <c r="AD11" i="1543" s="1"/>
  <c r="K23" i="1543"/>
  <c r="P13" i="1543"/>
  <c r="AC13" i="1543" s="1"/>
  <c r="O17" i="1543"/>
  <c r="AD17" i="1543" s="1"/>
  <c r="M20" i="1543"/>
  <c r="O21" i="1543"/>
  <c r="AD21" i="1543" s="1"/>
  <c r="P22" i="1543"/>
  <c r="AC22" i="1543" s="1"/>
  <c r="M13" i="1543"/>
  <c r="AB13" i="1543"/>
  <c r="M22" i="1543"/>
  <c r="AB22" i="1543"/>
  <c r="M11" i="1543"/>
  <c r="M17" i="1543"/>
  <c r="M21" i="1543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2" i="1542"/>
  <c r="L21" i="1542"/>
  <c r="L20" i="1542"/>
  <c r="AB20" i="1542" s="1"/>
  <c r="K19" i="1542"/>
  <c r="L18" i="1542"/>
  <c r="AB18" i="1542" s="1"/>
  <c r="K18" i="1542"/>
  <c r="L14" i="1542"/>
  <c r="L13" i="1542"/>
  <c r="L12" i="1542"/>
  <c r="K12" i="1542" s="1"/>
  <c r="L11" i="1542"/>
  <c r="K11" i="1542" s="1"/>
  <c r="K10" i="1542"/>
  <c r="L9" i="1542"/>
  <c r="AB9" i="1542" s="1"/>
  <c r="L8" i="1542"/>
  <c r="K8" i="1542" s="1"/>
  <c r="K21" i="1542"/>
  <c r="K20" i="1542"/>
  <c r="K17" i="1542"/>
  <c r="K15" i="1542"/>
  <c r="K14" i="1542"/>
  <c r="K13" i="1542"/>
  <c r="K9" i="1542"/>
  <c r="A76" i="1542"/>
  <c r="A77" i="1542" s="1"/>
  <c r="A78" i="1542" s="1"/>
  <c r="A79" i="1542" s="1"/>
  <c r="A80" i="1542" s="1"/>
  <c r="A81" i="1542" s="1"/>
  <c r="A82" i="1542" s="1"/>
  <c r="A83" i="1542" s="1"/>
  <c r="AF62" i="1542"/>
  <c r="AF61" i="1542"/>
  <c r="AA23" i="1542"/>
  <c r="Z23" i="1542"/>
  <c r="Y23" i="1542"/>
  <c r="X23" i="1542"/>
  <c r="W23" i="1542"/>
  <c r="V23" i="1542"/>
  <c r="U23" i="1542"/>
  <c r="T23" i="1542"/>
  <c r="S23" i="1542"/>
  <c r="R23" i="1542"/>
  <c r="N23" i="1542"/>
  <c r="J23" i="1542"/>
  <c r="I23" i="1542"/>
  <c r="AF22" i="1542"/>
  <c r="AB22" i="1542"/>
  <c r="Q22" i="1542"/>
  <c r="O22" i="1542"/>
  <c r="M22" i="1542"/>
  <c r="K22" i="1542"/>
  <c r="AF21" i="1542"/>
  <c r="Q21" i="1542"/>
  <c r="P21" i="1542"/>
  <c r="AC21" i="1542" s="1"/>
  <c r="O21" i="1542"/>
  <c r="AB21" i="1542"/>
  <c r="AF20" i="1542"/>
  <c r="Q20" i="1542"/>
  <c r="O20" i="1542"/>
  <c r="M20" i="1542"/>
  <c r="AF19" i="1542"/>
  <c r="Q19" i="1542"/>
  <c r="O19" i="1542"/>
  <c r="AF18" i="1542"/>
  <c r="Q18" i="1542"/>
  <c r="P18" i="1542"/>
  <c r="AC18" i="1542" s="1"/>
  <c r="O18" i="1542"/>
  <c r="AF17" i="1542"/>
  <c r="AB17" i="1542"/>
  <c r="Q17" i="1542"/>
  <c r="P17" i="1542"/>
  <c r="AC17" i="1542" s="1"/>
  <c r="O17" i="1542"/>
  <c r="M17" i="1542"/>
  <c r="AF16" i="1542"/>
  <c r="AB16" i="1542"/>
  <c r="Q16" i="1542"/>
  <c r="P16" i="1542"/>
  <c r="AC16" i="1542" s="1"/>
  <c r="O16" i="1542"/>
  <c r="M16" i="1542"/>
  <c r="K16" i="1542"/>
  <c r="AF15" i="1542"/>
  <c r="AB15" i="1542"/>
  <c r="Q15" i="1542"/>
  <c r="P15" i="1542" s="1"/>
  <c r="AC15" i="1542" s="1"/>
  <c r="O15" i="1542"/>
  <c r="M15" i="1542"/>
  <c r="AF14" i="1542"/>
  <c r="AB14" i="1542"/>
  <c r="Q14" i="1542"/>
  <c r="O14" i="1542"/>
  <c r="M14" i="1542"/>
  <c r="AF13" i="1542"/>
  <c r="Q13" i="1542"/>
  <c r="O13" i="1542"/>
  <c r="AF12" i="1542"/>
  <c r="Q12" i="1542"/>
  <c r="AF11" i="1542"/>
  <c r="AB11" i="1542"/>
  <c r="Q11" i="1542"/>
  <c r="P11" i="1542" s="1"/>
  <c r="AC11" i="1542" s="1"/>
  <c r="O11" i="1542"/>
  <c r="M11" i="1542"/>
  <c r="AF10" i="1542"/>
  <c r="AB10" i="1542"/>
  <c r="Q10" i="1542"/>
  <c r="P10" i="1542" s="1"/>
  <c r="AC10" i="1542" s="1"/>
  <c r="O10" i="1542"/>
  <c r="M10" i="1542"/>
  <c r="AF9" i="1542"/>
  <c r="Q9" i="1542"/>
  <c r="P9" i="1542" s="1"/>
  <c r="AC9" i="1542" s="1"/>
  <c r="O9" i="1542"/>
  <c r="AF8" i="1542"/>
  <c r="Q8" i="1542"/>
  <c r="AF7" i="1542"/>
  <c r="AB7" i="1542"/>
  <c r="Q7" i="1542"/>
  <c r="P7" i="1542"/>
  <c r="O7" i="1542"/>
  <c r="M7" i="1542"/>
  <c r="K7" i="1542"/>
  <c r="AF6" i="1542"/>
  <c r="AB6" i="1542"/>
  <c r="Q6" i="1542"/>
  <c r="P6" i="1542"/>
  <c r="AC6" i="1542" s="1"/>
  <c r="O6" i="1542"/>
  <c r="M6" i="1542"/>
  <c r="K6" i="1542"/>
  <c r="AD24" i="1544" l="1"/>
  <c r="AE12" i="1544" s="1"/>
  <c r="AB23" i="1543"/>
  <c r="AC23" i="1543"/>
  <c r="M23" i="1543"/>
  <c r="AD22" i="1543"/>
  <c r="AD13" i="1543"/>
  <c r="P23" i="1543"/>
  <c r="P22" i="1542"/>
  <c r="AC22" i="1542" s="1"/>
  <c r="AD22" i="1542" s="1"/>
  <c r="P20" i="1542"/>
  <c r="AC20" i="1542" s="1"/>
  <c r="AD20" i="1542" s="1"/>
  <c r="M18" i="1542"/>
  <c r="O12" i="1542"/>
  <c r="AF64" i="1542"/>
  <c r="AB12" i="1542"/>
  <c r="M12" i="1542"/>
  <c r="P14" i="1542"/>
  <c r="AC14" i="1542" s="1"/>
  <c r="AD14" i="1542" s="1"/>
  <c r="P12" i="1542"/>
  <c r="AC12" i="1542" s="1"/>
  <c r="AD12" i="1542" s="1"/>
  <c r="AD11" i="1542"/>
  <c r="Q23" i="1542"/>
  <c r="M9" i="1542"/>
  <c r="O8" i="1542"/>
  <c r="AD16" i="1542"/>
  <c r="AD17" i="1542"/>
  <c r="AD10" i="1542"/>
  <c r="AD18" i="1542"/>
  <c r="AD15" i="1542"/>
  <c r="AD9" i="1542"/>
  <c r="AD21" i="1542"/>
  <c r="M19" i="1542"/>
  <c r="L23" i="1542"/>
  <c r="O23" i="1542" s="1"/>
  <c r="AC7" i="1542"/>
  <c r="AD7" i="1542" s="1"/>
  <c r="P8" i="1542"/>
  <c r="AC8" i="1542" s="1"/>
  <c r="P13" i="1542"/>
  <c r="AC13" i="1542" s="1"/>
  <c r="P19" i="1542"/>
  <c r="AC19" i="1542" s="1"/>
  <c r="M21" i="1542"/>
  <c r="M8" i="1542"/>
  <c r="AB8" i="1542"/>
  <c r="M13" i="1542"/>
  <c r="AB13" i="1542"/>
  <c r="AB19" i="1542"/>
  <c r="AD6" i="1542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AF17" i="1541"/>
  <c r="AB17" i="1541"/>
  <c r="Q17" i="1541"/>
  <c r="P17" i="1541" s="1"/>
  <c r="AC17" i="1541" s="1"/>
  <c r="AD17" i="1541" s="1"/>
  <c r="O17" i="1541"/>
  <c r="M17" i="1541"/>
  <c r="K17" i="1541"/>
  <c r="K12" i="1541"/>
  <c r="K11" i="1541"/>
  <c r="K23" i="1541"/>
  <c r="L22" i="1541"/>
  <c r="K22" i="1541" s="1"/>
  <c r="L21" i="1541"/>
  <c r="L20" i="1541"/>
  <c r="AB20" i="1541" s="1"/>
  <c r="K18" i="1541"/>
  <c r="K15" i="1541"/>
  <c r="L14" i="1541"/>
  <c r="L13" i="1541"/>
  <c r="K13" i="1541" s="1"/>
  <c r="K10" i="1541"/>
  <c r="L9" i="1541"/>
  <c r="K9" i="1541"/>
  <c r="AF9" i="1541"/>
  <c r="AB9" i="1541"/>
  <c r="Q9" i="1541"/>
  <c r="P9" i="1541" s="1"/>
  <c r="AC9" i="1541" s="1"/>
  <c r="O9" i="1541"/>
  <c r="M9" i="1541"/>
  <c r="L8" i="1541"/>
  <c r="K8" i="1541" s="1"/>
  <c r="K21" i="1541"/>
  <c r="K14" i="1541"/>
  <c r="A77" i="1541"/>
  <c r="A78" i="1541" s="1"/>
  <c r="A79" i="1541" s="1"/>
  <c r="A80" i="1541" s="1"/>
  <c r="A81" i="1541" s="1"/>
  <c r="A82" i="1541" s="1"/>
  <c r="A83" i="1541" s="1"/>
  <c r="A84" i="1541" s="1"/>
  <c r="AF63" i="1541"/>
  <c r="AF62" i="1541"/>
  <c r="AF65" i="1541" s="1"/>
  <c r="AA24" i="1541"/>
  <c r="Z24" i="1541"/>
  <c r="Y24" i="1541"/>
  <c r="X24" i="1541"/>
  <c r="W24" i="1541"/>
  <c r="V24" i="1541"/>
  <c r="U24" i="1541"/>
  <c r="T24" i="1541"/>
  <c r="S24" i="1541"/>
  <c r="R24" i="1541"/>
  <c r="N24" i="1541"/>
  <c r="J24" i="1541"/>
  <c r="I24" i="1541"/>
  <c r="AF23" i="1541"/>
  <c r="AB23" i="1541"/>
  <c r="Q23" i="1541"/>
  <c r="P23" i="1541"/>
  <c r="AC23" i="1541" s="1"/>
  <c r="AD23" i="1541" s="1"/>
  <c r="O23" i="1541"/>
  <c r="M23" i="1541"/>
  <c r="AF22" i="1541"/>
  <c r="Q22" i="1541"/>
  <c r="AF21" i="1541"/>
  <c r="Q21" i="1541"/>
  <c r="O21" i="1541"/>
  <c r="P21" i="1541"/>
  <c r="AC21" i="1541" s="1"/>
  <c r="AF20" i="1541"/>
  <c r="Q20" i="1541"/>
  <c r="P20" i="1541" s="1"/>
  <c r="AC20" i="1541" s="1"/>
  <c r="M20" i="1541"/>
  <c r="AF19" i="1541"/>
  <c r="AB19" i="1541"/>
  <c r="Q19" i="1541"/>
  <c r="P19" i="1541"/>
  <c r="AC19" i="1541" s="1"/>
  <c r="O19" i="1541"/>
  <c r="M19" i="1541"/>
  <c r="K19" i="1541"/>
  <c r="AF18" i="1541"/>
  <c r="AB18" i="1541"/>
  <c r="Q18" i="1541"/>
  <c r="P18" i="1541" s="1"/>
  <c r="AC18" i="1541" s="1"/>
  <c r="O18" i="1541"/>
  <c r="M18" i="1541"/>
  <c r="AF16" i="1541"/>
  <c r="AB16" i="1541"/>
  <c r="Q16" i="1541"/>
  <c r="P16" i="1541"/>
  <c r="AC16" i="1541" s="1"/>
  <c r="O16" i="1541"/>
  <c r="M16" i="1541"/>
  <c r="K16" i="1541"/>
  <c r="AF15" i="1541"/>
  <c r="AB15" i="1541"/>
  <c r="Q15" i="1541"/>
  <c r="P15" i="1541" s="1"/>
  <c r="AC15" i="1541" s="1"/>
  <c r="O15" i="1541"/>
  <c r="M15" i="1541"/>
  <c r="AF14" i="1541"/>
  <c r="Q14" i="1541"/>
  <c r="AB14" i="1541"/>
  <c r="AF13" i="1541"/>
  <c r="Q13" i="1541"/>
  <c r="P13" i="1541" s="1"/>
  <c r="AC13" i="1541" s="1"/>
  <c r="AF12" i="1541"/>
  <c r="Q12" i="1541"/>
  <c r="AB12" i="1541"/>
  <c r="AF11" i="1541"/>
  <c r="AB11" i="1541"/>
  <c r="Q11" i="1541"/>
  <c r="P11" i="1541" s="1"/>
  <c r="AC11" i="1541" s="1"/>
  <c r="O11" i="1541"/>
  <c r="M11" i="1541"/>
  <c r="AF10" i="1541"/>
  <c r="AB10" i="1541"/>
  <c r="Q10" i="1541"/>
  <c r="M10" i="1541"/>
  <c r="O10" i="1541"/>
  <c r="AF8" i="1541"/>
  <c r="Q8" i="1541"/>
  <c r="O8" i="1541"/>
  <c r="M8" i="1541"/>
  <c r="AF7" i="1541"/>
  <c r="AB7" i="1541"/>
  <c r="Q7" i="1541"/>
  <c r="P7" i="1541"/>
  <c r="AC7" i="1541" s="1"/>
  <c r="O7" i="1541"/>
  <c r="M7" i="1541"/>
  <c r="K7" i="1541"/>
  <c r="AF6" i="1541"/>
  <c r="AB6" i="1541"/>
  <c r="Q6" i="1541"/>
  <c r="P6" i="1541"/>
  <c r="O6" i="1541"/>
  <c r="M6" i="1541"/>
  <c r="K6" i="1541"/>
  <c r="AE11" i="1544" l="1"/>
  <c r="AE13" i="1544"/>
  <c r="AE21" i="1544"/>
  <c r="AE19" i="1544"/>
  <c r="AE8" i="1544"/>
  <c r="AE6" i="1544"/>
  <c r="AE23" i="1544"/>
  <c r="AE10" i="1544"/>
  <c r="AE22" i="1544"/>
  <c r="AE20" i="1544"/>
  <c r="AE17" i="1544"/>
  <c r="AE14" i="1544"/>
  <c r="AE9" i="1544"/>
  <c r="AE18" i="1544"/>
  <c r="AE16" i="1544"/>
  <c r="AE7" i="1544"/>
  <c r="AE15" i="1544"/>
  <c r="AD23" i="1543"/>
  <c r="AE14" i="1543" s="1"/>
  <c r="AD13" i="1542"/>
  <c r="M23" i="1542"/>
  <c r="AD8" i="1542"/>
  <c r="AB23" i="1542"/>
  <c r="AD19" i="1542"/>
  <c r="AC23" i="1542"/>
  <c r="K23" i="1542"/>
  <c r="P23" i="1542"/>
  <c r="AD9" i="1541"/>
  <c r="K20" i="1541"/>
  <c r="K24" i="1541" s="1"/>
  <c r="AD18" i="1541"/>
  <c r="AD7" i="1541"/>
  <c r="Q24" i="1541"/>
  <c r="O22" i="1541"/>
  <c r="P22" i="1541"/>
  <c r="AC22" i="1541" s="1"/>
  <c r="O20" i="1541"/>
  <c r="AD20" i="1541" s="1"/>
  <c r="M13" i="1541"/>
  <c r="AB13" i="1541"/>
  <c r="AD13" i="1541" s="1"/>
  <c r="O13" i="1541"/>
  <c r="P8" i="1541"/>
  <c r="AC8" i="1541" s="1"/>
  <c r="AB8" i="1541"/>
  <c r="AD15" i="1541"/>
  <c r="AD19" i="1541"/>
  <c r="AD11" i="1541"/>
  <c r="AD16" i="1541"/>
  <c r="P10" i="1541"/>
  <c r="AC10" i="1541" s="1"/>
  <c r="AD10" i="1541" s="1"/>
  <c r="O12" i="1541"/>
  <c r="O14" i="1541"/>
  <c r="M22" i="1541"/>
  <c r="AB22" i="1541"/>
  <c r="AC6" i="1541"/>
  <c r="P12" i="1541"/>
  <c r="AC12" i="1541" s="1"/>
  <c r="AD12" i="1541" s="1"/>
  <c r="P14" i="1541"/>
  <c r="AC14" i="1541" s="1"/>
  <c r="AD14" i="1541" s="1"/>
  <c r="M21" i="1541"/>
  <c r="AB21" i="1541"/>
  <c r="L24" i="1541"/>
  <c r="O24" i="1541" s="1"/>
  <c r="M12" i="1541"/>
  <c r="M14" i="1541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2" i="1540"/>
  <c r="L21" i="1540"/>
  <c r="L20" i="1540"/>
  <c r="L15" i="1540"/>
  <c r="L14" i="1540"/>
  <c r="AF13" i="1540"/>
  <c r="Q13" i="1540"/>
  <c r="AB13" i="1540"/>
  <c r="L12" i="1540"/>
  <c r="K12" i="1540" s="1"/>
  <c r="AF12" i="1540"/>
  <c r="Q12" i="1540"/>
  <c r="L10" i="1540"/>
  <c r="K10" i="1540" s="1"/>
  <c r="K9" i="1540"/>
  <c r="L8" i="1540"/>
  <c r="AE15" i="1543" l="1"/>
  <c r="AE11" i="1543"/>
  <c r="AE9" i="1543"/>
  <c r="AE18" i="1543"/>
  <c r="AE22" i="1543"/>
  <c r="AE13" i="1543"/>
  <c r="AE20" i="1543"/>
  <c r="AE16" i="1543"/>
  <c r="AE6" i="1543"/>
  <c r="AE7" i="1543"/>
  <c r="AE17" i="1543"/>
  <c r="AE10" i="1543"/>
  <c r="AE8" i="1543"/>
  <c r="AE21" i="1543"/>
  <c r="AE12" i="1543"/>
  <c r="AE19" i="1543"/>
  <c r="AD23" i="1542"/>
  <c r="AE21" i="1542" s="1"/>
  <c r="AD22" i="1541"/>
  <c r="AD8" i="1541"/>
  <c r="M24" i="1541"/>
  <c r="AB24" i="1541"/>
  <c r="AD21" i="1541"/>
  <c r="AC24" i="1541"/>
  <c r="AD6" i="1541"/>
  <c r="P24" i="1541"/>
  <c r="O13" i="1540"/>
  <c r="M13" i="1540"/>
  <c r="K13" i="1540"/>
  <c r="P13" i="1540"/>
  <c r="AC13" i="1540" s="1"/>
  <c r="P12" i="1540"/>
  <c r="AC12" i="1540" s="1"/>
  <c r="AB12" i="1540"/>
  <c r="M12" i="1540"/>
  <c r="O12" i="1540"/>
  <c r="K22" i="1540"/>
  <c r="K21" i="1540"/>
  <c r="K20" i="1540"/>
  <c r="K18" i="1540"/>
  <c r="K16" i="1540"/>
  <c r="K15" i="1540"/>
  <c r="K14" i="1540"/>
  <c r="K11" i="1540"/>
  <c r="K8" i="1540"/>
  <c r="A77" i="1540"/>
  <c r="A78" i="1540" s="1"/>
  <c r="A79" i="1540" s="1"/>
  <c r="A80" i="1540" s="1"/>
  <c r="A81" i="1540" s="1"/>
  <c r="A82" i="1540" s="1"/>
  <c r="A83" i="1540" s="1"/>
  <c r="A84" i="1540" s="1"/>
  <c r="AF63" i="1540"/>
  <c r="AF65" i="1540" s="1"/>
  <c r="AF62" i="1540"/>
  <c r="AA24" i="1540"/>
  <c r="Z24" i="1540"/>
  <c r="Y24" i="1540"/>
  <c r="X24" i="1540"/>
  <c r="W24" i="1540"/>
  <c r="V24" i="1540"/>
  <c r="U24" i="1540"/>
  <c r="T24" i="1540"/>
  <c r="S24" i="1540"/>
  <c r="R24" i="1540"/>
  <c r="N24" i="1540"/>
  <c r="J24" i="1540"/>
  <c r="I24" i="1540"/>
  <c r="AF23" i="1540"/>
  <c r="AB23" i="1540"/>
  <c r="Q23" i="1540"/>
  <c r="P23" i="1540"/>
  <c r="AC23" i="1540" s="1"/>
  <c r="O23" i="1540"/>
  <c r="M23" i="1540"/>
  <c r="K23" i="1540"/>
  <c r="AF22" i="1540"/>
  <c r="AB22" i="1540"/>
  <c r="Q22" i="1540"/>
  <c r="M22" i="1540"/>
  <c r="P22" i="1540"/>
  <c r="AC22" i="1540" s="1"/>
  <c r="AF21" i="1540"/>
  <c r="Q21" i="1540"/>
  <c r="P21" i="1540"/>
  <c r="AC21" i="1540" s="1"/>
  <c r="AF20" i="1540"/>
  <c r="Q20" i="1540"/>
  <c r="P20" i="1540" s="1"/>
  <c r="AC20" i="1540" s="1"/>
  <c r="O20" i="1540"/>
  <c r="AB20" i="1540"/>
  <c r="AF19" i="1540"/>
  <c r="AB19" i="1540"/>
  <c r="Q19" i="1540"/>
  <c r="P19" i="1540"/>
  <c r="AC19" i="1540" s="1"/>
  <c r="O19" i="1540"/>
  <c r="M19" i="1540"/>
  <c r="K19" i="1540"/>
  <c r="AF18" i="1540"/>
  <c r="AB18" i="1540"/>
  <c r="Q18" i="1540"/>
  <c r="P18" i="1540"/>
  <c r="AC18" i="1540" s="1"/>
  <c r="O18" i="1540"/>
  <c r="M18" i="1540"/>
  <c r="AF17" i="1540"/>
  <c r="AB17" i="1540"/>
  <c r="Q17" i="1540"/>
  <c r="P17" i="1540"/>
  <c r="AC17" i="1540" s="1"/>
  <c r="O17" i="1540"/>
  <c r="M17" i="1540"/>
  <c r="K17" i="1540"/>
  <c r="AF16" i="1540"/>
  <c r="Q16" i="1540"/>
  <c r="P16" i="1540"/>
  <c r="AC16" i="1540" s="1"/>
  <c r="AF15" i="1540"/>
  <c r="AB15" i="1540"/>
  <c r="Q15" i="1540"/>
  <c r="P15" i="1540" s="1"/>
  <c r="AC15" i="1540" s="1"/>
  <c r="O15" i="1540"/>
  <c r="M15" i="1540"/>
  <c r="AF14" i="1540"/>
  <c r="AB14" i="1540"/>
  <c r="Q14" i="1540"/>
  <c r="O14" i="1540"/>
  <c r="M14" i="1540"/>
  <c r="P14" i="1540"/>
  <c r="AC14" i="1540" s="1"/>
  <c r="AF11" i="1540"/>
  <c r="AB11" i="1540"/>
  <c r="Q11" i="1540"/>
  <c r="P11" i="1540" s="1"/>
  <c r="AC11" i="1540" s="1"/>
  <c r="M11" i="1540"/>
  <c r="AF10" i="1540"/>
  <c r="AB10" i="1540"/>
  <c r="Q10" i="1540"/>
  <c r="P10" i="1540" s="1"/>
  <c r="AC10" i="1540" s="1"/>
  <c r="O10" i="1540"/>
  <c r="M10" i="1540"/>
  <c r="AF9" i="1540"/>
  <c r="AB9" i="1540"/>
  <c r="Q9" i="1540"/>
  <c r="P9" i="1540" s="1"/>
  <c r="AC9" i="1540" s="1"/>
  <c r="O9" i="1540"/>
  <c r="M9" i="1540"/>
  <c r="AF8" i="1540"/>
  <c r="Q8" i="1540"/>
  <c r="P8" i="1540" s="1"/>
  <c r="AC8" i="1540" s="1"/>
  <c r="AF7" i="1540"/>
  <c r="AB7" i="1540"/>
  <c r="Q7" i="1540"/>
  <c r="P7" i="1540"/>
  <c r="AC7" i="1540" s="1"/>
  <c r="O7" i="1540"/>
  <c r="M7" i="1540"/>
  <c r="K7" i="1540"/>
  <c r="AF6" i="1540"/>
  <c r="AB6" i="1540"/>
  <c r="Q6" i="1540"/>
  <c r="P6" i="1540"/>
  <c r="O6" i="1540"/>
  <c r="M6" i="1540"/>
  <c r="K6" i="1540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2" i="1539"/>
  <c r="AB22" i="1539" s="1"/>
  <c r="L21" i="1539"/>
  <c r="L20" i="1539"/>
  <c r="K20" i="1539" s="1"/>
  <c r="AF17" i="1539"/>
  <c r="AB17" i="1539"/>
  <c r="Q17" i="1539"/>
  <c r="P17" i="1539" s="1"/>
  <c r="AC17" i="1539" s="1"/>
  <c r="AD17" i="1539" s="1"/>
  <c r="O17" i="1539"/>
  <c r="M17" i="1539"/>
  <c r="K17" i="1539"/>
  <c r="K18" i="1539"/>
  <c r="K15" i="1539"/>
  <c r="L14" i="1539"/>
  <c r="K14" i="1539"/>
  <c r="L13" i="1539"/>
  <c r="K13" i="1539"/>
  <c r="L12" i="1539"/>
  <c r="L11" i="1539"/>
  <c r="K10" i="1539"/>
  <c r="AF10" i="1539"/>
  <c r="AB10" i="1539"/>
  <c r="Q10" i="1539"/>
  <c r="P10" i="1539" s="1"/>
  <c r="AC10" i="1539" s="1"/>
  <c r="O10" i="1539"/>
  <c r="M10" i="1539"/>
  <c r="L8" i="1539"/>
  <c r="O8" i="1539" s="1"/>
  <c r="K22" i="1539"/>
  <c r="K21" i="1539"/>
  <c r="K12" i="1539"/>
  <c r="K11" i="1539"/>
  <c r="K9" i="1539"/>
  <c r="K8" i="1539"/>
  <c r="A78" i="1539"/>
  <c r="A79" i="1539" s="1"/>
  <c r="A80" i="1539" s="1"/>
  <c r="A81" i="1539" s="1"/>
  <c r="A82" i="1539" s="1"/>
  <c r="A83" i="1539" s="1"/>
  <c r="A84" i="1539" s="1"/>
  <c r="A77" i="1539"/>
  <c r="AF63" i="1539"/>
  <c r="AF62" i="1539"/>
  <c r="AF65" i="1539" s="1"/>
  <c r="AA24" i="1539"/>
  <c r="Z24" i="1539"/>
  <c r="Y24" i="1539"/>
  <c r="X24" i="1539"/>
  <c r="W24" i="1539"/>
  <c r="V24" i="1539"/>
  <c r="U24" i="1539"/>
  <c r="T24" i="1539"/>
  <c r="S24" i="1539"/>
  <c r="R24" i="1539"/>
  <c r="N24" i="1539"/>
  <c r="J24" i="1539"/>
  <c r="I24" i="1539"/>
  <c r="AF23" i="1539"/>
  <c r="AB23" i="1539"/>
  <c r="Q23" i="1539"/>
  <c r="P23" i="1539"/>
  <c r="AC23" i="1539" s="1"/>
  <c r="O23" i="1539"/>
  <c r="M23" i="1539"/>
  <c r="K23" i="1539"/>
  <c r="AF22" i="1539"/>
  <c r="Q22" i="1539"/>
  <c r="P22" i="1539" s="1"/>
  <c r="AC22" i="1539" s="1"/>
  <c r="O22" i="1539"/>
  <c r="AF21" i="1539"/>
  <c r="AB21" i="1539"/>
  <c r="Q21" i="1539"/>
  <c r="P21" i="1539" s="1"/>
  <c r="AC21" i="1539" s="1"/>
  <c r="O21" i="1539"/>
  <c r="M21" i="1539"/>
  <c r="AF20" i="1539"/>
  <c r="AB20" i="1539"/>
  <c r="Q20" i="1539"/>
  <c r="O20" i="1539"/>
  <c r="M20" i="1539"/>
  <c r="AF19" i="1539"/>
  <c r="AB19" i="1539"/>
  <c r="Q19" i="1539"/>
  <c r="P19" i="1539"/>
  <c r="AC19" i="1539" s="1"/>
  <c r="O19" i="1539"/>
  <c r="M19" i="1539"/>
  <c r="K19" i="1539"/>
  <c r="AF18" i="1539"/>
  <c r="AB18" i="1539"/>
  <c r="Q18" i="1539"/>
  <c r="P18" i="1539" s="1"/>
  <c r="AC18" i="1539" s="1"/>
  <c r="O18" i="1539"/>
  <c r="M18" i="1539"/>
  <c r="AF16" i="1539"/>
  <c r="AB16" i="1539"/>
  <c r="Q16" i="1539"/>
  <c r="P16" i="1539"/>
  <c r="AC16" i="1539" s="1"/>
  <c r="O16" i="1539"/>
  <c r="M16" i="1539"/>
  <c r="K16" i="1539"/>
  <c r="AF15" i="1539"/>
  <c r="Q15" i="1539"/>
  <c r="P15" i="1539" s="1"/>
  <c r="AC15" i="1539" s="1"/>
  <c r="O15" i="1539"/>
  <c r="AB15" i="1539"/>
  <c r="AF14" i="1539"/>
  <c r="AB14" i="1539"/>
  <c r="Q14" i="1539"/>
  <c r="O14" i="1539"/>
  <c r="M14" i="1539"/>
  <c r="AF13" i="1539"/>
  <c r="AB13" i="1539"/>
  <c r="Q13" i="1539"/>
  <c r="P13" i="1539" s="1"/>
  <c r="AC13" i="1539" s="1"/>
  <c r="O13" i="1539"/>
  <c r="M13" i="1539"/>
  <c r="AF12" i="1539"/>
  <c r="AB12" i="1539"/>
  <c r="Q12" i="1539"/>
  <c r="P12" i="1539" s="1"/>
  <c r="AC12" i="1539" s="1"/>
  <c r="O12" i="1539"/>
  <c r="M12" i="1539"/>
  <c r="AF11" i="1539"/>
  <c r="Q11" i="1539"/>
  <c r="P11" i="1539" s="1"/>
  <c r="AC11" i="1539" s="1"/>
  <c r="AB11" i="1539"/>
  <c r="AF9" i="1539"/>
  <c r="AB9" i="1539"/>
  <c r="Q9" i="1539"/>
  <c r="P9" i="1539" s="1"/>
  <c r="AC9" i="1539" s="1"/>
  <c r="O9" i="1539"/>
  <c r="M9" i="1539"/>
  <c r="AF8" i="1539"/>
  <c r="AB8" i="1539"/>
  <c r="Q8" i="1539"/>
  <c r="P8" i="1539" s="1"/>
  <c r="AC8" i="1539" s="1"/>
  <c r="M8" i="1539"/>
  <c r="AF7" i="1539"/>
  <c r="AC7" i="1539"/>
  <c r="AB7" i="1539"/>
  <c r="Q7" i="1539"/>
  <c r="P7" i="1539"/>
  <c r="O7" i="1539"/>
  <c r="M7" i="1539"/>
  <c r="K7" i="1539"/>
  <c r="AF6" i="1539"/>
  <c r="AB6" i="1539"/>
  <c r="Q6" i="1539"/>
  <c r="P6" i="1539"/>
  <c r="AC6" i="1539" s="1"/>
  <c r="O6" i="1539"/>
  <c r="M6" i="1539"/>
  <c r="K6" i="1539"/>
  <c r="AE9" i="1542" l="1"/>
  <c r="AE14" i="1542"/>
  <c r="AE19" i="1542"/>
  <c r="AE8" i="1542"/>
  <c r="AE18" i="1542"/>
  <c r="AE12" i="1542"/>
  <c r="AE6" i="1542"/>
  <c r="AE16" i="1542"/>
  <c r="AE13" i="1542"/>
  <c r="AE15" i="1542"/>
  <c r="AE7" i="1542"/>
  <c r="AE17" i="1542"/>
  <c r="AE22" i="1542"/>
  <c r="AE11" i="1542"/>
  <c r="AE20" i="1542"/>
  <c r="AE10" i="1542"/>
  <c r="AD24" i="1541"/>
  <c r="AE17" i="1541" s="1"/>
  <c r="AD19" i="1540"/>
  <c r="AD23" i="1540"/>
  <c r="AD13" i="1540"/>
  <c r="AD12" i="1540"/>
  <c r="AD7" i="1540"/>
  <c r="Q24" i="1540"/>
  <c r="AD9" i="1540"/>
  <c r="AD17" i="1540"/>
  <c r="AD14" i="1540"/>
  <c r="AD18" i="1540"/>
  <c r="AD20" i="1540"/>
  <c r="AD10" i="1540"/>
  <c r="AD15" i="1540"/>
  <c r="P24" i="1540"/>
  <c r="AC6" i="1540"/>
  <c r="M8" i="1540"/>
  <c r="AB8" i="1540"/>
  <c r="O11" i="1540"/>
  <c r="AD11" i="1540" s="1"/>
  <c r="M16" i="1540"/>
  <c r="AB16" i="1540"/>
  <c r="M21" i="1540"/>
  <c r="AB21" i="1540"/>
  <c r="O22" i="1540"/>
  <c r="AD22" i="1540" s="1"/>
  <c r="O8" i="1540"/>
  <c r="O16" i="1540"/>
  <c r="M20" i="1540"/>
  <c r="O21" i="1540"/>
  <c r="L24" i="1540"/>
  <c r="O24" i="1540" s="1"/>
  <c r="K24" i="1540"/>
  <c r="M22" i="1539"/>
  <c r="P20" i="1539"/>
  <c r="AC20" i="1539" s="1"/>
  <c r="AD20" i="1539" s="1"/>
  <c r="AD22" i="1539"/>
  <c r="P14" i="1539"/>
  <c r="AC14" i="1539" s="1"/>
  <c r="Q24" i="1539"/>
  <c r="AD12" i="1539"/>
  <c r="AD10" i="1539"/>
  <c r="AD7" i="1539"/>
  <c r="AD21" i="1539"/>
  <c r="AD23" i="1539"/>
  <c r="AB24" i="1539"/>
  <c r="AD8" i="1539"/>
  <c r="AD13" i="1539"/>
  <c r="AD18" i="1539"/>
  <c r="AD16" i="1539"/>
  <c r="AD9" i="1539"/>
  <c r="AD19" i="1539"/>
  <c r="K24" i="1539"/>
  <c r="AD15" i="1539"/>
  <c r="AD6" i="1539"/>
  <c r="L24" i="1539"/>
  <c r="O24" i="1539" s="1"/>
  <c r="O11" i="1539"/>
  <c r="AD11" i="1539" s="1"/>
  <c r="M15" i="1539"/>
  <c r="M11" i="1539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K19" i="1538"/>
  <c r="L14" i="1538"/>
  <c r="AB14" i="1538" s="1"/>
  <c r="K14" i="1538"/>
  <c r="K13" i="1538"/>
  <c r="L10" i="1538"/>
  <c r="K10" i="1538" s="1"/>
  <c r="K20" i="1538"/>
  <c r="K18" i="1538"/>
  <c r="K12" i="1538"/>
  <c r="K11" i="1538"/>
  <c r="K9" i="1538"/>
  <c r="K8" i="1538"/>
  <c r="A75" i="1538"/>
  <c r="A76" i="1538" s="1"/>
  <c r="A77" i="1538" s="1"/>
  <c r="A78" i="1538" s="1"/>
  <c r="A79" i="1538" s="1"/>
  <c r="A80" i="1538" s="1"/>
  <c r="A81" i="1538" s="1"/>
  <c r="A82" i="1538" s="1"/>
  <c r="AF61" i="1538"/>
  <c r="AF60" i="1538"/>
  <c r="AA22" i="1538"/>
  <c r="Z22" i="1538"/>
  <c r="Y22" i="1538"/>
  <c r="X22" i="1538"/>
  <c r="W22" i="1538"/>
  <c r="V22" i="1538"/>
  <c r="U22" i="1538"/>
  <c r="T22" i="1538"/>
  <c r="S22" i="1538"/>
  <c r="R22" i="1538"/>
  <c r="N22" i="1538"/>
  <c r="J22" i="1538"/>
  <c r="I22" i="1538"/>
  <c r="AF21" i="1538"/>
  <c r="AB21" i="1538"/>
  <c r="Q21" i="1538"/>
  <c r="P21" i="1538"/>
  <c r="AC21" i="1538" s="1"/>
  <c r="O21" i="1538"/>
  <c r="M21" i="1538"/>
  <c r="K21" i="1538"/>
  <c r="AF20" i="1538"/>
  <c r="AB20" i="1538"/>
  <c r="Q20" i="1538"/>
  <c r="P20" i="1538" s="1"/>
  <c r="AC20" i="1538" s="1"/>
  <c r="M20" i="1538"/>
  <c r="O20" i="1538"/>
  <c r="AF19" i="1538"/>
  <c r="Q19" i="1538"/>
  <c r="AB19" i="1538"/>
  <c r="AF18" i="1538"/>
  <c r="AB18" i="1538"/>
  <c r="Q18" i="1538"/>
  <c r="P18" i="1538"/>
  <c r="AC18" i="1538" s="1"/>
  <c r="M18" i="1538"/>
  <c r="O18" i="1538"/>
  <c r="AF17" i="1538"/>
  <c r="AB17" i="1538"/>
  <c r="Q17" i="1538"/>
  <c r="P17" i="1538"/>
  <c r="AC17" i="1538" s="1"/>
  <c r="O17" i="1538"/>
  <c r="M17" i="1538"/>
  <c r="K17" i="1538"/>
  <c r="AF16" i="1538"/>
  <c r="AB16" i="1538"/>
  <c r="Q16" i="1538"/>
  <c r="P16" i="1538"/>
  <c r="AC16" i="1538" s="1"/>
  <c r="O16" i="1538"/>
  <c r="M16" i="1538"/>
  <c r="K16" i="1538"/>
  <c r="AF15" i="1538"/>
  <c r="AB15" i="1538"/>
  <c r="Q15" i="1538"/>
  <c r="P15" i="1538"/>
  <c r="AC15" i="1538" s="1"/>
  <c r="O15" i="1538"/>
  <c r="M15" i="1538"/>
  <c r="K15" i="1538"/>
  <c r="AF14" i="1538"/>
  <c r="Q14" i="1538"/>
  <c r="P14" i="1538" s="1"/>
  <c r="AC14" i="1538" s="1"/>
  <c r="O14" i="1538"/>
  <c r="M14" i="1538"/>
  <c r="AF13" i="1538"/>
  <c r="AB13" i="1538"/>
  <c r="Q13" i="1538"/>
  <c r="P13" i="1538" s="1"/>
  <c r="AC13" i="1538" s="1"/>
  <c r="O13" i="1538"/>
  <c r="M13" i="1538"/>
  <c r="AF12" i="1538"/>
  <c r="Q12" i="1538"/>
  <c r="P12" i="1538" s="1"/>
  <c r="AC12" i="1538" s="1"/>
  <c r="O12" i="1538"/>
  <c r="AF11" i="1538"/>
  <c r="AB11" i="1538"/>
  <c r="Q11" i="1538"/>
  <c r="P11" i="1538" s="1"/>
  <c r="AC11" i="1538" s="1"/>
  <c r="O11" i="1538"/>
  <c r="M11" i="1538"/>
  <c r="AF10" i="1538"/>
  <c r="Q10" i="1538"/>
  <c r="AB10" i="1538"/>
  <c r="AF9" i="1538"/>
  <c r="AB9" i="1538"/>
  <c r="Q9" i="1538"/>
  <c r="P9" i="1538" s="1"/>
  <c r="AC9" i="1538" s="1"/>
  <c r="M9" i="1538"/>
  <c r="O9" i="1538"/>
  <c r="AF8" i="1538"/>
  <c r="Q8" i="1538"/>
  <c r="P8" i="1538" s="1"/>
  <c r="AC8" i="1538" s="1"/>
  <c r="O8" i="1538"/>
  <c r="AF7" i="1538"/>
  <c r="AB7" i="1538"/>
  <c r="Q7" i="1538"/>
  <c r="P7" i="1538"/>
  <c r="AC7" i="1538" s="1"/>
  <c r="O7" i="1538"/>
  <c r="M7" i="1538"/>
  <c r="K7" i="1538"/>
  <c r="AF6" i="1538"/>
  <c r="AB6" i="1538"/>
  <c r="Q6" i="1538"/>
  <c r="P6" i="1538"/>
  <c r="AC6" i="1538" s="1"/>
  <c r="O6" i="1538"/>
  <c r="M6" i="1538"/>
  <c r="K6" i="1538"/>
  <c r="AE22" i="1541" l="1"/>
  <c r="AE9" i="1541"/>
  <c r="AE19" i="1541"/>
  <c r="AE18" i="1541"/>
  <c r="AE7" i="1541"/>
  <c r="AE6" i="1541"/>
  <c r="AE8" i="1541"/>
  <c r="AE21" i="1541"/>
  <c r="AE10" i="1541"/>
  <c r="AE11" i="1541"/>
  <c r="AE12" i="1541"/>
  <c r="AE20" i="1541"/>
  <c r="AE13" i="1541"/>
  <c r="AE16" i="1541"/>
  <c r="AE15" i="1541"/>
  <c r="AE14" i="1541"/>
  <c r="AE23" i="1541"/>
  <c r="AD21" i="1540"/>
  <c r="M24" i="1540"/>
  <c r="AB24" i="1540"/>
  <c r="AD16" i="1540"/>
  <c r="AD8" i="1540"/>
  <c r="AC24" i="1540"/>
  <c r="AD6" i="1540"/>
  <c r="AC24" i="1539"/>
  <c r="AD14" i="1539"/>
  <c r="AD24" i="1539" s="1"/>
  <c r="P24" i="1539"/>
  <c r="M24" i="1539"/>
  <c r="AF63" i="1538"/>
  <c r="AD7" i="1538"/>
  <c r="AD21" i="1538"/>
  <c r="AD14" i="1538"/>
  <c r="Q22" i="1538"/>
  <c r="AD13" i="1538"/>
  <c r="AD11" i="1538"/>
  <c r="AD15" i="1538"/>
  <c r="AD16" i="1538"/>
  <c r="AD17" i="1538"/>
  <c r="AD6" i="1538"/>
  <c r="AD9" i="1538"/>
  <c r="AD18" i="1538"/>
  <c r="AD20" i="1538"/>
  <c r="O19" i="1538"/>
  <c r="O10" i="1538"/>
  <c r="M8" i="1538"/>
  <c r="AB8" i="1538"/>
  <c r="P10" i="1538"/>
  <c r="AC10" i="1538" s="1"/>
  <c r="M12" i="1538"/>
  <c r="AB12" i="1538"/>
  <c r="AD12" i="1538" s="1"/>
  <c r="P19" i="1538"/>
  <c r="AC19" i="1538" s="1"/>
  <c r="L22" i="1538"/>
  <c r="O22" i="1538" s="1"/>
  <c r="M10" i="1538"/>
  <c r="K22" i="1538"/>
  <c r="M19" i="1538"/>
  <c r="AD24" i="1540" l="1"/>
  <c r="AE13" i="1540" s="1"/>
  <c r="AE10" i="1539"/>
  <c r="AE17" i="1539"/>
  <c r="AE22" i="1539"/>
  <c r="AE20" i="1539"/>
  <c r="AE18" i="1539"/>
  <c r="AE15" i="1539"/>
  <c r="AE9" i="1539"/>
  <c r="AE7" i="1539"/>
  <c r="AE16" i="1539"/>
  <c r="AE8" i="1539"/>
  <c r="AE6" i="1539"/>
  <c r="AE14" i="1539"/>
  <c r="AE12" i="1539"/>
  <c r="AE13" i="1539"/>
  <c r="AE11" i="1539"/>
  <c r="AE23" i="1539"/>
  <c r="AE21" i="1539"/>
  <c r="AE19" i="1539"/>
  <c r="AD19" i="1538"/>
  <c r="M22" i="1538"/>
  <c r="AB22" i="1538"/>
  <c r="AD10" i="1538"/>
  <c r="P22" i="1538"/>
  <c r="AC22" i="1538"/>
  <c r="AD8" i="1538"/>
  <c r="AE6" i="1540" l="1"/>
  <c r="AE12" i="1540"/>
  <c r="AE8" i="1540"/>
  <c r="AE21" i="1540"/>
  <c r="AE7" i="1540"/>
  <c r="AE10" i="1540"/>
  <c r="AE14" i="1540"/>
  <c r="AE11" i="1540"/>
  <c r="AE20" i="1540"/>
  <c r="AE19" i="1540"/>
  <c r="AE9" i="1540"/>
  <c r="AE15" i="1540"/>
  <c r="AE16" i="1540"/>
  <c r="AE18" i="1540"/>
  <c r="AE22" i="1540"/>
  <c r="AE23" i="1540"/>
  <c r="AE17" i="1540"/>
  <c r="AD22" i="1538"/>
  <c r="AE20" i="1538" s="1"/>
  <c r="AE19" i="1538" l="1"/>
  <c r="AE17" i="1538"/>
  <c r="AE11" i="1538"/>
  <c r="AE6" i="1538"/>
  <c r="AE14" i="1538"/>
  <c r="AE21" i="1538"/>
  <c r="AE9" i="1538"/>
  <c r="AE7" i="1538"/>
  <c r="AE8" i="1538"/>
  <c r="AE13" i="1538"/>
  <c r="AE15" i="1538"/>
  <c r="AE10" i="1538"/>
  <c r="AE18" i="1538"/>
  <c r="AE12" i="1538"/>
  <c r="AE16" i="1538"/>
  <c r="U18" i="16" l="1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AF14" i="1537"/>
  <c r="AB14" i="1537"/>
  <c r="Q14" i="1537"/>
  <c r="P14" i="1537" s="1"/>
  <c r="AC14" i="1537" s="1"/>
  <c r="AD14" i="1537" s="1"/>
  <c r="O14" i="1537"/>
  <c r="M14" i="1537"/>
  <c r="K14" i="1537"/>
  <c r="K21" i="1537"/>
  <c r="L22" i="1537"/>
  <c r="L20" i="1537"/>
  <c r="AB20" i="1537" s="1"/>
  <c r="K20" i="1537"/>
  <c r="L19" i="1537"/>
  <c r="K19" i="1537" s="1"/>
  <c r="K15" i="1537"/>
  <c r="K13" i="1537"/>
  <c r="L12" i="1537"/>
  <c r="K12" i="1537" s="1"/>
  <c r="L11" i="1537"/>
  <c r="K11" i="1537" s="1"/>
  <c r="L10" i="1537"/>
  <c r="K10" i="1537" s="1"/>
  <c r="L9" i="1537"/>
  <c r="K9" i="1537" s="1"/>
  <c r="L8" i="1537"/>
  <c r="K8" i="1537"/>
  <c r="K22" i="1537"/>
  <c r="K17" i="1537"/>
  <c r="A77" i="1537"/>
  <c r="A78" i="1537" s="1"/>
  <c r="A79" i="1537" s="1"/>
  <c r="A80" i="1537" s="1"/>
  <c r="A81" i="1537" s="1"/>
  <c r="A82" i="1537" s="1"/>
  <c r="A83" i="1537" s="1"/>
  <c r="A84" i="1537" s="1"/>
  <c r="AF63" i="1537"/>
  <c r="AF62" i="1537"/>
  <c r="AF65" i="1537" s="1"/>
  <c r="AA24" i="1537"/>
  <c r="Z24" i="1537"/>
  <c r="Y24" i="1537"/>
  <c r="X24" i="1537"/>
  <c r="W24" i="1537"/>
  <c r="V24" i="1537"/>
  <c r="U24" i="1537"/>
  <c r="T24" i="1537"/>
  <c r="S24" i="1537"/>
  <c r="R24" i="1537"/>
  <c r="N24" i="1537"/>
  <c r="J24" i="1537"/>
  <c r="I24" i="1537"/>
  <c r="AF23" i="1537"/>
  <c r="AB23" i="1537"/>
  <c r="Q23" i="1537"/>
  <c r="P23" i="1537"/>
  <c r="AC23" i="1537" s="1"/>
  <c r="O23" i="1537"/>
  <c r="M23" i="1537"/>
  <c r="K23" i="1537"/>
  <c r="AF22" i="1537"/>
  <c r="AB22" i="1537"/>
  <c r="Q22" i="1537"/>
  <c r="P22" i="1537" s="1"/>
  <c r="AC22" i="1537" s="1"/>
  <c r="O22" i="1537"/>
  <c r="M22" i="1537"/>
  <c r="AF21" i="1537"/>
  <c r="AB21" i="1537"/>
  <c r="Q21" i="1537"/>
  <c r="P21" i="1537" s="1"/>
  <c r="AC21" i="1537" s="1"/>
  <c r="O21" i="1537"/>
  <c r="M21" i="1537"/>
  <c r="AF20" i="1537"/>
  <c r="Q20" i="1537"/>
  <c r="O20" i="1537"/>
  <c r="M20" i="1537"/>
  <c r="AF19" i="1537"/>
  <c r="Q19" i="1537"/>
  <c r="AF18" i="1537"/>
  <c r="AB18" i="1537"/>
  <c r="Q18" i="1537"/>
  <c r="P18" i="1537"/>
  <c r="AC18" i="1537" s="1"/>
  <c r="O18" i="1537"/>
  <c r="M18" i="1537"/>
  <c r="K18" i="1537"/>
  <c r="AF17" i="1537"/>
  <c r="AB17" i="1537"/>
  <c r="Q17" i="1537"/>
  <c r="P17" i="1537"/>
  <c r="AC17" i="1537" s="1"/>
  <c r="O17" i="1537"/>
  <c r="M17" i="1537"/>
  <c r="AF16" i="1537"/>
  <c r="AB16" i="1537"/>
  <c r="Q16" i="1537"/>
  <c r="P16" i="1537"/>
  <c r="AC16" i="1537" s="1"/>
  <c r="O16" i="1537"/>
  <c r="M16" i="1537"/>
  <c r="K16" i="1537"/>
  <c r="AF15" i="1537"/>
  <c r="AB15" i="1537"/>
  <c r="Q15" i="1537"/>
  <c r="P15" i="1537" s="1"/>
  <c r="AC15" i="1537" s="1"/>
  <c r="O15" i="1537"/>
  <c r="M15" i="1537"/>
  <c r="AF13" i="1537"/>
  <c r="AB13" i="1537"/>
  <c r="Q13" i="1537"/>
  <c r="P13" i="1537" s="1"/>
  <c r="AC13" i="1537" s="1"/>
  <c r="O13" i="1537"/>
  <c r="M13" i="1537"/>
  <c r="AF12" i="1537"/>
  <c r="Q12" i="1537"/>
  <c r="P12" i="1537" s="1"/>
  <c r="AC12" i="1537" s="1"/>
  <c r="O12" i="1537"/>
  <c r="AF11" i="1537"/>
  <c r="Q11" i="1537"/>
  <c r="O11" i="1537"/>
  <c r="AF10" i="1537"/>
  <c r="Q10" i="1537"/>
  <c r="AF9" i="1537"/>
  <c r="Q9" i="1537"/>
  <c r="P9" i="1537" s="1"/>
  <c r="AC9" i="1537" s="1"/>
  <c r="M9" i="1537"/>
  <c r="AF8" i="1537"/>
  <c r="Q8" i="1537"/>
  <c r="O8" i="1537"/>
  <c r="AF7" i="1537"/>
  <c r="AB7" i="1537"/>
  <c r="Q7" i="1537"/>
  <c r="P7" i="1537"/>
  <c r="AC7" i="1537" s="1"/>
  <c r="O7" i="1537"/>
  <c r="M7" i="1537"/>
  <c r="K7" i="1537"/>
  <c r="AF6" i="1537"/>
  <c r="AB6" i="1537"/>
  <c r="Q6" i="1537"/>
  <c r="P6" i="1537"/>
  <c r="O6" i="1537"/>
  <c r="M6" i="1537"/>
  <c r="K6" i="1537"/>
  <c r="AD16" i="1537" l="1"/>
  <c r="O19" i="1537"/>
  <c r="AD23" i="1537"/>
  <c r="AB11" i="1537"/>
  <c r="P19" i="1537"/>
  <c r="AC19" i="1537" s="1"/>
  <c r="P11" i="1537"/>
  <c r="AC11" i="1537" s="1"/>
  <c r="AD11" i="1537" s="1"/>
  <c r="AD7" i="1537"/>
  <c r="M11" i="1537"/>
  <c r="P20" i="1537"/>
  <c r="AC20" i="1537" s="1"/>
  <c r="AD20" i="1537" s="1"/>
  <c r="AB10" i="1537"/>
  <c r="AD15" i="1537"/>
  <c r="Q24" i="1537"/>
  <c r="O9" i="1537"/>
  <c r="AB9" i="1537"/>
  <c r="AD9" i="1537" s="1"/>
  <c r="L24" i="1537"/>
  <c r="O24" i="1537" s="1"/>
  <c r="AD17" i="1537"/>
  <c r="AD21" i="1537"/>
  <c r="AD13" i="1537"/>
  <c r="AD22" i="1537"/>
  <c r="AD18" i="1537"/>
  <c r="O10" i="1537"/>
  <c r="AC6" i="1537"/>
  <c r="M8" i="1537"/>
  <c r="AB8" i="1537"/>
  <c r="P10" i="1537"/>
  <c r="AC10" i="1537" s="1"/>
  <c r="AD10" i="1537" s="1"/>
  <c r="M12" i="1537"/>
  <c r="AB12" i="1537"/>
  <c r="AD12" i="1537" s="1"/>
  <c r="M19" i="1537"/>
  <c r="AB19" i="1537"/>
  <c r="P8" i="1537"/>
  <c r="AC8" i="1537" s="1"/>
  <c r="AD8" i="1537" s="1"/>
  <c r="M10" i="1537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K23" i="1536"/>
  <c r="AF22" i="1536"/>
  <c r="AB22" i="1536"/>
  <c r="Q22" i="1536"/>
  <c r="P22" i="1536"/>
  <c r="AC22" i="1536" s="1"/>
  <c r="AD22" i="1536" s="1"/>
  <c r="O22" i="1536"/>
  <c r="M22" i="1536"/>
  <c r="K22" i="1536"/>
  <c r="AF21" i="1536"/>
  <c r="AB21" i="1536"/>
  <c r="Q21" i="1536"/>
  <c r="P21" i="1536" s="1"/>
  <c r="AC21" i="1536" s="1"/>
  <c r="O21" i="1536"/>
  <c r="M21" i="1536"/>
  <c r="K21" i="1536"/>
  <c r="K20" i="1536"/>
  <c r="L19" i="1536"/>
  <c r="AF19" i="1536"/>
  <c r="Q19" i="1536"/>
  <c r="K18" i="1536"/>
  <c r="L16" i="1536"/>
  <c r="K16" i="1536" s="1"/>
  <c r="AD19" i="1537" l="1"/>
  <c r="M24" i="1537"/>
  <c r="AB24" i="1537"/>
  <c r="K24" i="1537"/>
  <c r="AC24" i="1537"/>
  <c r="AD6" i="1537"/>
  <c r="AD24" i="1537" s="1"/>
  <c r="AE14" i="1537" s="1"/>
  <c r="P24" i="1537"/>
  <c r="AD21" i="1536"/>
  <c r="P19" i="1536"/>
  <c r="AC19" i="1536" s="1"/>
  <c r="K19" i="1536"/>
  <c r="M19" i="1536"/>
  <c r="AB19" i="1536"/>
  <c r="O19" i="1536"/>
  <c r="AF14" i="1536"/>
  <c r="AB14" i="1536"/>
  <c r="Q14" i="1536"/>
  <c r="P14" i="1536" s="1"/>
  <c r="AC14" i="1536" s="1"/>
  <c r="O14" i="1536"/>
  <c r="M14" i="1536"/>
  <c r="K14" i="1536"/>
  <c r="K13" i="1536"/>
  <c r="L12" i="1536"/>
  <c r="L11" i="1536"/>
  <c r="K11" i="1536" s="1"/>
  <c r="L10" i="1536"/>
  <c r="K10" i="1536" s="1"/>
  <c r="L9" i="1536"/>
  <c r="K9" i="1536" s="1"/>
  <c r="L8" i="1536"/>
  <c r="K8" i="1536" s="1"/>
  <c r="K12" i="1536"/>
  <c r="A78" i="1536"/>
  <c r="A79" i="1536" s="1"/>
  <c r="A80" i="1536" s="1"/>
  <c r="A81" i="1536" s="1"/>
  <c r="A82" i="1536" s="1"/>
  <c r="A83" i="1536" s="1"/>
  <c r="A84" i="1536" s="1"/>
  <c r="A85" i="1536" s="1"/>
  <c r="AF64" i="1536"/>
  <c r="AF63" i="1536"/>
  <c r="AF66" i="1536" s="1"/>
  <c r="AA25" i="1536"/>
  <c r="Z25" i="1536"/>
  <c r="Y25" i="1536"/>
  <c r="X25" i="1536"/>
  <c r="W25" i="1536"/>
  <c r="V25" i="1536"/>
  <c r="U25" i="1536"/>
  <c r="T25" i="1536"/>
  <c r="S25" i="1536"/>
  <c r="R25" i="1536"/>
  <c r="N25" i="1536"/>
  <c r="J25" i="1536"/>
  <c r="I25" i="1536"/>
  <c r="AF24" i="1536"/>
  <c r="AB24" i="1536"/>
  <c r="Q24" i="1536"/>
  <c r="P24" i="1536"/>
  <c r="AC24" i="1536" s="1"/>
  <c r="O24" i="1536"/>
  <c r="M24" i="1536"/>
  <c r="K24" i="1536"/>
  <c r="AF23" i="1536"/>
  <c r="AB23" i="1536"/>
  <c r="Q23" i="1536"/>
  <c r="P23" i="1536" s="1"/>
  <c r="AC23" i="1536" s="1"/>
  <c r="M23" i="1536"/>
  <c r="O23" i="1536"/>
  <c r="AF20" i="1536"/>
  <c r="Q20" i="1536"/>
  <c r="P20" i="1536"/>
  <c r="AC20" i="1536" s="1"/>
  <c r="AF18" i="1536"/>
  <c r="AB18" i="1536"/>
  <c r="Q18" i="1536"/>
  <c r="P18" i="1536" s="1"/>
  <c r="AC18" i="1536" s="1"/>
  <c r="O18" i="1536"/>
  <c r="M18" i="1536"/>
  <c r="AF17" i="1536"/>
  <c r="AB17" i="1536"/>
  <c r="Q17" i="1536"/>
  <c r="P17" i="1536"/>
  <c r="AC17" i="1536" s="1"/>
  <c r="O17" i="1536"/>
  <c r="M17" i="1536"/>
  <c r="K17" i="1536"/>
  <c r="AF16" i="1536"/>
  <c r="AB16" i="1536"/>
  <c r="Q16" i="1536"/>
  <c r="P16" i="1536" s="1"/>
  <c r="AC16" i="1536" s="1"/>
  <c r="O16" i="1536"/>
  <c r="M16" i="1536"/>
  <c r="AF15" i="1536"/>
  <c r="AB15" i="1536"/>
  <c r="Q15" i="1536"/>
  <c r="P15" i="1536"/>
  <c r="AC15" i="1536" s="1"/>
  <c r="O15" i="1536"/>
  <c r="M15" i="1536"/>
  <c r="K15" i="1536"/>
  <c r="AF13" i="1536"/>
  <c r="Q13" i="1536"/>
  <c r="P13" i="1536" s="1"/>
  <c r="AC13" i="1536" s="1"/>
  <c r="AF12" i="1536"/>
  <c r="AB12" i="1536"/>
  <c r="Q12" i="1536"/>
  <c r="P12" i="1536" s="1"/>
  <c r="AC12" i="1536" s="1"/>
  <c r="M12" i="1536"/>
  <c r="O12" i="1536"/>
  <c r="AF11" i="1536"/>
  <c r="Q11" i="1536"/>
  <c r="AB11" i="1536"/>
  <c r="AF10" i="1536"/>
  <c r="AB10" i="1536"/>
  <c r="Q10" i="1536"/>
  <c r="P10" i="1536" s="1"/>
  <c r="AC10" i="1536" s="1"/>
  <c r="O10" i="1536"/>
  <c r="M10" i="1536"/>
  <c r="AF9" i="1536"/>
  <c r="Q9" i="1536"/>
  <c r="P9" i="1536" s="1"/>
  <c r="AC9" i="1536" s="1"/>
  <c r="AF8" i="1536"/>
  <c r="Q8" i="1536"/>
  <c r="AF7" i="1536"/>
  <c r="AB7" i="1536"/>
  <c r="Q7" i="1536"/>
  <c r="P7" i="1536"/>
  <c r="AC7" i="1536" s="1"/>
  <c r="O7" i="1536"/>
  <c r="M7" i="1536"/>
  <c r="K7" i="1536"/>
  <c r="AF6" i="1536"/>
  <c r="AB6" i="1536"/>
  <c r="Q6" i="1536"/>
  <c r="P6" i="1536"/>
  <c r="AC6" i="1536" s="1"/>
  <c r="O6" i="1536"/>
  <c r="M6" i="1536"/>
  <c r="K6" i="1536"/>
  <c r="AE22" i="1537" l="1"/>
  <c r="AE12" i="1537"/>
  <c r="AE16" i="1537"/>
  <c r="AE18" i="1537"/>
  <c r="AE9" i="1537"/>
  <c r="AE6" i="1537"/>
  <c r="AE23" i="1537"/>
  <c r="AE20" i="1537"/>
  <c r="AE13" i="1537"/>
  <c r="AE17" i="1537"/>
  <c r="AE11" i="1537"/>
  <c r="AE7" i="1537"/>
  <c r="AE21" i="1537"/>
  <c r="AE19" i="1537"/>
  <c r="AE15" i="1537"/>
  <c r="AE8" i="1537"/>
  <c r="AE10" i="1537"/>
  <c r="AD7" i="1536"/>
  <c r="AD19" i="1536"/>
  <c r="AD24" i="1536"/>
  <c r="AD14" i="1536"/>
  <c r="O11" i="1536"/>
  <c r="Q25" i="1536"/>
  <c r="O8" i="1536"/>
  <c r="AB8" i="1536"/>
  <c r="M8" i="1536"/>
  <c r="P8" i="1536"/>
  <c r="AC8" i="1536" s="1"/>
  <c r="AD10" i="1536"/>
  <c r="AD15" i="1536"/>
  <c r="AD16" i="1536"/>
  <c r="AD17" i="1536"/>
  <c r="AD18" i="1536"/>
  <c r="AD12" i="1536"/>
  <c r="AD23" i="1536"/>
  <c r="M9" i="1536"/>
  <c r="AB9" i="1536"/>
  <c r="P11" i="1536"/>
  <c r="AC11" i="1536" s="1"/>
  <c r="M13" i="1536"/>
  <c r="AB13" i="1536"/>
  <c r="M20" i="1536"/>
  <c r="AB20" i="1536"/>
  <c r="O9" i="1536"/>
  <c r="O13" i="1536"/>
  <c r="O20" i="1536"/>
  <c r="L25" i="1536"/>
  <c r="O25" i="1536" s="1"/>
  <c r="AD6" i="1536"/>
  <c r="K25" i="1536"/>
  <c r="M11" i="153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19" i="1535"/>
  <c r="P19" i="1535" s="1"/>
  <c r="AC19" i="1535" s="1"/>
  <c r="L18" i="1535"/>
  <c r="K18" i="1535"/>
  <c r="L17" i="1535"/>
  <c r="K17" i="1535"/>
  <c r="L13" i="1535"/>
  <c r="L12" i="1535"/>
  <c r="M12" i="1535" s="1"/>
  <c r="L11" i="1535"/>
  <c r="K11" i="1535"/>
  <c r="L10" i="1535"/>
  <c r="K10" i="1535" s="1"/>
  <c r="L9" i="1535"/>
  <c r="O9" i="1535" s="1"/>
  <c r="L8" i="1535"/>
  <c r="K19" i="1535"/>
  <c r="K13" i="1535"/>
  <c r="K12" i="1535"/>
  <c r="K9" i="1535"/>
  <c r="K8" i="1535"/>
  <c r="A75" i="1535"/>
  <c r="A76" i="1535" s="1"/>
  <c r="A77" i="1535" s="1"/>
  <c r="A78" i="1535" s="1"/>
  <c r="A79" i="1535" s="1"/>
  <c r="A80" i="1535" s="1"/>
  <c r="A81" i="1535" s="1"/>
  <c r="A74" i="1535"/>
  <c r="AF60" i="1535"/>
  <c r="AF59" i="1535"/>
  <c r="AF62" i="1535" s="1"/>
  <c r="AA21" i="1535"/>
  <c r="Z21" i="1535"/>
  <c r="Y21" i="1535"/>
  <c r="X21" i="1535"/>
  <c r="W21" i="1535"/>
  <c r="V21" i="1535"/>
  <c r="U21" i="1535"/>
  <c r="T21" i="1535"/>
  <c r="S21" i="1535"/>
  <c r="R21" i="1535"/>
  <c r="N21" i="1535"/>
  <c r="J21" i="1535"/>
  <c r="I21" i="1535"/>
  <c r="AF20" i="1535"/>
  <c r="AB20" i="1535"/>
  <c r="Q20" i="1535"/>
  <c r="P20" i="1535"/>
  <c r="AC20" i="1535" s="1"/>
  <c r="AD20" i="1535" s="1"/>
  <c r="O20" i="1535"/>
  <c r="M20" i="1535"/>
  <c r="K20" i="1535"/>
  <c r="AF19" i="1535"/>
  <c r="Q19" i="1535"/>
  <c r="AF18" i="1535"/>
  <c r="Q18" i="1535"/>
  <c r="P18" i="1535"/>
  <c r="AC18" i="1535" s="1"/>
  <c r="O18" i="1535"/>
  <c r="AF17" i="1535"/>
  <c r="AB17" i="1535"/>
  <c r="Q17" i="1535"/>
  <c r="P17" i="1535" s="1"/>
  <c r="AC17" i="1535" s="1"/>
  <c r="O17" i="1535"/>
  <c r="M17" i="1535"/>
  <c r="AF16" i="1535"/>
  <c r="AB16" i="1535"/>
  <c r="Q16" i="1535"/>
  <c r="P16" i="1535"/>
  <c r="AC16" i="1535" s="1"/>
  <c r="AD16" i="1535" s="1"/>
  <c r="O16" i="1535"/>
  <c r="M16" i="1535"/>
  <c r="K16" i="1535"/>
  <c r="AF15" i="1535"/>
  <c r="AB15" i="1535"/>
  <c r="Q15" i="1535"/>
  <c r="P15" i="1535"/>
  <c r="AC15" i="1535" s="1"/>
  <c r="AD15" i="1535" s="1"/>
  <c r="O15" i="1535"/>
  <c r="M15" i="1535"/>
  <c r="K15" i="1535"/>
  <c r="AF14" i="1535"/>
  <c r="AB14" i="1535"/>
  <c r="Q14" i="1535"/>
  <c r="P14" i="1535"/>
  <c r="AC14" i="1535" s="1"/>
  <c r="O14" i="1535"/>
  <c r="M14" i="1535"/>
  <c r="K14" i="1535"/>
  <c r="AF13" i="1535"/>
  <c r="Q13" i="1535"/>
  <c r="O13" i="1535"/>
  <c r="AB13" i="1535"/>
  <c r="AF12" i="1535"/>
  <c r="AB12" i="1535"/>
  <c r="Q12" i="1535"/>
  <c r="P12" i="1535"/>
  <c r="AC12" i="1535" s="1"/>
  <c r="AF11" i="1535"/>
  <c r="Q11" i="1535"/>
  <c r="P11" i="1535"/>
  <c r="AC11" i="1535" s="1"/>
  <c r="AF10" i="1535"/>
  <c r="AB10" i="1535"/>
  <c r="Q10" i="1535"/>
  <c r="P10" i="1535"/>
  <c r="AC10" i="1535" s="1"/>
  <c r="O10" i="1535"/>
  <c r="M10" i="1535"/>
  <c r="AF9" i="1535"/>
  <c r="AB9" i="1535"/>
  <c r="Q9" i="1535"/>
  <c r="M9" i="1535"/>
  <c r="AF8" i="1535"/>
  <c r="Q8" i="1535"/>
  <c r="AF7" i="1535"/>
  <c r="AB7" i="1535"/>
  <c r="Q7" i="1535"/>
  <c r="P7" i="1535"/>
  <c r="AC7" i="1535" s="1"/>
  <c r="AD7" i="1535" s="1"/>
  <c r="O7" i="1535"/>
  <c r="M7" i="1535"/>
  <c r="K7" i="1535"/>
  <c r="AF6" i="1535"/>
  <c r="AB6" i="1535"/>
  <c r="Q6" i="1535"/>
  <c r="P6" i="1535"/>
  <c r="O6" i="1535"/>
  <c r="M6" i="1535"/>
  <c r="K6" i="1535"/>
  <c r="AD13" i="1536" l="1"/>
  <c r="AD9" i="1536"/>
  <c r="AD20" i="1536"/>
  <c r="AD11" i="1536"/>
  <c r="AD8" i="1536"/>
  <c r="M25" i="1536"/>
  <c r="AB25" i="1536"/>
  <c r="P25" i="1536"/>
  <c r="AC25" i="1536"/>
  <c r="L21" i="1535"/>
  <c r="O21" i="1535" s="1"/>
  <c r="Q21" i="1535"/>
  <c r="P9" i="1535"/>
  <c r="AC9" i="1535" s="1"/>
  <c r="AD9" i="1535"/>
  <c r="AD14" i="1535"/>
  <c r="AD10" i="1535"/>
  <c r="AD17" i="1535"/>
  <c r="AD11" i="1535"/>
  <c r="AC6" i="1535"/>
  <c r="M8" i="1535"/>
  <c r="AB8" i="1535"/>
  <c r="AB21" i="1535" s="1"/>
  <c r="M11" i="1535"/>
  <c r="AB11" i="1535"/>
  <c r="O12" i="1535"/>
  <c r="AD12" i="1535" s="1"/>
  <c r="P13" i="1535"/>
  <c r="AC13" i="1535" s="1"/>
  <c r="AD13" i="1535" s="1"/>
  <c r="M19" i="1535"/>
  <c r="AB19" i="1535"/>
  <c r="O8" i="1535"/>
  <c r="O11" i="1535"/>
  <c r="M18" i="1535"/>
  <c r="AB18" i="1535"/>
  <c r="AD18" i="1535" s="1"/>
  <c r="O19" i="1535"/>
  <c r="K21" i="1535"/>
  <c r="P8" i="1535"/>
  <c r="AC8" i="1535" s="1"/>
  <c r="M13" i="1535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19" i="1534"/>
  <c r="K19" i="1534" s="1"/>
  <c r="L18" i="1534"/>
  <c r="K18" i="1534" s="1"/>
  <c r="L13" i="1534"/>
  <c r="L21" i="1534" s="1"/>
  <c r="O21" i="1534" s="1"/>
  <c r="L12" i="1534"/>
  <c r="L11" i="1534"/>
  <c r="AB11" i="1534" s="1"/>
  <c r="K11" i="1534"/>
  <c r="L10" i="1534"/>
  <c r="O10" i="1534" s="1"/>
  <c r="K10" i="1534"/>
  <c r="L8" i="1534"/>
  <c r="K8" i="1534" s="1"/>
  <c r="K12" i="1534"/>
  <c r="K9" i="1534"/>
  <c r="A75" i="1534"/>
  <c r="A76" i="1534" s="1"/>
  <c r="A77" i="1534" s="1"/>
  <c r="A78" i="1534" s="1"/>
  <c r="A79" i="1534" s="1"/>
  <c r="A80" i="1534" s="1"/>
  <c r="A81" i="1534" s="1"/>
  <c r="A74" i="1534"/>
  <c r="AF60" i="1534"/>
  <c r="AF59" i="1534"/>
  <c r="AF62" i="1534" s="1"/>
  <c r="AA21" i="1534"/>
  <c r="Z21" i="1534"/>
  <c r="Y21" i="1534"/>
  <c r="X21" i="1534"/>
  <c r="W21" i="1534"/>
  <c r="V21" i="1534"/>
  <c r="U21" i="1534"/>
  <c r="T21" i="1534"/>
  <c r="S21" i="1534"/>
  <c r="R21" i="1534"/>
  <c r="N21" i="1534"/>
  <c r="J21" i="1534"/>
  <c r="I21" i="1534"/>
  <c r="AF20" i="1534"/>
  <c r="AC20" i="1534"/>
  <c r="AD20" i="1534" s="1"/>
  <c r="AB20" i="1534"/>
  <c r="Q20" i="1534"/>
  <c r="P20" i="1534"/>
  <c r="O20" i="1534"/>
  <c r="M20" i="1534"/>
  <c r="K20" i="1534"/>
  <c r="AF19" i="1534"/>
  <c r="Q19" i="1534"/>
  <c r="O19" i="1534"/>
  <c r="P19" i="1534"/>
  <c r="AC19" i="1534" s="1"/>
  <c r="AF18" i="1534"/>
  <c r="AB18" i="1534"/>
  <c r="Q18" i="1534"/>
  <c r="P18" i="1534" s="1"/>
  <c r="AC18" i="1534" s="1"/>
  <c r="M18" i="1534"/>
  <c r="AF17" i="1534"/>
  <c r="AB17" i="1534"/>
  <c r="Q17" i="1534"/>
  <c r="P17" i="1534"/>
  <c r="AC17" i="1534" s="1"/>
  <c r="AD17" i="1534" s="1"/>
  <c r="O17" i="1534"/>
  <c r="M17" i="1534"/>
  <c r="K17" i="1534"/>
  <c r="AF16" i="1534"/>
  <c r="AB16" i="1534"/>
  <c r="Q16" i="1534"/>
  <c r="P16" i="1534"/>
  <c r="AC16" i="1534" s="1"/>
  <c r="O16" i="1534"/>
  <c r="M16" i="1534"/>
  <c r="K16" i="1534"/>
  <c r="AF15" i="1534"/>
  <c r="AB15" i="1534"/>
  <c r="Q15" i="1534"/>
  <c r="P15" i="1534"/>
  <c r="AC15" i="1534" s="1"/>
  <c r="O15" i="1534"/>
  <c r="M15" i="1534"/>
  <c r="K15" i="1534"/>
  <c r="AF14" i="1534"/>
  <c r="AB14" i="1534"/>
  <c r="Q14" i="1534"/>
  <c r="P14" i="1534"/>
  <c r="AC14" i="1534" s="1"/>
  <c r="AD14" i="1534" s="1"/>
  <c r="O14" i="1534"/>
  <c r="M14" i="1534"/>
  <c r="K14" i="1534"/>
  <c r="AF13" i="1534"/>
  <c r="AB13" i="1534"/>
  <c r="Q13" i="1534"/>
  <c r="P13" i="1534"/>
  <c r="AC13" i="1534" s="1"/>
  <c r="M13" i="1534"/>
  <c r="AF12" i="1534"/>
  <c r="AB12" i="1534"/>
  <c r="Q12" i="1534"/>
  <c r="M12" i="1534"/>
  <c r="O12" i="1534"/>
  <c r="AF11" i="1534"/>
  <c r="Q11" i="1534"/>
  <c r="AF10" i="1534"/>
  <c r="AB10" i="1534"/>
  <c r="Q10" i="1534"/>
  <c r="P10" i="1534"/>
  <c r="AC10" i="1534" s="1"/>
  <c r="M10" i="1534"/>
  <c r="AF9" i="1534"/>
  <c r="Q9" i="1534"/>
  <c r="P9" i="1534" s="1"/>
  <c r="AC9" i="1534" s="1"/>
  <c r="O9" i="1534"/>
  <c r="AF8" i="1534"/>
  <c r="AB8" i="1534"/>
  <c r="Q8" i="1534"/>
  <c r="P8" i="1534"/>
  <c r="AC8" i="1534" s="1"/>
  <c r="M8" i="1534"/>
  <c r="AF7" i="1534"/>
  <c r="AC7" i="1534"/>
  <c r="AD7" i="1534" s="1"/>
  <c r="AB7" i="1534"/>
  <c r="Q7" i="1534"/>
  <c r="P7" i="1534"/>
  <c r="O7" i="1534"/>
  <c r="M7" i="1534"/>
  <c r="K7" i="1534"/>
  <c r="AF6" i="1534"/>
  <c r="AC6" i="1534"/>
  <c r="AB6" i="1534"/>
  <c r="Q6" i="1534"/>
  <c r="P6" i="1534"/>
  <c r="O6" i="1534"/>
  <c r="M6" i="1534"/>
  <c r="K6" i="1534"/>
  <c r="AD25" i="1536" l="1"/>
  <c r="AE22" i="1536" s="1"/>
  <c r="M21" i="1535"/>
  <c r="AD19" i="1535"/>
  <c r="AD8" i="1535"/>
  <c r="P21" i="1535"/>
  <c r="AC21" i="1535"/>
  <c r="AD6" i="1535"/>
  <c r="O18" i="1534"/>
  <c r="AD18" i="1534" s="1"/>
  <c r="K13" i="1534"/>
  <c r="O13" i="1534"/>
  <c r="AD13" i="1534"/>
  <c r="P12" i="1534"/>
  <c r="AC12" i="1534" s="1"/>
  <c r="Q21" i="1534"/>
  <c r="AD10" i="1534"/>
  <c r="AD16" i="1534"/>
  <c r="AD15" i="1534"/>
  <c r="AD12" i="1534"/>
  <c r="O11" i="1534"/>
  <c r="M9" i="1534"/>
  <c r="AB9" i="1534"/>
  <c r="AD9" i="1534" s="1"/>
  <c r="P11" i="1534"/>
  <c r="AC11" i="1534" s="1"/>
  <c r="M19" i="1534"/>
  <c r="AB19" i="1534"/>
  <c r="AD19" i="1534" s="1"/>
  <c r="AD6" i="1534"/>
  <c r="O8" i="1534"/>
  <c r="AD8" i="1534" s="1"/>
  <c r="K21" i="1534"/>
  <c r="M11" i="1534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19" i="1533"/>
  <c r="K13" i="1533"/>
  <c r="L12" i="1533"/>
  <c r="L11" i="1533"/>
  <c r="L10" i="1533"/>
  <c r="L9" i="1533"/>
  <c r="L8" i="1533"/>
  <c r="AE23" i="1536" l="1"/>
  <c r="AE21" i="1536"/>
  <c r="AE16" i="1536"/>
  <c r="AE24" i="1536"/>
  <c r="AE20" i="1536"/>
  <c r="AE11" i="1536"/>
  <c r="AE17" i="1536"/>
  <c r="AE13" i="1536"/>
  <c r="AE12" i="1536"/>
  <c r="AE15" i="1536"/>
  <c r="AE10" i="1536"/>
  <c r="AE18" i="1536"/>
  <c r="AE6" i="1536"/>
  <c r="AE19" i="1536"/>
  <c r="AE14" i="1536"/>
  <c r="AE8" i="1536"/>
  <c r="AE7" i="1536"/>
  <c r="AE9" i="1536"/>
  <c r="AD21" i="1535"/>
  <c r="AD11" i="1534"/>
  <c r="AD21" i="1534" s="1"/>
  <c r="P21" i="1534"/>
  <c r="M21" i="1534"/>
  <c r="AB21" i="1534"/>
  <c r="AC21" i="1534"/>
  <c r="K19" i="1533"/>
  <c r="K18" i="1533"/>
  <c r="K12" i="1533"/>
  <c r="K11" i="1533"/>
  <c r="K9" i="1533"/>
  <c r="K8" i="1533"/>
  <c r="A74" i="1533"/>
  <c r="A75" i="1533" s="1"/>
  <c r="A76" i="1533" s="1"/>
  <c r="A77" i="1533" s="1"/>
  <c r="A78" i="1533" s="1"/>
  <c r="A79" i="1533" s="1"/>
  <c r="A80" i="1533" s="1"/>
  <c r="A81" i="1533" s="1"/>
  <c r="AF60" i="1533"/>
  <c r="AF59" i="1533"/>
  <c r="AF62" i="1533" s="1"/>
  <c r="AA21" i="1533"/>
  <c r="Z21" i="1533"/>
  <c r="Y21" i="1533"/>
  <c r="X21" i="1533"/>
  <c r="W21" i="1533"/>
  <c r="V21" i="1533"/>
  <c r="U21" i="1533"/>
  <c r="T21" i="1533"/>
  <c r="S21" i="1533"/>
  <c r="R21" i="1533"/>
  <c r="N21" i="1533"/>
  <c r="L21" i="1533"/>
  <c r="J21" i="1533"/>
  <c r="I21" i="1533"/>
  <c r="AF20" i="1533"/>
  <c r="AB20" i="1533"/>
  <c r="Q20" i="1533"/>
  <c r="P20" i="1533"/>
  <c r="AC20" i="1533" s="1"/>
  <c r="AD20" i="1533" s="1"/>
  <c r="O20" i="1533"/>
  <c r="M20" i="1533"/>
  <c r="K20" i="1533"/>
  <c r="AF19" i="1533"/>
  <c r="AB19" i="1533"/>
  <c r="Q19" i="1533"/>
  <c r="P19" i="1533" s="1"/>
  <c r="AC19" i="1533" s="1"/>
  <c r="O19" i="1533"/>
  <c r="M19" i="1533"/>
  <c r="AF18" i="1533"/>
  <c r="AB18" i="1533"/>
  <c r="Q18" i="1533"/>
  <c r="P18" i="1533"/>
  <c r="AC18" i="1533" s="1"/>
  <c r="O18" i="1533"/>
  <c r="M18" i="1533"/>
  <c r="AF17" i="1533"/>
  <c r="AB17" i="1533"/>
  <c r="Q17" i="1533"/>
  <c r="P17" i="1533"/>
  <c r="AC17" i="1533" s="1"/>
  <c r="AD17" i="1533" s="1"/>
  <c r="O17" i="1533"/>
  <c r="M17" i="1533"/>
  <c r="K17" i="1533"/>
  <c r="AF16" i="1533"/>
  <c r="AB16" i="1533"/>
  <c r="Q16" i="1533"/>
  <c r="P16" i="1533"/>
  <c r="AC16" i="1533" s="1"/>
  <c r="O16" i="1533"/>
  <c r="M16" i="1533"/>
  <c r="K16" i="1533"/>
  <c r="AF15" i="1533"/>
  <c r="AC15" i="1533"/>
  <c r="AD15" i="1533" s="1"/>
  <c r="AB15" i="1533"/>
  <c r="Q15" i="1533"/>
  <c r="P15" i="1533"/>
  <c r="O15" i="1533"/>
  <c r="M15" i="1533"/>
  <c r="K15" i="1533"/>
  <c r="AF14" i="1533"/>
  <c r="AB14" i="1533"/>
  <c r="Q14" i="1533"/>
  <c r="P14" i="1533"/>
  <c r="AC14" i="1533" s="1"/>
  <c r="AD14" i="1533" s="1"/>
  <c r="O14" i="1533"/>
  <c r="M14" i="1533"/>
  <c r="K14" i="1533"/>
  <c r="AF13" i="1533"/>
  <c r="AB13" i="1533"/>
  <c r="Q13" i="1533"/>
  <c r="P13" i="1533" s="1"/>
  <c r="AC13" i="1533" s="1"/>
  <c r="O13" i="1533"/>
  <c r="M13" i="1533"/>
  <c r="AF12" i="1533"/>
  <c r="AB12" i="1533"/>
  <c r="Q12" i="1533"/>
  <c r="P12" i="1533" s="1"/>
  <c r="AC12" i="1533" s="1"/>
  <c r="O12" i="1533"/>
  <c r="M12" i="1533"/>
  <c r="AF11" i="1533"/>
  <c r="AB11" i="1533"/>
  <c r="Q11" i="1533"/>
  <c r="P11" i="1533" s="1"/>
  <c r="AC11" i="1533" s="1"/>
  <c r="O11" i="1533"/>
  <c r="M11" i="1533"/>
  <c r="AF10" i="1533"/>
  <c r="AB10" i="1533"/>
  <c r="Q10" i="1533"/>
  <c r="P10" i="1533" s="1"/>
  <c r="AC10" i="1533" s="1"/>
  <c r="O10" i="1533"/>
  <c r="M10" i="1533"/>
  <c r="K10" i="1533"/>
  <c r="AF9" i="1533"/>
  <c r="AB9" i="1533"/>
  <c r="Q9" i="1533"/>
  <c r="P9" i="1533" s="1"/>
  <c r="AC9" i="1533" s="1"/>
  <c r="O9" i="1533"/>
  <c r="M9" i="1533"/>
  <c r="AF8" i="1533"/>
  <c r="AB8" i="1533"/>
  <c r="Q8" i="1533"/>
  <c r="P8" i="1533"/>
  <c r="AC8" i="1533" s="1"/>
  <c r="O8" i="1533"/>
  <c r="M8" i="1533"/>
  <c r="AF7" i="1533"/>
  <c r="AC7" i="1533"/>
  <c r="AD7" i="1533" s="1"/>
  <c r="AB7" i="1533"/>
  <c r="Q7" i="1533"/>
  <c r="P7" i="1533"/>
  <c r="O7" i="1533"/>
  <c r="M7" i="1533"/>
  <c r="K7" i="1533"/>
  <c r="AF6" i="1533"/>
  <c r="AB6" i="1533"/>
  <c r="Q6" i="1533"/>
  <c r="P6" i="1533"/>
  <c r="AC6" i="1533" s="1"/>
  <c r="O6" i="1533"/>
  <c r="M6" i="1533"/>
  <c r="K6" i="1533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AE16" i="1535" l="1"/>
  <c r="AE14" i="1535"/>
  <c r="AE8" i="1535"/>
  <c r="AE12" i="1535"/>
  <c r="AE6" i="1535"/>
  <c r="AE20" i="1535"/>
  <c r="AE17" i="1535"/>
  <c r="AE15" i="1535"/>
  <c r="AE13" i="1535"/>
  <c r="AE9" i="1535"/>
  <c r="AE18" i="1535"/>
  <c r="AE10" i="1535"/>
  <c r="AE7" i="1535"/>
  <c r="AE19" i="1535"/>
  <c r="AE11" i="1535"/>
  <c r="AE6" i="1534"/>
  <c r="AE17" i="1534"/>
  <c r="AE15" i="1534"/>
  <c r="AE13" i="1534"/>
  <c r="AE10" i="1534"/>
  <c r="AE20" i="1534"/>
  <c r="AE11" i="1534"/>
  <c r="AE18" i="1534"/>
  <c r="AE16" i="1534"/>
  <c r="AE14" i="1534"/>
  <c r="AE12" i="1534"/>
  <c r="AE8" i="1534"/>
  <c r="AE19" i="1534"/>
  <c r="AE9" i="1534"/>
  <c r="AE7" i="1534"/>
  <c r="AD13" i="1533"/>
  <c r="AD11" i="1533"/>
  <c r="AD9" i="1533"/>
  <c r="Q21" i="1533"/>
  <c r="O21" i="1533"/>
  <c r="AD12" i="1533"/>
  <c r="AD18" i="1533"/>
  <c r="AB21" i="1533"/>
  <c r="M21" i="1533"/>
  <c r="AD8" i="1533"/>
  <c r="AD10" i="1533"/>
  <c r="AD16" i="1533"/>
  <c r="AD19" i="1533"/>
  <c r="K21" i="1533"/>
  <c r="AC21" i="1533"/>
  <c r="AD6" i="1533"/>
  <c r="P21" i="1533"/>
  <c r="K19" i="1532"/>
  <c r="K18" i="1532"/>
  <c r="K12" i="1532"/>
  <c r="K11" i="1532"/>
  <c r="K9" i="1532"/>
  <c r="K8" i="1532"/>
  <c r="A74" i="1532"/>
  <c r="A75" i="1532" s="1"/>
  <c r="A76" i="1532" s="1"/>
  <c r="A77" i="1532" s="1"/>
  <c r="A78" i="1532" s="1"/>
  <c r="A79" i="1532" s="1"/>
  <c r="A80" i="1532" s="1"/>
  <c r="A81" i="1532" s="1"/>
  <c r="AF60" i="1532"/>
  <c r="AF59" i="1532"/>
  <c r="AF62" i="1532" s="1"/>
  <c r="AA21" i="1532"/>
  <c r="Z21" i="1532"/>
  <c r="Y21" i="1532"/>
  <c r="X21" i="1532"/>
  <c r="W21" i="1532"/>
  <c r="V21" i="1532"/>
  <c r="U21" i="1532"/>
  <c r="T21" i="1532"/>
  <c r="S21" i="1532"/>
  <c r="R21" i="1532"/>
  <c r="N21" i="1532"/>
  <c r="L21" i="1532"/>
  <c r="J21" i="1532"/>
  <c r="I21" i="1532"/>
  <c r="AF20" i="1532"/>
  <c r="AB20" i="1532"/>
  <c r="Q20" i="1532"/>
  <c r="P20" i="1532"/>
  <c r="AC20" i="1532" s="1"/>
  <c r="AD20" i="1532" s="1"/>
  <c r="O20" i="1532"/>
  <c r="M20" i="1532"/>
  <c r="K20" i="1532"/>
  <c r="AF19" i="1532"/>
  <c r="AB19" i="1532"/>
  <c r="Q19" i="1532"/>
  <c r="P19" i="1532"/>
  <c r="AC19" i="1532" s="1"/>
  <c r="O19" i="1532"/>
  <c r="M19" i="1532"/>
  <c r="AF18" i="1532"/>
  <c r="AB18" i="1532"/>
  <c r="Q18" i="1532"/>
  <c r="P18" i="1532"/>
  <c r="AC18" i="1532" s="1"/>
  <c r="O18" i="1532"/>
  <c r="M18" i="1532"/>
  <c r="AF17" i="1532"/>
  <c r="AC17" i="1532"/>
  <c r="AB17" i="1532"/>
  <c r="Q17" i="1532"/>
  <c r="P17" i="1532"/>
  <c r="O17" i="1532"/>
  <c r="M17" i="1532"/>
  <c r="K17" i="1532"/>
  <c r="AF16" i="1532"/>
  <c r="AB16" i="1532"/>
  <c r="Q16" i="1532"/>
  <c r="P16" i="1532"/>
  <c r="AC16" i="1532" s="1"/>
  <c r="O16" i="1532"/>
  <c r="M16" i="1532"/>
  <c r="K16" i="1532"/>
  <c r="AF15" i="1532"/>
  <c r="AC15" i="1532"/>
  <c r="AB15" i="1532"/>
  <c r="Q15" i="1532"/>
  <c r="P15" i="1532"/>
  <c r="O15" i="1532"/>
  <c r="M15" i="1532"/>
  <c r="K15" i="1532"/>
  <c r="AF14" i="1532"/>
  <c r="AB14" i="1532"/>
  <c r="Q14" i="1532"/>
  <c r="P14" i="1532"/>
  <c r="AC14" i="1532" s="1"/>
  <c r="O14" i="1532"/>
  <c r="M14" i="1532"/>
  <c r="K14" i="1532"/>
  <c r="AF13" i="1532"/>
  <c r="AC13" i="1532"/>
  <c r="AB13" i="1532"/>
  <c r="Q13" i="1532"/>
  <c r="P13" i="1532"/>
  <c r="O13" i="1532"/>
  <c r="M13" i="1532"/>
  <c r="K13" i="1532"/>
  <c r="AF12" i="1532"/>
  <c r="AB12" i="1532"/>
  <c r="Q12" i="1532"/>
  <c r="P12" i="1532"/>
  <c r="AC12" i="1532" s="1"/>
  <c r="O12" i="1532"/>
  <c r="M12" i="1532"/>
  <c r="AF11" i="1532"/>
  <c r="AB11" i="1532"/>
  <c r="Q11" i="1532"/>
  <c r="P11" i="1532" s="1"/>
  <c r="AC11" i="1532" s="1"/>
  <c r="O11" i="1532"/>
  <c r="M11" i="1532"/>
  <c r="AF10" i="1532"/>
  <c r="AB10" i="1532"/>
  <c r="Q10" i="1532"/>
  <c r="P10" i="1532"/>
  <c r="AC10" i="1532" s="1"/>
  <c r="O10" i="1532"/>
  <c r="M10" i="1532"/>
  <c r="K10" i="1532"/>
  <c r="AF9" i="1532"/>
  <c r="AB9" i="1532"/>
  <c r="Q9" i="1532"/>
  <c r="P9" i="1532"/>
  <c r="AC9" i="1532" s="1"/>
  <c r="O9" i="1532"/>
  <c r="M9" i="1532"/>
  <c r="AF8" i="1532"/>
  <c r="AB8" i="1532"/>
  <c r="Q8" i="1532"/>
  <c r="P8" i="1532" s="1"/>
  <c r="AC8" i="1532" s="1"/>
  <c r="O8" i="1532"/>
  <c r="M8" i="1532"/>
  <c r="AF7" i="1532"/>
  <c r="AC7" i="1532"/>
  <c r="AD7" i="1532" s="1"/>
  <c r="AB7" i="1532"/>
  <c r="Q7" i="1532"/>
  <c r="P7" i="1532"/>
  <c r="O7" i="1532"/>
  <c r="M7" i="1532"/>
  <c r="K7" i="1532"/>
  <c r="AF6" i="1532"/>
  <c r="AB6" i="1532"/>
  <c r="Q6" i="1532"/>
  <c r="P6" i="1532"/>
  <c r="AC6" i="1532" s="1"/>
  <c r="O6" i="1532"/>
  <c r="M6" i="1532"/>
  <c r="K6" i="1532"/>
  <c r="AD21" i="1533" l="1"/>
  <c r="AE17" i="1533" s="1"/>
  <c r="AD18" i="1532"/>
  <c r="AD12" i="1532"/>
  <c r="Q21" i="1532"/>
  <c r="O21" i="1532"/>
  <c r="M21" i="1532"/>
  <c r="AB21" i="1532"/>
  <c r="AD8" i="1532"/>
  <c r="AD15" i="1532"/>
  <c r="AD19" i="1532"/>
  <c r="AD9" i="1532"/>
  <c r="AD13" i="1532"/>
  <c r="AD16" i="1532"/>
  <c r="AD10" i="1532"/>
  <c r="AD14" i="1532"/>
  <c r="AD11" i="1532"/>
  <c r="AD17" i="1532"/>
  <c r="K21" i="1532"/>
  <c r="AC21" i="1532"/>
  <c r="AD6" i="1532"/>
  <c r="P21" i="1532"/>
  <c r="O17" i="16"/>
  <c r="O16" i="16"/>
  <c r="O15" i="16"/>
  <c r="O14" i="16"/>
  <c r="O13" i="16"/>
  <c r="O12" i="16"/>
  <c r="O11" i="16"/>
  <c r="O10" i="16"/>
  <c r="O8" i="16"/>
  <c r="O7" i="16"/>
  <c r="O6" i="16"/>
  <c r="O4" i="16"/>
  <c r="O3" i="16"/>
  <c r="K19" i="1531"/>
  <c r="K18" i="1531"/>
  <c r="K13" i="1531"/>
  <c r="K12" i="1531"/>
  <c r="K11" i="1531"/>
  <c r="K10" i="1531"/>
  <c r="K9" i="1531"/>
  <c r="K8" i="1531"/>
  <c r="A77" i="1531"/>
  <c r="A78" i="1531" s="1"/>
  <c r="A79" i="1531" s="1"/>
  <c r="A80" i="1531" s="1"/>
  <c r="A81" i="1531" s="1"/>
  <c r="A76" i="1531"/>
  <c r="A75" i="1531"/>
  <c r="A74" i="1531"/>
  <c r="AF62" i="1531"/>
  <c r="AF60" i="1531"/>
  <c r="AF59" i="1531"/>
  <c r="AA21" i="1531"/>
  <c r="Z21" i="1531"/>
  <c r="Y21" i="1531"/>
  <c r="X21" i="1531"/>
  <c r="W21" i="1531"/>
  <c r="V21" i="1531"/>
  <c r="U21" i="1531"/>
  <c r="T21" i="1531"/>
  <c r="S21" i="1531"/>
  <c r="R21" i="1531"/>
  <c r="N21" i="1531"/>
  <c r="J21" i="1531"/>
  <c r="I21" i="1531"/>
  <c r="AF20" i="1531"/>
  <c r="AC20" i="1531"/>
  <c r="AD20" i="1531" s="1"/>
  <c r="AB20" i="1531"/>
  <c r="Q20" i="1531"/>
  <c r="P20" i="1531"/>
  <c r="O20" i="1531"/>
  <c r="M20" i="1531"/>
  <c r="K20" i="1531"/>
  <c r="AF19" i="1531"/>
  <c r="AB19" i="1531"/>
  <c r="Q19" i="1531"/>
  <c r="P19" i="1531" s="1"/>
  <c r="AC19" i="1531" s="1"/>
  <c r="AD19" i="1531" s="1"/>
  <c r="O19" i="1531"/>
  <c r="M19" i="1531"/>
  <c r="AF18" i="1531"/>
  <c r="AB18" i="1531"/>
  <c r="Q18" i="1531"/>
  <c r="P18" i="1531" s="1"/>
  <c r="AC18" i="1531" s="1"/>
  <c r="O18" i="1531"/>
  <c r="M18" i="1531"/>
  <c r="AF17" i="1531"/>
  <c r="AB17" i="1531"/>
  <c r="Q17" i="1531"/>
  <c r="P17" i="1531"/>
  <c r="AC17" i="1531" s="1"/>
  <c r="O17" i="1531"/>
  <c r="M17" i="1531"/>
  <c r="K17" i="1531"/>
  <c r="AF16" i="1531"/>
  <c r="AC16" i="1531"/>
  <c r="AD16" i="1531" s="1"/>
  <c r="AB16" i="1531"/>
  <c r="Q16" i="1531"/>
  <c r="P16" i="1531"/>
  <c r="O16" i="1531"/>
  <c r="M16" i="1531"/>
  <c r="K16" i="1531"/>
  <c r="AF15" i="1531"/>
  <c r="AB15" i="1531"/>
  <c r="Q15" i="1531"/>
  <c r="P15" i="1531"/>
  <c r="AC15" i="1531" s="1"/>
  <c r="O15" i="1531"/>
  <c r="M15" i="1531"/>
  <c r="K15" i="1531"/>
  <c r="AF14" i="1531"/>
  <c r="AC14" i="1531"/>
  <c r="AB14" i="1531"/>
  <c r="Q14" i="1531"/>
  <c r="P14" i="1531"/>
  <c r="O14" i="1531"/>
  <c r="M14" i="1531"/>
  <c r="K14" i="1531"/>
  <c r="AF13" i="1531"/>
  <c r="AB13" i="1531"/>
  <c r="Q13" i="1531"/>
  <c r="P13" i="1531" s="1"/>
  <c r="AC13" i="1531" s="1"/>
  <c r="AD13" i="1531" s="1"/>
  <c r="O13" i="1531"/>
  <c r="M13" i="1531"/>
  <c r="AF12" i="1531"/>
  <c r="AB12" i="1531"/>
  <c r="Q12" i="1531"/>
  <c r="P12" i="1531" s="1"/>
  <c r="AC12" i="1531" s="1"/>
  <c r="O12" i="1531"/>
  <c r="M12" i="1531"/>
  <c r="AF11" i="1531"/>
  <c r="AB11" i="1531"/>
  <c r="Q11" i="1531"/>
  <c r="P11" i="1531" s="1"/>
  <c r="AC11" i="1531" s="1"/>
  <c r="O11" i="1531"/>
  <c r="M11" i="1531"/>
  <c r="AF10" i="1531"/>
  <c r="Q10" i="1531"/>
  <c r="O10" i="1531"/>
  <c r="M10" i="1531"/>
  <c r="L21" i="1531"/>
  <c r="O21" i="1531" s="1"/>
  <c r="AF9" i="1531"/>
  <c r="AB9" i="1531"/>
  <c r="Q9" i="1531"/>
  <c r="P9" i="1531" s="1"/>
  <c r="AC9" i="1531" s="1"/>
  <c r="AD9" i="1531" s="1"/>
  <c r="O9" i="1531"/>
  <c r="M9" i="1531"/>
  <c r="AF8" i="1531"/>
  <c r="AB8" i="1531"/>
  <c r="Q8" i="1531"/>
  <c r="P8" i="1531" s="1"/>
  <c r="AC8" i="1531" s="1"/>
  <c r="O8" i="1531"/>
  <c r="M8" i="1531"/>
  <c r="AF7" i="1531"/>
  <c r="AB7" i="1531"/>
  <c r="Q7" i="1531"/>
  <c r="P7" i="1531"/>
  <c r="AC7" i="1531" s="1"/>
  <c r="AD7" i="1531" s="1"/>
  <c r="O7" i="1531"/>
  <c r="M7" i="1531"/>
  <c r="K7" i="1531"/>
  <c r="AF6" i="1531"/>
  <c r="AB6" i="1531"/>
  <c r="Q6" i="1531"/>
  <c r="P6" i="1531"/>
  <c r="O6" i="1531"/>
  <c r="M6" i="1531"/>
  <c r="K6" i="1531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K13" i="1530"/>
  <c r="L10" i="1530"/>
  <c r="K10" i="1530" s="1"/>
  <c r="K8" i="1530"/>
  <c r="K19" i="1530"/>
  <c r="K18" i="1530"/>
  <c r="K12" i="1530"/>
  <c r="K11" i="1530"/>
  <c r="K9" i="1530"/>
  <c r="A74" i="1530"/>
  <c r="A75" i="1530" s="1"/>
  <c r="A76" i="1530" s="1"/>
  <c r="A77" i="1530" s="1"/>
  <c r="A78" i="1530" s="1"/>
  <c r="A79" i="1530" s="1"/>
  <c r="A80" i="1530" s="1"/>
  <c r="A81" i="1530" s="1"/>
  <c r="AF62" i="1530"/>
  <c r="AF60" i="1530"/>
  <c r="AF59" i="1530"/>
  <c r="AA21" i="1530"/>
  <c r="Z21" i="1530"/>
  <c r="Y21" i="1530"/>
  <c r="X21" i="1530"/>
  <c r="W21" i="1530"/>
  <c r="V21" i="1530"/>
  <c r="U21" i="1530"/>
  <c r="T21" i="1530"/>
  <c r="S21" i="1530"/>
  <c r="R21" i="1530"/>
  <c r="N21" i="1530"/>
  <c r="J21" i="1530"/>
  <c r="I21" i="1530"/>
  <c r="AF20" i="1530"/>
  <c r="AB20" i="1530"/>
  <c r="Q20" i="1530"/>
  <c r="P20" i="1530"/>
  <c r="AC20" i="1530" s="1"/>
  <c r="AD20" i="1530" s="1"/>
  <c r="O20" i="1530"/>
  <c r="M20" i="1530"/>
  <c r="K20" i="1530"/>
  <c r="AF19" i="1530"/>
  <c r="Q19" i="1530"/>
  <c r="P19" i="1530"/>
  <c r="AC19" i="1530" s="1"/>
  <c r="AF18" i="1530"/>
  <c r="Q18" i="1530"/>
  <c r="P18" i="1530" s="1"/>
  <c r="AC18" i="1530" s="1"/>
  <c r="O18" i="1530"/>
  <c r="M18" i="1530"/>
  <c r="AB18" i="1530"/>
  <c r="AF17" i="1530"/>
  <c r="AB17" i="1530"/>
  <c r="Q17" i="1530"/>
  <c r="P17" i="1530"/>
  <c r="AC17" i="1530" s="1"/>
  <c r="AD17" i="1530" s="1"/>
  <c r="O17" i="1530"/>
  <c r="M17" i="1530"/>
  <c r="K17" i="1530"/>
  <c r="AF16" i="1530"/>
  <c r="AB16" i="1530"/>
  <c r="Q16" i="1530"/>
  <c r="P16" i="1530"/>
  <c r="AC16" i="1530" s="1"/>
  <c r="O16" i="1530"/>
  <c r="M16" i="1530"/>
  <c r="K16" i="1530"/>
  <c r="AF15" i="1530"/>
  <c r="AC15" i="1530"/>
  <c r="AB15" i="1530"/>
  <c r="Q15" i="1530"/>
  <c r="P15" i="1530"/>
  <c r="O15" i="1530"/>
  <c r="M15" i="1530"/>
  <c r="K15" i="1530"/>
  <c r="AF14" i="1530"/>
  <c r="AB14" i="1530"/>
  <c r="Q14" i="1530"/>
  <c r="P14" i="1530"/>
  <c r="AC14" i="1530" s="1"/>
  <c r="O14" i="1530"/>
  <c r="M14" i="1530"/>
  <c r="K14" i="1530"/>
  <c r="AF13" i="1530"/>
  <c r="AB13" i="1530"/>
  <c r="Q13" i="1530"/>
  <c r="P13" i="1530" s="1"/>
  <c r="AC13" i="1530" s="1"/>
  <c r="O13" i="1530"/>
  <c r="M13" i="1530"/>
  <c r="AF12" i="1530"/>
  <c r="Q12" i="1530"/>
  <c r="P12" i="1530" s="1"/>
  <c r="AC12" i="1530" s="1"/>
  <c r="AF11" i="1530"/>
  <c r="Q11" i="1530"/>
  <c r="P11" i="1530"/>
  <c r="AC11" i="1530" s="1"/>
  <c r="O11" i="1530"/>
  <c r="AF10" i="1530"/>
  <c r="Q10" i="1530"/>
  <c r="O10" i="1530"/>
  <c r="AF9" i="1530"/>
  <c r="AB9" i="1530"/>
  <c r="Q9" i="1530"/>
  <c r="P9" i="1530" s="1"/>
  <c r="AC9" i="1530" s="1"/>
  <c r="O9" i="1530"/>
  <c r="M9" i="1530"/>
  <c r="AF8" i="1530"/>
  <c r="Q8" i="1530"/>
  <c r="AF7" i="1530"/>
  <c r="AB7" i="1530"/>
  <c r="Q7" i="1530"/>
  <c r="P7" i="1530"/>
  <c r="AC7" i="1530" s="1"/>
  <c r="O7" i="1530"/>
  <c r="M7" i="1530"/>
  <c r="K7" i="1530"/>
  <c r="AF6" i="1530"/>
  <c r="AC6" i="1530"/>
  <c r="AD6" i="1530" s="1"/>
  <c r="AB6" i="1530"/>
  <c r="Q6" i="1530"/>
  <c r="P6" i="1530"/>
  <c r="O6" i="1530"/>
  <c r="M6" i="1530"/>
  <c r="K6" i="1530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0" i="1529"/>
  <c r="K20" i="1529" s="1"/>
  <c r="AF19" i="1529"/>
  <c r="Q19" i="1529"/>
  <c r="P19" i="1529"/>
  <c r="AC19" i="1529" s="1"/>
  <c r="L19" i="1529"/>
  <c r="AB19" i="1529" s="1"/>
  <c r="K19" i="1529"/>
  <c r="L18" i="1529"/>
  <c r="K18" i="1529" s="1"/>
  <c r="L13" i="1529"/>
  <c r="O13" i="1529" s="1"/>
  <c r="L12" i="1529"/>
  <c r="L11" i="1529"/>
  <c r="K11" i="1529"/>
  <c r="L10" i="1529"/>
  <c r="K10" i="1529" s="1"/>
  <c r="L9" i="1529"/>
  <c r="L8" i="1529"/>
  <c r="K8" i="1529" s="1"/>
  <c r="K17" i="1529"/>
  <c r="K12" i="1529"/>
  <c r="A76" i="1529"/>
  <c r="A77" i="1529" s="1"/>
  <c r="A78" i="1529" s="1"/>
  <c r="A79" i="1529" s="1"/>
  <c r="A80" i="1529" s="1"/>
  <c r="A81" i="1529" s="1"/>
  <c r="A82" i="1529" s="1"/>
  <c r="A75" i="1529"/>
  <c r="AF61" i="1529"/>
  <c r="AF60" i="1529"/>
  <c r="AF63" i="1529" s="1"/>
  <c r="AA22" i="1529"/>
  <c r="Z22" i="1529"/>
  <c r="Y22" i="1529"/>
  <c r="X22" i="1529"/>
  <c r="W22" i="1529"/>
  <c r="V22" i="1529"/>
  <c r="U22" i="1529"/>
  <c r="T22" i="1529"/>
  <c r="S22" i="1529"/>
  <c r="R22" i="1529"/>
  <c r="N22" i="1529"/>
  <c r="J22" i="1529"/>
  <c r="I22" i="1529"/>
  <c r="AF21" i="1529"/>
  <c r="AB21" i="1529"/>
  <c r="Q21" i="1529"/>
  <c r="P21" i="1529"/>
  <c r="AC21" i="1529" s="1"/>
  <c r="AD21" i="1529" s="1"/>
  <c r="O21" i="1529"/>
  <c r="M21" i="1529"/>
  <c r="K21" i="1529"/>
  <c r="AF20" i="1529"/>
  <c r="Q20" i="1529"/>
  <c r="AF18" i="1529"/>
  <c r="Q18" i="1529"/>
  <c r="M18" i="1529"/>
  <c r="AF17" i="1529"/>
  <c r="Q17" i="1529"/>
  <c r="O17" i="1529"/>
  <c r="AF16" i="1529"/>
  <c r="AB16" i="1529"/>
  <c r="Q16" i="1529"/>
  <c r="P16" i="1529"/>
  <c r="AC16" i="1529" s="1"/>
  <c r="O16" i="1529"/>
  <c r="M16" i="1529"/>
  <c r="K16" i="1529"/>
  <c r="AF15" i="1529"/>
  <c r="AB15" i="1529"/>
  <c r="Q15" i="1529"/>
  <c r="P15" i="1529"/>
  <c r="AC15" i="1529" s="1"/>
  <c r="O15" i="1529"/>
  <c r="M15" i="1529"/>
  <c r="K15" i="1529"/>
  <c r="AF14" i="1529"/>
  <c r="AB14" i="1529"/>
  <c r="Q14" i="1529"/>
  <c r="P14" i="1529"/>
  <c r="AC14" i="1529" s="1"/>
  <c r="O14" i="1529"/>
  <c r="M14" i="1529"/>
  <c r="K14" i="1529"/>
  <c r="AF13" i="1529"/>
  <c r="AB13" i="1529"/>
  <c r="Q13" i="1529"/>
  <c r="P13" i="1529" s="1"/>
  <c r="AC13" i="1529" s="1"/>
  <c r="M13" i="1529"/>
  <c r="AF12" i="1529"/>
  <c r="AB12" i="1529"/>
  <c r="Q12" i="1529"/>
  <c r="P12" i="1529" s="1"/>
  <c r="AC12" i="1529" s="1"/>
  <c r="M12" i="1529"/>
  <c r="O12" i="1529"/>
  <c r="AF11" i="1529"/>
  <c r="AB11" i="1529"/>
  <c r="Q11" i="1529"/>
  <c r="P11" i="1529" s="1"/>
  <c r="AC11" i="1529" s="1"/>
  <c r="O11" i="1529"/>
  <c r="M11" i="1529"/>
  <c r="AF10" i="1529"/>
  <c r="Q10" i="1529"/>
  <c r="O10" i="1529"/>
  <c r="AF9" i="1529"/>
  <c r="Q9" i="1529"/>
  <c r="AF8" i="1529"/>
  <c r="Q8" i="1529"/>
  <c r="AF7" i="1529"/>
  <c r="AB7" i="1529"/>
  <c r="Q7" i="1529"/>
  <c r="P7" i="1529"/>
  <c r="AC7" i="1529" s="1"/>
  <c r="AD7" i="1529" s="1"/>
  <c r="O7" i="1529"/>
  <c r="M7" i="1529"/>
  <c r="K7" i="1529"/>
  <c r="AF6" i="1529"/>
  <c r="AB6" i="1529"/>
  <c r="Q6" i="1529"/>
  <c r="P6" i="1529"/>
  <c r="O6" i="1529"/>
  <c r="M6" i="1529"/>
  <c r="K6" i="1529"/>
  <c r="AE10" i="1533" l="1"/>
  <c r="AE11" i="1533"/>
  <c r="AE12" i="1533"/>
  <c r="AE18" i="1533"/>
  <c r="AE13" i="1533"/>
  <c r="AE6" i="1533"/>
  <c r="AE20" i="1533"/>
  <c r="AE15" i="1533"/>
  <c r="AE8" i="1533"/>
  <c r="AE7" i="1533"/>
  <c r="AE19" i="1533"/>
  <c r="AE16" i="1533"/>
  <c r="AE14" i="1533"/>
  <c r="AE9" i="1533"/>
  <c r="AD21" i="1532"/>
  <c r="AE15" i="1532" s="1"/>
  <c r="AD12" i="1531"/>
  <c r="O9" i="16" s="1"/>
  <c r="AD18" i="1531"/>
  <c r="AD14" i="1531"/>
  <c r="AD17" i="1531"/>
  <c r="M21" i="1531"/>
  <c r="AD8" i="1531"/>
  <c r="O5" i="16" s="1"/>
  <c r="AD11" i="1531"/>
  <c r="AD15" i="1531"/>
  <c r="K21" i="1531"/>
  <c r="P10" i="1531"/>
  <c r="AC10" i="1531" s="1"/>
  <c r="Q21" i="1531"/>
  <c r="AC6" i="1531"/>
  <c r="AB10" i="1531"/>
  <c r="AB21" i="1531" s="1"/>
  <c r="AD14" i="1530"/>
  <c r="AD7" i="1530"/>
  <c r="Q21" i="1530"/>
  <c r="P10" i="1530"/>
  <c r="AC10" i="1530" s="1"/>
  <c r="L21" i="1530"/>
  <c r="O21" i="1530" s="1"/>
  <c r="AB10" i="1530"/>
  <c r="AD9" i="1530"/>
  <c r="AD13" i="1530"/>
  <c r="AD16" i="1530"/>
  <c r="AD15" i="1530"/>
  <c r="K21" i="1530"/>
  <c r="AD18" i="1530"/>
  <c r="M8" i="1530"/>
  <c r="AB8" i="1530"/>
  <c r="M12" i="1530"/>
  <c r="AB12" i="1530"/>
  <c r="M19" i="1530"/>
  <c r="AB19" i="1530"/>
  <c r="O8" i="1530"/>
  <c r="M11" i="1530"/>
  <c r="AB11" i="1530"/>
  <c r="AD11" i="1530" s="1"/>
  <c r="O12" i="1530"/>
  <c r="O19" i="1530"/>
  <c r="P8" i="1530"/>
  <c r="AC8" i="1530" s="1"/>
  <c r="M10" i="1530"/>
  <c r="O20" i="1529"/>
  <c r="O19" i="1529"/>
  <c r="AD19" i="1529" s="1"/>
  <c r="AD14" i="1529"/>
  <c r="M19" i="1529"/>
  <c r="P20" i="1529"/>
  <c r="AC20" i="1529" s="1"/>
  <c r="P18" i="1529"/>
  <c r="AC18" i="1529" s="1"/>
  <c r="O18" i="1529"/>
  <c r="AB18" i="1529"/>
  <c r="K13" i="1529"/>
  <c r="Q22" i="1529"/>
  <c r="P9" i="1529"/>
  <c r="AC9" i="1529" s="1"/>
  <c r="AB9" i="1529"/>
  <c r="K9" i="1529"/>
  <c r="O9" i="1529"/>
  <c r="M9" i="1529"/>
  <c r="L22" i="1529"/>
  <c r="O22" i="1529" s="1"/>
  <c r="O8" i="1529"/>
  <c r="AD11" i="1529"/>
  <c r="AD16" i="1529"/>
  <c r="AD15" i="1529"/>
  <c r="AD13" i="1529"/>
  <c r="AD12" i="1529"/>
  <c r="AC6" i="1529"/>
  <c r="M8" i="1529"/>
  <c r="AB8" i="1529"/>
  <c r="P10" i="1529"/>
  <c r="AC10" i="1529" s="1"/>
  <c r="P17" i="1529"/>
  <c r="AC17" i="1529" s="1"/>
  <c r="M20" i="1529"/>
  <c r="AB20" i="1529"/>
  <c r="AD20" i="1529" s="1"/>
  <c r="K22" i="1529"/>
  <c r="P8" i="1529"/>
  <c r="AC8" i="1529" s="1"/>
  <c r="M10" i="1529"/>
  <c r="AB10" i="1529"/>
  <c r="M17" i="1529"/>
  <c r="AB17" i="1529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19" i="1528"/>
  <c r="O19" i="1528" s="1"/>
  <c r="L18" i="1528"/>
  <c r="L17" i="1528"/>
  <c r="K17" i="1528"/>
  <c r="L12" i="1528"/>
  <c r="L10" i="1528"/>
  <c r="AB10" i="1528" s="1"/>
  <c r="L9" i="1528"/>
  <c r="AB9" i="1528" s="1"/>
  <c r="L8" i="1528"/>
  <c r="K8" i="1528"/>
  <c r="K19" i="1528"/>
  <c r="K18" i="1528"/>
  <c r="K11" i="1528"/>
  <c r="A75" i="1528"/>
  <c r="A76" i="1528" s="1"/>
  <c r="A77" i="1528" s="1"/>
  <c r="A78" i="1528" s="1"/>
  <c r="A79" i="1528" s="1"/>
  <c r="A80" i="1528" s="1"/>
  <c r="A81" i="1528" s="1"/>
  <c r="A74" i="1528"/>
  <c r="AF60" i="1528"/>
  <c r="AF59" i="1528"/>
  <c r="AF62" i="1528" s="1"/>
  <c r="AA21" i="1528"/>
  <c r="Z21" i="1528"/>
  <c r="Y21" i="1528"/>
  <c r="X21" i="1528"/>
  <c r="W21" i="1528"/>
  <c r="V21" i="1528"/>
  <c r="U21" i="1528"/>
  <c r="T21" i="1528"/>
  <c r="S21" i="1528"/>
  <c r="R21" i="1528"/>
  <c r="N21" i="1528"/>
  <c r="J21" i="1528"/>
  <c r="I21" i="1528"/>
  <c r="AF20" i="1528"/>
  <c r="AB20" i="1528"/>
  <c r="Q20" i="1528"/>
  <c r="P20" i="1528"/>
  <c r="AC20" i="1528" s="1"/>
  <c r="AD20" i="1528" s="1"/>
  <c r="O20" i="1528"/>
  <c r="M20" i="1528"/>
  <c r="K20" i="1528"/>
  <c r="AF19" i="1528"/>
  <c r="Q19" i="1528"/>
  <c r="P19" i="1528"/>
  <c r="AC19" i="1528" s="1"/>
  <c r="AB19" i="1528"/>
  <c r="AF18" i="1528"/>
  <c r="AB18" i="1528"/>
  <c r="Q18" i="1528"/>
  <c r="P18" i="1528"/>
  <c r="AC18" i="1528" s="1"/>
  <c r="O18" i="1528"/>
  <c r="M18" i="1528"/>
  <c r="AF17" i="1528"/>
  <c r="Q17" i="1528"/>
  <c r="O17" i="1528"/>
  <c r="AF16" i="1528"/>
  <c r="AB16" i="1528"/>
  <c r="Q16" i="1528"/>
  <c r="P16" i="1528"/>
  <c r="AC16" i="1528" s="1"/>
  <c r="O16" i="1528"/>
  <c r="M16" i="1528"/>
  <c r="K16" i="1528"/>
  <c r="AF15" i="1528"/>
  <c r="AC15" i="1528"/>
  <c r="AB15" i="1528"/>
  <c r="Q15" i="1528"/>
  <c r="P15" i="1528"/>
  <c r="O15" i="1528"/>
  <c r="M15" i="1528"/>
  <c r="K15" i="1528"/>
  <c r="AF14" i="1528"/>
  <c r="AB14" i="1528"/>
  <c r="Q14" i="1528"/>
  <c r="P14" i="1528"/>
  <c r="AC14" i="1528" s="1"/>
  <c r="O14" i="1528"/>
  <c r="M14" i="1528"/>
  <c r="K14" i="1528"/>
  <c r="AF13" i="1528"/>
  <c r="AC13" i="1528"/>
  <c r="AB13" i="1528"/>
  <c r="Q13" i="1528"/>
  <c r="P13" i="1528"/>
  <c r="O13" i="1528"/>
  <c r="M13" i="1528"/>
  <c r="K13" i="1528"/>
  <c r="AF12" i="1528"/>
  <c r="AB12" i="1528"/>
  <c r="Q12" i="1528"/>
  <c r="P12" i="1528"/>
  <c r="AC12" i="1528" s="1"/>
  <c r="O12" i="1528"/>
  <c r="M12" i="1528"/>
  <c r="K12" i="1528"/>
  <c r="AF11" i="1528"/>
  <c r="AB11" i="1528"/>
  <c r="Q11" i="1528"/>
  <c r="P11" i="1528"/>
  <c r="AC11" i="1528" s="1"/>
  <c r="O11" i="1528"/>
  <c r="M11" i="1528"/>
  <c r="AF10" i="1528"/>
  <c r="Q10" i="1528"/>
  <c r="P10" i="1528" s="1"/>
  <c r="AC10" i="1528" s="1"/>
  <c r="O10" i="1528"/>
  <c r="K10" i="1528"/>
  <c r="AF9" i="1528"/>
  <c r="Q9" i="1528"/>
  <c r="O9" i="1528"/>
  <c r="AF8" i="1528"/>
  <c r="AB8" i="1528"/>
  <c r="Q8" i="1528"/>
  <c r="P8" i="1528"/>
  <c r="AC8" i="1528" s="1"/>
  <c r="O8" i="1528"/>
  <c r="M8" i="1528"/>
  <c r="AF7" i="1528"/>
  <c r="AC7" i="1528"/>
  <c r="AD7" i="1528" s="1"/>
  <c r="AB7" i="1528"/>
  <c r="Q7" i="1528"/>
  <c r="P7" i="1528"/>
  <c r="O7" i="1528"/>
  <c r="M7" i="1528"/>
  <c r="K7" i="1528"/>
  <c r="AF6" i="1528"/>
  <c r="AC6" i="1528"/>
  <c r="AB6" i="1528"/>
  <c r="Q6" i="1528"/>
  <c r="P6" i="1528"/>
  <c r="O6" i="1528"/>
  <c r="M6" i="1528"/>
  <c r="K6" i="1528"/>
  <c r="AE18" i="1532" l="1"/>
  <c r="AE9" i="1532"/>
  <c r="AE8" i="1532"/>
  <c r="AE17" i="1532"/>
  <c r="AE16" i="1532"/>
  <c r="AE19" i="1532"/>
  <c r="AE10" i="1532"/>
  <c r="AE11" i="1532"/>
  <c r="AE12" i="1532"/>
  <c r="AE20" i="1532"/>
  <c r="AE13" i="1532"/>
  <c r="AE6" i="1532"/>
  <c r="AE14" i="1532"/>
  <c r="AE7" i="1532"/>
  <c r="P21" i="1531"/>
  <c r="AD10" i="1531"/>
  <c r="AD6" i="1531"/>
  <c r="AC21" i="1531"/>
  <c r="AD12" i="1530"/>
  <c r="AD19" i="1530"/>
  <c r="AD10" i="1530"/>
  <c r="AD8" i="1530"/>
  <c r="AB21" i="1530"/>
  <c r="M21" i="1530"/>
  <c r="AC21" i="1530"/>
  <c r="P21" i="1530"/>
  <c r="AD9" i="1529"/>
  <c r="AD18" i="1529"/>
  <c r="AB22" i="1529"/>
  <c r="M22" i="1529"/>
  <c r="AD8" i="1529"/>
  <c r="AD17" i="1529"/>
  <c r="P22" i="1529"/>
  <c r="AD10" i="1529"/>
  <c r="AC22" i="1529"/>
  <c r="AD6" i="1529"/>
  <c r="M10" i="1528"/>
  <c r="Q21" i="1528"/>
  <c r="P9" i="1528"/>
  <c r="AC9" i="1528" s="1"/>
  <c r="AD9" i="1528" s="1"/>
  <c r="K9" i="1528"/>
  <c r="K21" i="1528" s="1"/>
  <c r="L21" i="1528"/>
  <c r="O21" i="1528" s="1"/>
  <c r="AD15" i="1528"/>
  <c r="AD10" i="1528"/>
  <c r="AD8" i="1528"/>
  <c r="AD16" i="1528"/>
  <c r="AD11" i="1528"/>
  <c r="AD14" i="1528"/>
  <c r="AD12" i="1528"/>
  <c r="AD13" i="1528"/>
  <c r="AD18" i="1528"/>
  <c r="AD19" i="1528"/>
  <c r="M9" i="1528"/>
  <c r="P17" i="1528"/>
  <c r="AC17" i="1528" s="1"/>
  <c r="M19" i="1528"/>
  <c r="AD6" i="1528"/>
  <c r="M17" i="1528"/>
  <c r="AB17" i="1528"/>
  <c r="AB21" i="1528" s="1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19" i="1527"/>
  <c r="L18" i="1527"/>
  <c r="L17" i="1527"/>
  <c r="K17" i="1527"/>
  <c r="L11" i="1527"/>
  <c r="K11" i="1527" s="1"/>
  <c r="L9" i="1527"/>
  <c r="AB9" i="1527" s="1"/>
  <c r="L8" i="1527"/>
  <c r="K19" i="1527"/>
  <c r="K12" i="1527"/>
  <c r="K9" i="1527"/>
  <c r="K8" i="1527"/>
  <c r="A74" i="1527"/>
  <c r="A75" i="1527" s="1"/>
  <c r="A76" i="1527" s="1"/>
  <c r="A77" i="1527" s="1"/>
  <c r="A78" i="1527" s="1"/>
  <c r="A79" i="1527" s="1"/>
  <c r="A80" i="1527" s="1"/>
  <c r="A81" i="1527" s="1"/>
  <c r="AF60" i="1527"/>
  <c r="AF62" i="1527" s="1"/>
  <c r="AF59" i="1527"/>
  <c r="AA21" i="1527"/>
  <c r="Z21" i="1527"/>
  <c r="Y21" i="1527"/>
  <c r="X21" i="1527"/>
  <c r="W21" i="1527"/>
  <c r="V21" i="1527"/>
  <c r="U21" i="1527"/>
  <c r="T21" i="1527"/>
  <c r="S21" i="1527"/>
  <c r="R21" i="1527"/>
  <c r="N21" i="1527"/>
  <c r="J21" i="1527"/>
  <c r="I21" i="1527"/>
  <c r="AF20" i="1527"/>
  <c r="AC20" i="1527"/>
  <c r="AD20" i="1527" s="1"/>
  <c r="AB20" i="1527"/>
  <c r="Q20" i="1527"/>
  <c r="P20" i="1527"/>
  <c r="O20" i="1527"/>
  <c r="M20" i="1527"/>
  <c r="K20" i="1527"/>
  <c r="AF19" i="1527"/>
  <c r="AB19" i="1527"/>
  <c r="Q19" i="1527"/>
  <c r="O19" i="1527"/>
  <c r="M19" i="1527"/>
  <c r="AF18" i="1527"/>
  <c r="AB18" i="1527"/>
  <c r="Q18" i="1527"/>
  <c r="O18" i="1527"/>
  <c r="M18" i="1527"/>
  <c r="AF17" i="1527"/>
  <c r="AB17" i="1527"/>
  <c r="Q17" i="1527"/>
  <c r="P17" i="1527" s="1"/>
  <c r="AC17" i="1527" s="1"/>
  <c r="O17" i="1527"/>
  <c r="M17" i="1527"/>
  <c r="AF16" i="1527"/>
  <c r="AC16" i="1527"/>
  <c r="AB16" i="1527"/>
  <c r="Q16" i="1527"/>
  <c r="P16" i="1527"/>
  <c r="O16" i="1527"/>
  <c r="M16" i="1527"/>
  <c r="K16" i="1527"/>
  <c r="AF15" i="1527"/>
  <c r="AC15" i="1527"/>
  <c r="AB15" i="1527"/>
  <c r="Q15" i="1527"/>
  <c r="P15" i="1527"/>
  <c r="O15" i="1527"/>
  <c r="M15" i="1527"/>
  <c r="K15" i="1527"/>
  <c r="AF14" i="1527"/>
  <c r="AC14" i="1527"/>
  <c r="AB14" i="1527"/>
  <c r="Q14" i="1527"/>
  <c r="P14" i="1527"/>
  <c r="O14" i="1527"/>
  <c r="M14" i="1527"/>
  <c r="K14" i="1527"/>
  <c r="AF13" i="1527"/>
  <c r="AC13" i="1527"/>
  <c r="AB13" i="1527"/>
  <c r="Q13" i="1527"/>
  <c r="P13" i="1527"/>
  <c r="O13" i="1527"/>
  <c r="M13" i="1527"/>
  <c r="K13" i="1527"/>
  <c r="AF12" i="1527"/>
  <c r="AC12" i="1527"/>
  <c r="AB12" i="1527"/>
  <c r="Q12" i="1527"/>
  <c r="P12" i="1527"/>
  <c r="O12" i="1527"/>
  <c r="M12" i="1527"/>
  <c r="AF11" i="1527"/>
  <c r="Q11" i="1527"/>
  <c r="AF10" i="1527"/>
  <c r="AB10" i="1527"/>
  <c r="Q10" i="1527"/>
  <c r="P10" i="1527"/>
  <c r="AC10" i="1527" s="1"/>
  <c r="O10" i="1527"/>
  <c r="M10" i="1527"/>
  <c r="K10" i="1527"/>
  <c r="AF9" i="1527"/>
  <c r="Q9" i="1527"/>
  <c r="P9" i="1527" s="1"/>
  <c r="AC9" i="1527" s="1"/>
  <c r="O9" i="1527"/>
  <c r="AF8" i="1527"/>
  <c r="Q8" i="1527"/>
  <c r="P8" i="1527" s="1"/>
  <c r="AC8" i="1527" s="1"/>
  <c r="AF7" i="1527"/>
  <c r="AC7" i="1527"/>
  <c r="AD7" i="1527" s="1"/>
  <c r="AB7" i="1527"/>
  <c r="Q7" i="1527"/>
  <c r="P7" i="1527"/>
  <c r="O7" i="1527"/>
  <c r="M7" i="1527"/>
  <c r="K7" i="1527"/>
  <c r="AF6" i="1527"/>
  <c r="AC6" i="1527"/>
  <c r="AB6" i="1527"/>
  <c r="Q6" i="1527"/>
  <c r="P6" i="1527"/>
  <c r="O6" i="1527"/>
  <c r="M6" i="1527"/>
  <c r="K6" i="1527"/>
  <c r="AD21" i="1531" l="1"/>
  <c r="AD21" i="1530"/>
  <c r="AE17" i="1530" s="1"/>
  <c r="AE14" i="1530"/>
  <c r="AD22" i="1529"/>
  <c r="AE19" i="1529" s="1"/>
  <c r="M21" i="1528"/>
  <c r="P21" i="1528"/>
  <c r="AD17" i="1528"/>
  <c r="AD21" i="1528" s="1"/>
  <c r="AC21" i="1528"/>
  <c r="P19" i="1527"/>
  <c r="AC19" i="1527" s="1"/>
  <c r="P18" i="1527"/>
  <c r="AC18" i="1527" s="1"/>
  <c r="K18" i="1527"/>
  <c r="K21" i="1527" s="1"/>
  <c r="AD17" i="1527"/>
  <c r="L21" i="1527"/>
  <c r="O21" i="1527" s="1"/>
  <c r="AB11" i="1527"/>
  <c r="M9" i="1527"/>
  <c r="Q21" i="1527"/>
  <c r="AD9" i="1527"/>
  <c r="AD18" i="1527"/>
  <c r="AD10" i="1527"/>
  <c r="AD13" i="1527"/>
  <c r="AD15" i="1527"/>
  <c r="AD19" i="1527"/>
  <c r="AD12" i="1527"/>
  <c r="AD14" i="1527"/>
  <c r="AD16" i="1527"/>
  <c r="M21" i="1527"/>
  <c r="AB8" i="1527"/>
  <c r="M11" i="1527"/>
  <c r="M8" i="1527"/>
  <c r="O11" i="1527"/>
  <c r="AD6" i="1527"/>
  <c r="O8" i="1527"/>
  <c r="P11" i="1527"/>
  <c r="AC11" i="1527" s="1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18" i="1526"/>
  <c r="K18" i="1526" s="1"/>
  <c r="K13" i="1526"/>
  <c r="L11" i="1526"/>
  <c r="L8" i="1526"/>
  <c r="K19" i="1526"/>
  <c r="K17" i="1526"/>
  <c r="K12" i="1526"/>
  <c r="K11" i="1526"/>
  <c r="K9" i="1526"/>
  <c r="K8" i="1526"/>
  <c r="A76" i="1526"/>
  <c r="A77" i="1526" s="1"/>
  <c r="A78" i="1526" s="1"/>
  <c r="A79" i="1526" s="1"/>
  <c r="A80" i="1526" s="1"/>
  <c r="A81" i="1526" s="1"/>
  <c r="A75" i="1526"/>
  <c r="A74" i="1526"/>
  <c r="AF60" i="1526"/>
  <c r="AF59" i="1526"/>
  <c r="AF62" i="1526" s="1"/>
  <c r="AA21" i="1526"/>
  <c r="Z21" i="1526"/>
  <c r="Y21" i="1526"/>
  <c r="X21" i="1526"/>
  <c r="W21" i="1526"/>
  <c r="V21" i="1526"/>
  <c r="U21" i="1526"/>
  <c r="T21" i="1526"/>
  <c r="S21" i="1526"/>
  <c r="R21" i="1526"/>
  <c r="N21" i="1526"/>
  <c r="J21" i="1526"/>
  <c r="I21" i="1526"/>
  <c r="AF20" i="1526"/>
  <c r="AB20" i="1526"/>
  <c r="Q20" i="1526"/>
  <c r="P20" i="1526"/>
  <c r="AC20" i="1526" s="1"/>
  <c r="AD20" i="1526" s="1"/>
  <c r="O20" i="1526"/>
  <c r="M20" i="1526"/>
  <c r="K20" i="1526"/>
  <c r="AF19" i="1526"/>
  <c r="Q19" i="1526"/>
  <c r="P19" i="1526" s="1"/>
  <c r="AC19" i="1526" s="1"/>
  <c r="O19" i="1526"/>
  <c r="AB19" i="1526"/>
  <c r="AF18" i="1526"/>
  <c r="AB18" i="1526"/>
  <c r="Q18" i="1526"/>
  <c r="P18" i="1526" s="1"/>
  <c r="AC18" i="1526" s="1"/>
  <c r="O18" i="1526"/>
  <c r="M18" i="1526"/>
  <c r="AF17" i="1526"/>
  <c r="AB17" i="1526"/>
  <c r="Q17" i="1526"/>
  <c r="M17" i="1526"/>
  <c r="O17" i="1526"/>
  <c r="AF16" i="1526"/>
  <c r="AB16" i="1526"/>
  <c r="Q16" i="1526"/>
  <c r="P16" i="1526"/>
  <c r="AC16" i="1526" s="1"/>
  <c r="O16" i="1526"/>
  <c r="M16" i="1526"/>
  <c r="K16" i="1526"/>
  <c r="AF15" i="1526"/>
  <c r="AC15" i="1526"/>
  <c r="AB15" i="1526"/>
  <c r="Q15" i="1526"/>
  <c r="P15" i="1526"/>
  <c r="O15" i="1526"/>
  <c r="M15" i="1526"/>
  <c r="K15" i="1526"/>
  <c r="AF14" i="1526"/>
  <c r="AB14" i="1526"/>
  <c r="Q14" i="1526"/>
  <c r="P14" i="1526"/>
  <c r="AC14" i="1526" s="1"/>
  <c r="O14" i="1526"/>
  <c r="M14" i="1526"/>
  <c r="K14" i="1526"/>
  <c r="AF13" i="1526"/>
  <c r="AB13" i="1526"/>
  <c r="Q13" i="1526"/>
  <c r="P13" i="1526"/>
  <c r="AC13" i="1526" s="1"/>
  <c r="O13" i="1526"/>
  <c r="M13" i="1526"/>
  <c r="AF12" i="1526"/>
  <c r="Q12" i="1526"/>
  <c r="AB12" i="1526"/>
  <c r="AF11" i="1526"/>
  <c r="Q11" i="1526"/>
  <c r="O11" i="1526"/>
  <c r="AB11" i="1526"/>
  <c r="AF10" i="1526"/>
  <c r="AB10" i="1526"/>
  <c r="Q10" i="1526"/>
  <c r="P10" i="1526"/>
  <c r="AC10" i="1526" s="1"/>
  <c r="AD10" i="1526" s="1"/>
  <c r="O10" i="1526"/>
  <c r="M10" i="1526"/>
  <c r="K10" i="1526"/>
  <c r="AF9" i="1526"/>
  <c r="Q9" i="1526"/>
  <c r="AB9" i="1526"/>
  <c r="AF8" i="1526"/>
  <c r="Q8" i="1526"/>
  <c r="P8" i="1526" s="1"/>
  <c r="AC8" i="1526" s="1"/>
  <c r="O8" i="1526"/>
  <c r="L21" i="1526"/>
  <c r="O21" i="1526" s="1"/>
  <c r="AF7" i="1526"/>
  <c r="AC7" i="1526"/>
  <c r="AD7" i="1526" s="1"/>
  <c r="AB7" i="1526"/>
  <c r="Q7" i="1526"/>
  <c r="P7" i="1526"/>
  <c r="O7" i="1526"/>
  <c r="M7" i="1526"/>
  <c r="K7" i="1526"/>
  <c r="AF6" i="1526"/>
  <c r="AB6" i="1526"/>
  <c r="Q6" i="1526"/>
  <c r="P6" i="1526"/>
  <c r="O6" i="1526"/>
  <c r="M6" i="1526"/>
  <c r="K6" i="1526"/>
  <c r="AE9" i="1531" l="1"/>
  <c r="O18" i="16"/>
  <c r="AE17" i="1531"/>
  <c r="AE7" i="1531"/>
  <c r="AE11" i="1531"/>
  <c r="AE10" i="1531"/>
  <c r="AE14" i="1531"/>
  <c r="AE6" i="1531"/>
  <c r="AE18" i="1531"/>
  <c r="AE15" i="1531"/>
  <c r="AE13" i="1531"/>
  <c r="AE16" i="1531"/>
  <c r="AE19" i="1531"/>
  <c r="AE8" i="1531"/>
  <c r="AE12" i="1531"/>
  <c r="AE20" i="1531"/>
  <c r="AE10" i="1530"/>
  <c r="AE9" i="1530"/>
  <c r="AE15" i="1530"/>
  <c r="AE20" i="1530"/>
  <c r="AE7" i="1530"/>
  <c r="AE12" i="1530"/>
  <c r="AE19" i="1530"/>
  <c r="AE16" i="1530"/>
  <c r="AE8" i="1530"/>
  <c r="AE13" i="1530"/>
  <c r="AE11" i="1530"/>
  <c r="AE18" i="1530"/>
  <c r="AE6" i="1530"/>
  <c r="AE20" i="1529"/>
  <c r="AE11" i="1529"/>
  <c r="AE8" i="1529"/>
  <c r="AE10" i="1529"/>
  <c r="AE16" i="1529"/>
  <c r="AE14" i="1529"/>
  <c r="AE12" i="1529"/>
  <c r="AE9" i="1529"/>
  <c r="AE6" i="1529"/>
  <c r="AE18" i="1529"/>
  <c r="AE15" i="1529"/>
  <c r="AE13" i="1529"/>
  <c r="AE7" i="1529"/>
  <c r="AE21" i="1529"/>
  <c r="AE17" i="1529"/>
  <c r="AE19" i="1528"/>
  <c r="AE6" i="1528"/>
  <c r="AE14" i="1528"/>
  <c r="AE16" i="1528"/>
  <c r="AE17" i="1528"/>
  <c r="AE7" i="1528"/>
  <c r="AE20" i="1528"/>
  <c r="AE18" i="1528"/>
  <c r="AE15" i="1528"/>
  <c r="AE13" i="1528"/>
  <c r="AE11" i="1528"/>
  <c r="AE8" i="1528"/>
  <c r="AE9" i="1528"/>
  <c r="AE12" i="1528"/>
  <c r="AE10" i="1528"/>
  <c r="AB21" i="1527"/>
  <c r="AD11" i="1527"/>
  <c r="AD8" i="1527"/>
  <c r="AD21" i="1527" s="1"/>
  <c r="AC21" i="1527"/>
  <c r="P21" i="1527"/>
  <c r="P11" i="1526"/>
  <c r="AC11" i="1526" s="1"/>
  <c r="AD11" i="1526" s="1"/>
  <c r="Q21" i="1526"/>
  <c r="AD18" i="1526"/>
  <c r="AD15" i="1526"/>
  <c r="AD13" i="1526"/>
  <c r="AD16" i="1526"/>
  <c r="AD14" i="1526"/>
  <c r="AD19" i="1526"/>
  <c r="AC6" i="1526"/>
  <c r="M8" i="1526"/>
  <c r="AB8" i="1526"/>
  <c r="AD8" i="1526" s="1"/>
  <c r="O9" i="1526"/>
  <c r="M11" i="1526"/>
  <c r="O12" i="1526"/>
  <c r="P17" i="1526"/>
  <c r="AC17" i="1526" s="1"/>
  <c r="AD17" i="1526" s="1"/>
  <c r="M19" i="1526"/>
  <c r="K21" i="1526"/>
  <c r="P9" i="1526"/>
  <c r="AC9" i="1526" s="1"/>
  <c r="P12" i="1526"/>
  <c r="AC12" i="1526" s="1"/>
  <c r="M9" i="1526"/>
  <c r="M12" i="1526"/>
  <c r="AE19" i="1527" l="1"/>
  <c r="AE8" i="1527"/>
  <c r="AE11" i="1527"/>
  <c r="AE15" i="1527"/>
  <c r="AE20" i="1527"/>
  <c r="AE18" i="1527"/>
  <c r="AE9" i="1527"/>
  <c r="AE12" i="1527"/>
  <c r="AE7" i="1527"/>
  <c r="AE16" i="1527"/>
  <c r="AE14" i="1527"/>
  <c r="AE10" i="1527"/>
  <c r="AE17" i="1527"/>
  <c r="AE13" i="1527"/>
  <c r="AE6" i="1527"/>
  <c r="AD9" i="1526"/>
  <c r="M21" i="1526"/>
  <c r="AB21" i="1526"/>
  <c r="AD12" i="1526"/>
  <c r="AC21" i="1526"/>
  <c r="AD6" i="1526"/>
  <c r="P21" i="1526"/>
  <c r="AD21" i="1526" l="1"/>
  <c r="AE19" i="1526" l="1"/>
  <c r="AE11" i="1526"/>
  <c r="AE8" i="1526"/>
  <c r="AE14" i="1526"/>
  <c r="AE20" i="1526"/>
  <c r="AE17" i="1526"/>
  <c r="AE18" i="1526"/>
  <c r="AE15" i="1526"/>
  <c r="AE13" i="1526"/>
  <c r="AE10" i="1526"/>
  <c r="AE7" i="1526"/>
  <c r="AE16" i="1526"/>
  <c r="AE12" i="1526"/>
  <c r="AE9" i="1526"/>
  <c r="AE6" i="1526"/>
  <c r="H18" i="16" l="1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19" i="1525"/>
  <c r="L18" i="1525"/>
  <c r="L17" i="1525"/>
  <c r="O17" i="1525" s="1"/>
  <c r="K17" i="1525"/>
  <c r="K13" i="1525"/>
  <c r="L12" i="1525"/>
  <c r="M12" i="1525" s="1"/>
  <c r="L11" i="1525"/>
  <c r="K11" i="1525" s="1"/>
  <c r="L9" i="1525"/>
  <c r="K9" i="1525" s="1"/>
  <c r="L8" i="1525"/>
  <c r="M8" i="1525" s="1"/>
  <c r="K18" i="1525"/>
  <c r="K10" i="1525"/>
  <c r="A75" i="1525"/>
  <c r="A76" i="1525" s="1"/>
  <c r="A77" i="1525" s="1"/>
  <c r="A78" i="1525" s="1"/>
  <c r="A79" i="1525" s="1"/>
  <c r="A80" i="1525" s="1"/>
  <c r="A81" i="1525" s="1"/>
  <c r="A74" i="1525"/>
  <c r="AF60" i="1525"/>
  <c r="AF59" i="1525"/>
  <c r="AF62" i="1525" s="1"/>
  <c r="AA21" i="1525"/>
  <c r="Z21" i="1525"/>
  <c r="Y21" i="1525"/>
  <c r="X21" i="1525"/>
  <c r="W21" i="1525"/>
  <c r="V21" i="1525"/>
  <c r="U21" i="1525"/>
  <c r="T21" i="1525"/>
  <c r="S21" i="1525"/>
  <c r="R21" i="1525"/>
  <c r="N21" i="1525"/>
  <c r="J21" i="1525"/>
  <c r="I21" i="1525"/>
  <c r="AF20" i="1525"/>
  <c r="AC20" i="1525"/>
  <c r="AB20" i="1525"/>
  <c r="Q20" i="1525"/>
  <c r="P20" i="1525"/>
  <c r="O20" i="1525"/>
  <c r="M20" i="1525"/>
  <c r="K20" i="1525"/>
  <c r="AF19" i="1525"/>
  <c r="AB19" i="1525"/>
  <c r="Q19" i="1525"/>
  <c r="P19" i="1525" s="1"/>
  <c r="AC19" i="1525" s="1"/>
  <c r="O19" i="1525"/>
  <c r="M19" i="1525"/>
  <c r="K19" i="1525"/>
  <c r="AF18" i="1525"/>
  <c r="Q18" i="1525"/>
  <c r="M18" i="1525"/>
  <c r="AF17" i="1525"/>
  <c r="Q17" i="1525"/>
  <c r="P17" i="1525"/>
  <c r="AC17" i="1525" s="1"/>
  <c r="AF16" i="1525"/>
  <c r="AB16" i="1525"/>
  <c r="Q16" i="1525"/>
  <c r="P16" i="1525"/>
  <c r="AC16" i="1525" s="1"/>
  <c r="AD16" i="1525" s="1"/>
  <c r="O16" i="1525"/>
  <c r="M16" i="1525"/>
  <c r="K16" i="1525"/>
  <c r="AF15" i="1525"/>
  <c r="AB15" i="1525"/>
  <c r="Q15" i="1525"/>
  <c r="P15" i="1525"/>
  <c r="AC15" i="1525" s="1"/>
  <c r="O15" i="1525"/>
  <c r="M15" i="1525"/>
  <c r="K15" i="1525"/>
  <c r="AF14" i="1525"/>
  <c r="AB14" i="1525"/>
  <c r="Q14" i="1525"/>
  <c r="P14" i="1525"/>
  <c r="AC14" i="1525" s="1"/>
  <c r="O14" i="1525"/>
  <c r="M14" i="1525"/>
  <c r="K14" i="1525"/>
  <c r="AF13" i="1525"/>
  <c r="AB13" i="1525"/>
  <c r="Q13" i="1525"/>
  <c r="P13" i="1525" s="1"/>
  <c r="AC13" i="1525" s="1"/>
  <c r="O13" i="1525"/>
  <c r="M13" i="1525"/>
  <c r="AF12" i="1525"/>
  <c r="Q12" i="1525"/>
  <c r="O12" i="1525"/>
  <c r="AF11" i="1525"/>
  <c r="Q11" i="1525"/>
  <c r="AB11" i="1525"/>
  <c r="AF10" i="1525"/>
  <c r="Q10" i="1525"/>
  <c r="P10" i="1525"/>
  <c r="AC10" i="1525" s="1"/>
  <c r="AB10" i="1525"/>
  <c r="AF9" i="1525"/>
  <c r="Q9" i="1525"/>
  <c r="O9" i="1525"/>
  <c r="AF8" i="1525"/>
  <c r="Q8" i="1525"/>
  <c r="O8" i="1525"/>
  <c r="AF7" i="1525"/>
  <c r="AB7" i="1525"/>
  <c r="Q7" i="1525"/>
  <c r="P7" i="1525"/>
  <c r="AC7" i="1525" s="1"/>
  <c r="O7" i="1525"/>
  <c r="M7" i="1525"/>
  <c r="K7" i="1525"/>
  <c r="AF6" i="1525"/>
  <c r="AC6" i="1525"/>
  <c r="AB6" i="1525"/>
  <c r="Q6" i="1525"/>
  <c r="P6" i="1525"/>
  <c r="O6" i="1525"/>
  <c r="M6" i="1525"/>
  <c r="K6" i="1525"/>
  <c r="L21" i="1525" l="1"/>
  <c r="O21" i="1525" s="1"/>
  <c r="AD20" i="1525"/>
  <c r="K12" i="1525"/>
  <c r="AD7" i="1525"/>
  <c r="K8" i="1525"/>
  <c r="AB8" i="1525"/>
  <c r="P9" i="1525"/>
  <c r="AC9" i="1525" s="1"/>
  <c r="AB12" i="1525"/>
  <c r="AD19" i="1525"/>
  <c r="P12" i="1525"/>
  <c r="AC12" i="1525" s="1"/>
  <c r="P8" i="1525"/>
  <c r="AC8" i="1525" s="1"/>
  <c r="AD8" i="1525" s="1"/>
  <c r="Q21" i="1525"/>
  <c r="AD14" i="1525"/>
  <c r="AD15" i="1525"/>
  <c r="AD13" i="1525"/>
  <c r="M11" i="1525"/>
  <c r="AB18" i="1525"/>
  <c r="M10" i="1525"/>
  <c r="O11" i="1525"/>
  <c r="M17" i="1525"/>
  <c r="AB17" i="1525"/>
  <c r="AD17" i="1525" s="1"/>
  <c r="O18" i="1525"/>
  <c r="M9" i="1525"/>
  <c r="AB9" i="1525"/>
  <c r="O10" i="1525"/>
  <c r="AD10" i="1525" s="1"/>
  <c r="K21" i="1525"/>
  <c r="P11" i="1525"/>
  <c r="AC11" i="1525" s="1"/>
  <c r="P18" i="1525"/>
  <c r="AC18" i="1525" s="1"/>
  <c r="AD6" i="1525"/>
  <c r="L19" i="1524"/>
  <c r="L18" i="1524"/>
  <c r="L14" i="1524"/>
  <c r="K14" i="1524"/>
  <c r="AF14" i="1524"/>
  <c r="AB14" i="1524"/>
  <c r="Q14" i="1524"/>
  <c r="P14" i="1524" s="1"/>
  <c r="AC14" i="1524" s="1"/>
  <c r="O14" i="1524"/>
  <c r="M14" i="1524"/>
  <c r="L12" i="1524"/>
  <c r="L11" i="1524"/>
  <c r="K11" i="1524" s="1"/>
  <c r="L10" i="1524"/>
  <c r="K10" i="1524"/>
  <c r="L9" i="1524"/>
  <c r="K9" i="1524" s="1"/>
  <c r="K8" i="1524"/>
  <c r="K20" i="1524"/>
  <c r="K19" i="1524"/>
  <c r="K18" i="1524"/>
  <c r="K15" i="1524"/>
  <c r="K13" i="1524"/>
  <c r="A75" i="1524"/>
  <c r="A76" i="1524" s="1"/>
  <c r="A77" i="1524" s="1"/>
  <c r="A78" i="1524" s="1"/>
  <c r="A79" i="1524" s="1"/>
  <c r="A80" i="1524" s="1"/>
  <c r="A81" i="1524" s="1"/>
  <c r="A82" i="1524" s="1"/>
  <c r="AF63" i="1524"/>
  <c r="AF61" i="1524"/>
  <c r="AF60" i="1524"/>
  <c r="AA22" i="1524"/>
  <c r="Z22" i="1524"/>
  <c r="Y22" i="1524"/>
  <c r="X22" i="1524"/>
  <c r="W22" i="1524"/>
  <c r="V22" i="1524"/>
  <c r="U22" i="1524"/>
  <c r="T22" i="1524"/>
  <c r="S22" i="1524"/>
  <c r="R22" i="1524"/>
  <c r="N22" i="1524"/>
  <c r="J22" i="1524"/>
  <c r="I22" i="1524"/>
  <c r="AF21" i="1524"/>
  <c r="AB21" i="1524"/>
  <c r="Q21" i="1524"/>
  <c r="P21" i="1524"/>
  <c r="AC21" i="1524" s="1"/>
  <c r="AD21" i="1524" s="1"/>
  <c r="O21" i="1524"/>
  <c r="M21" i="1524"/>
  <c r="K21" i="1524"/>
  <c r="AF20" i="1524"/>
  <c r="AB20" i="1524"/>
  <c r="Q20" i="1524"/>
  <c r="P20" i="1524" s="1"/>
  <c r="AC20" i="1524" s="1"/>
  <c r="O20" i="1524"/>
  <c r="M20" i="1524"/>
  <c r="AF19" i="1524"/>
  <c r="Q19" i="1524"/>
  <c r="P19" i="1524"/>
  <c r="AC19" i="1524" s="1"/>
  <c r="O19" i="1524"/>
  <c r="M19" i="1524"/>
  <c r="AB19" i="1524"/>
  <c r="AF18" i="1524"/>
  <c r="AB18" i="1524"/>
  <c r="Q18" i="1524"/>
  <c r="O18" i="1524"/>
  <c r="M18" i="1524"/>
  <c r="P18" i="1524"/>
  <c r="AC18" i="1524" s="1"/>
  <c r="AF17" i="1524"/>
  <c r="AB17" i="1524"/>
  <c r="Q17" i="1524"/>
  <c r="P17" i="1524"/>
  <c r="AC17" i="1524" s="1"/>
  <c r="O17" i="1524"/>
  <c r="M17" i="1524"/>
  <c r="K17" i="1524"/>
  <c r="AF16" i="1524"/>
  <c r="AC16" i="1524"/>
  <c r="AB16" i="1524"/>
  <c r="Q16" i="1524"/>
  <c r="P16" i="1524"/>
  <c r="O16" i="1524"/>
  <c r="M16" i="1524"/>
  <c r="K16" i="1524"/>
  <c r="AF15" i="1524"/>
  <c r="AB15" i="1524"/>
  <c r="Q15" i="1524"/>
  <c r="P15" i="1524" s="1"/>
  <c r="AC15" i="1524" s="1"/>
  <c r="O15" i="1524"/>
  <c r="M15" i="1524"/>
  <c r="AF13" i="1524"/>
  <c r="AB13" i="1524"/>
  <c r="Q13" i="1524"/>
  <c r="P13" i="1524" s="1"/>
  <c r="AC13" i="1524" s="1"/>
  <c r="O13" i="1524"/>
  <c r="M13" i="1524"/>
  <c r="AF12" i="1524"/>
  <c r="AB12" i="1524"/>
  <c r="Q12" i="1524"/>
  <c r="P12" i="1524"/>
  <c r="AC12" i="1524" s="1"/>
  <c r="O12" i="1524"/>
  <c r="M12" i="1524"/>
  <c r="K12" i="1524"/>
  <c r="AF11" i="1524"/>
  <c r="AB11" i="1524"/>
  <c r="Q11" i="1524"/>
  <c r="P11" i="1524" s="1"/>
  <c r="AC11" i="1524" s="1"/>
  <c r="O11" i="1524"/>
  <c r="M11" i="1524"/>
  <c r="AF10" i="1524"/>
  <c r="AB10" i="1524"/>
  <c r="Q10" i="1524"/>
  <c r="P10" i="1524" s="1"/>
  <c r="AC10" i="1524" s="1"/>
  <c r="O10" i="1524"/>
  <c r="M10" i="1524"/>
  <c r="AF9" i="1524"/>
  <c r="AB9" i="1524"/>
  <c r="Q9" i="1524"/>
  <c r="O9" i="1524"/>
  <c r="M9" i="1524"/>
  <c r="AF8" i="1524"/>
  <c r="AB8" i="1524"/>
  <c r="Q8" i="1524"/>
  <c r="P8" i="1524"/>
  <c r="AC8" i="1524" s="1"/>
  <c r="O8" i="1524"/>
  <c r="M8" i="1524"/>
  <c r="L22" i="1524"/>
  <c r="O22" i="1524" s="1"/>
  <c r="AF7" i="1524"/>
  <c r="AC7" i="1524"/>
  <c r="AB7" i="1524"/>
  <c r="Q7" i="1524"/>
  <c r="P7" i="1524"/>
  <c r="O7" i="1524"/>
  <c r="M7" i="1524"/>
  <c r="K7" i="1524"/>
  <c r="AF6" i="1524"/>
  <c r="AB6" i="1524"/>
  <c r="Q6" i="1524"/>
  <c r="P6" i="1524"/>
  <c r="O6" i="1524"/>
  <c r="M6" i="1524"/>
  <c r="K6" i="1524"/>
  <c r="AD12" i="1525" l="1"/>
  <c r="AD11" i="1525"/>
  <c r="AB21" i="1525"/>
  <c r="M21" i="1525"/>
  <c r="AD9" i="1525"/>
  <c r="AC21" i="1525"/>
  <c r="AD18" i="1525"/>
  <c r="P21" i="1525"/>
  <c r="AD14" i="1524"/>
  <c r="AD8" i="1524"/>
  <c r="AD7" i="1524"/>
  <c r="AD15" i="1524"/>
  <c r="AD13" i="1524"/>
  <c r="P9" i="1524"/>
  <c r="AC9" i="1524" s="1"/>
  <c r="AD9" i="1524" s="1"/>
  <c r="Q22" i="1524"/>
  <c r="AD12" i="1524"/>
  <c r="AD16" i="1524"/>
  <c r="AD20" i="1524"/>
  <c r="AB22" i="1524"/>
  <c r="AD17" i="1524"/>
  <c r="AD18" i="1524"/>
  <c r="AD19" i="1524"/>
  <c r="M22" i="1524"/>
  <c r="AD10" i="1524"/>
  <c r="AD11" i="1524"/>
  <c r="P22" i="1524"/>
  <c r="K22" i="1524"/>
  <c r="AC6" i="1524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18" i="1523"/>
  <c r="L17" i="1523"/>
  <c r="K17" i="1523"/>
  <c r="L13" i="1523"/>
  <c r="K13" i="1523"/>
  <c r="K11" i="1523"/>
  <c r="L10" i="1523"/>
  <c r="K10" i="1523"/>
  <c r="L8" i="1523"/>
  <c r="K8" i="1523" s="1"/>
  <c r="K20" i="1523"/>
  <c r="K19" i="1523"/>
  <c r="K18" i="1523"/>
  <c r="K14" i="1523"/>
  <c r="K12" i="1523"/>
  <c r="A74" i="1523"/>
  <c r="A75" i="1523" s="1"/>
  <c r="A76" i="1523" s="1"/>
  <c r="A77" i="1523" s="1"/>
  <c r="A78" i="1523" s="1"/>
  <c r="A79" i="1523" s="1"/>
  <c r="A80" i="1523" s="1"/>
  <c r="A81" i="1523" s="1"/>
  <c r="AF60" i="1523"/>
  <c r="AF62" i="1523" s="1"/>
  <c r="AF59" i="1523"/>
  <c r="AA21" i="1523"/>
  <c r="Z21" i="1523"/>
  <c r="Y21" i="1523"/>
  <c r="X21" i="1523"/>
  <c r="W21" i="1523"/>
  <c r="V21" i="1523"/>
  <c r="U21" i="1523"/>
  <c r="T21" i="1523"/>
  <c r="S21" i="1523"/>
  <c r="R21" i="1523"/>
  <c r="N21" i="1523"/>
  <c r="J21" i="1523"/>
  <c r="I21" i="1523"/>
  <c r="AF20" i="1523"/>
  <c r="Q20" i="1523"/>
  <c r="O20" i="1523"/>
  <c r="AF19" i="1523"/>
  <c r="Q19" i="1523"/>
  <c r="AB19" i="1523"/>
  <c r="AF18" i="1523"/>
  <c r="Q18" i="1523"/>
  <c r="P18" i="1523"/>
  <c r="AC18" i="1523" s="1"/>
  <c r="AF17" i="1523"/>
  <c r="Q17" i="1523"/>
  <c r="O17" i="1523"/>
  <c r="M17" i="1523"/>
  <c r="P17" i="1523"/>
  <c r="AC17" i="1523" s="1"/>
  <c r="AF16" i="1523"/>
  <c r="AB16" i="1523"/>
  <c r="Q16" i="1523"/>
  <c r="P16" i="1523"/>
  <c r="AC16" i="1523" s="1"/>
  <c r="O16" i="1523"/>
  <c r="M16" i="1523"/>
  <c r="K16" i="1523"/>
  <c r="AF15" i="1523"/>
  <c r="AB15" i="1523"/>
  <c r="Q15" i="1523"/>
  <c r="P15" i="1523"/>
  <c r="AC15" i="1523" s="1"/>
  <c r="O15" i="1523"/>
  <c r="M15" i="1523"/>
  <c r="K15" i="1523"/>
  <c r="AF14" i="1523"/>
  <c r="AB14" i="1523"/>
  <c r="Q14" i="1523"/>
  <c r="P14" i="1523"/>
  <c r="AC14" i="1523" s="1"/>
  <c r="O14" i="1523"/>
  <c r="M14" i="1523"/>
  <c r="AF13" i="1523"/>
  <c r="Q13" i="1523"/>
  <c r="P13" i="1523"/>
  <c r="AC13" i="1523" s="1"/>
  <c r="AF12" i="1523"/>
  <c r="Q12" i="1523"/>
  <c r="O12" i="1523"/>
  <c r="AF11" i="1523"/>
  <c r="AB11" i="1523"/>
  <c r="Q11" i="1523"/>
  <c r="P11" i="1523" s="1"/>
  <c r="AC11" i="1523" s="1"/>
  <c r="O11" i="1523"/>
  <c r="M11" i="1523"/>
  <c r="AF10" i="1523"/>
  <c r="Q10" i="1523"/>
  <c r="P10" i="1523"/>
  <c r="AC10" i="1523" s="1"/>
  <c r="AF9" i="1523"/>
  <c r="AB9" i="1523"/>
  <c r="Q9" i="1523"/>
  <c r="P9" i="1523"/>
  <c r="AC9" i="1523" s="1"/>
  <c r="O9" i="1523"/>
  <c r="M9" i="1523"/>
  <c r="K9" i="1523"/>
  <c r="AF8" i="1523"/>
  <c r="Q8" i="1523"/>
  <c r="AF7" i="1523"/>
  <c r="AB7" i="1523"/>
  <c r="Q7" i="1523"/>
  <c r="P7" i="1523"/>
  <c r="AC7" i="1523" s="1"/>
  <c r="O7" i="1523"/>
  <c r="M7" i="1523"/>
  <c r="K7" i="1523"/>
  <c r="AF6" i="1523"/>
  <c r="AB6" i="1523"/>
  <c r="Q6" i="1523"/>
  <c r="P6" i="1523"/>
  <c r="O6" i="1523"/>
  <c r="M6" i="1523"/>
  <c r="K6" i="1523"/>
  <c r="AD21" i="1525" l="1"/>
  <c r="AE14" i="1525" s="1"/>
  <c r="AC22" i="1524"/>
  <c r="AD6" i="1524"/>
  <c r="AD22" i="1524" s="1"/>
  <c r="AE14" i="1524" s="1"/>
  <c r="AD7" i="1523"/>
  <c r="L21" i="1523"/>
  <c r="O21" i="1523" s="1"/>
  <c r="Q21" i="1523"/>
  <c r="AD11" i="1523"/>
  <c r="AD16" i="1523"/>
  <c r="AD9" i="1523"/>
  <c r="AD14" i="1523"/>
  <c r="AD15" i="1523"/>
  <c r="AC6" i="1523"/>
  <c r="M8" i="1523"/>
  <c r="AB8" i="1523"/>
  <c r="P12" i="1523"/>
  <c r="AC12" i="1523" s="1"/>
  <c r="M18" i="1523"/>
  <c r="AB18" i="1523"/>
  <c r="O19" i="1523"/>
  <c r="P20" i="1523"/>
  <c r="AC20" i="1523" s="1"/>
  <c r="O8" i="1523"/>
  <c r="M10" i="1523"/>
  <c r="AB10" i="1523"/>
  <c r="M13" i="1523"/>
  <c r="AB13" i="1523"/>
  <c r="AB17" i="1523"/>
  <c r="AD17" i="1523" s="1"/>
  <c r="O18" i="1523"/>
  <c r="P19" i="1523"/>
  <c r="AC19" i="1523" s="1"/>
  <c r="K21" i="1523"/>
  <c r="P8" i="1523"/>
  <c r="AC8" i="1523" s="1"/>
  <c r="O10" i="1523"/>
  <c r="M12" i="1523"/>
  <c r="AB12" i="1523"/>
  <c r="O13" i="1523"/>
  <c r="M20" i="1523"/>
  <c r="AB20" i="1523"/>
  <c r="M19" i="1523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1" i="1522"/>
  <c r="K21" i="1522" s="1"/>
  <c r="L20" i="1522"/>
  <c r="L19" i="1522"/>
  <c r="K19" i="1522" s="1"/>
  <c r="L18" i="1522"/>
  <c r="L14" i="1522"/>
  <c r="K14" i="1522"/>
  <c r="AF14" i="1522"/>
  <c r="AB14" i="1522"/>
  <c r="Q14" i="1522"/>
  <c r="P14" i="1522" s="1"/>
  <c r="AC14" i="1522" s="1"/>
  <c r="M14" i="1522"/>
  <c r="O14" i="1522"/>
  <c r="L13" i="1522"/>
  <c r="K13" i="1522" s="1"/>
  <c r="L12" i="1522"/>
  <c r="M12" i="1522" s="1"/>
  <c r="L10" i="1522"/>
  <c r="K10" i="1522" s="1"/>
  <c r="L8" i="1522"/>
  <c r="K8" i="1522" s="1"/>
  <c r="K18" i="1522"/>
  <c r="K15" i="1522"/>
  <c r="K12" i="1522"/>
  <c r="K11" i="1522"/>
  <c r="K9" i="1522"/>
  <c r="A76" i="1522"/>
  <c r="A77" i="1522" s="1"/>
  <c r="A78" i="1522" s="1"/>
  <c r="A79" i="1522" s="1"/>
  <c r="A80" i="1522" s="1"/>
  <c r="A81" i="1522" s="1"/>
  <c r="A82" i="1522" s="1"/>
  <c r="A75" i="1522"/>
  <c r="AF61" i="1522"/>
  <c r="AF60" i="1522"/>
  <c r="AF63" i="1522" s="1"/>
  <c r="AA22" i="1522"/>
  <c r="Z22" i="1522"/>
  <c r="Y22" i="1522"/>
  <c r="X22" i="1522"/>
  <c r="W22" i="1522"/>
  <c r="V22" i="1522"/>
  <c r="U22" i="1522"/>
  <c r="T22" i="1522"/>
  <c r="S22" i="1522"/>
  <c r="R22" i="1522"/>
  <c r="N22" i="1522"/>
  <c r="J22" i="1522"/>
  <c r="I22" i="1522"/>
  <c r="AF21" i="1522"/>
  <c r="Q21" i="1522"/>
  <c r="O21" i="1522"/>
  <c r="AF20" i="1522"/>
  <c r="AB20" i="1522"/>
  <c r="Q20" i="1522"/>
  <c r="O20" i="1522"/>
  <c r="M20" i="1522"/>
  <c r="K20" i="1522"/>
  <c r="AF19" i="1522"/>
  <c r="AB19" i="1522"/>
  <c r="Q19" i="1522"/>
  <c r="M19" i="1522"/>
  <c r="AF18" i="1522"/>
  <c r="Q18" i="1522"/>
  <c r="O18" i="1522"/>
  <c r="AF17" i="1522"/>
  <c r="AB17" i="1522"/>
  <c r="Q17" i="1522"/>
  <c r="P17" i="1522"/>
  <c r="AC17" i="1522" s="1"/>
  <c r="O17" i="1522"/>
  <c r="M17" i="1522"/>
  <c r="K17" i="1522"/>
  <c r="AF16" i="1522"/>
  <c r="AB16" i="1522"/>
  <c r="Q16" i="1522"/>
  <c r="P16" i="1522"/>
  <c r="AC16" i="1522" s="1"/>
  <c r="O16" i="1522"/>
  <c r="M16" i="1522"/>
  <c r="K16" i="1522"/>
  <c r="AF15" i="1522"/>
  <c r="Q15" i="1522"/>
  <c r="P15" i="1522" s="1"/>
  <c r="AC15" i="1522" s="1"/>
  <c r="O15" i="1522"/>
  <c r="M15" i="1522"/>
  <c r="AB15" i="1522"/>
  <c r="AF13" i="1522"/>
  <c r="AB13" i="1522"/>
  <c r="Q13" i="1522"/>
  <c r="O13" i="1522"/>
  <c r="M13" i="1522"/>
  <c r="P13" i="1522"/>
  <c r="AC13" i="1522" s="1"/>
  <c r="AF12" i="1522"/>
  <c r="AB12" i="1522"/>
  <c r="Q12" i="1522"/>
  <c r="P12" i="1522"/>
  <c r="AC12" i="1522" s="1"/>
  <c r="AF11" i="1522"/>
  <c r="AB11" i="1522"/>
  <c r="Q11" i="1522"/>
  <c r="P11" i="1522" s="1"/>
  <c r="AC11" i="1522" s="1"/>
  <c r="O11" i="1522"/>
  <c r="M11" i="1522"/>
  <c r="AF10" i="1522"/>
  <c r="Q10" i="1522"/>
  <c r="P10" i="1522" s="1"/>
  <c r="AC10" i="1522" s="1"/>
  <c r="O10" i="1522"/>
  <c r="AF9" i="1522"/>
  <c r="AB9" i="1522"/>
  <c r="Q9" i="1522"/>
  <c r="M9" i="1522"/>
  <c r="P9" i="1522"/>
  <c r="AC9" i="1522" s="1"/>
  <c r="AF8" i="1522"/>
  <c r="Q8" i="1522"/>
  <c r="AF7" i="1522"/>
  <c r="AB7" i="1522"/>
  <c r="Q7" i="1522"/>
  <c r="P7" i="1522"/>
  <c r="AC7" i="1522" s="1"/>
  <c r="AD7" i="1522" s="1"/>
  <c r="O7" i="1522"/>
  <c r="M7" i="1522"/>
  <c r="K7" i="1522"/>
  <c r="AF6" i="1522"/>
  <c r="AB6" i="1522"/>
  <c r="Q6" i="1522"/>
  <c r="P6" i="1522"/>
  <c r="O6" i="1522"/>
  <c r="M6" i="1522"/>
  <c r="K6" i="1522"/>
  <c r="AE10" i="1525" l="1"/>
  <c r="AE18" i="1525"/>
  <c r="AE6" i="1525"/>
  <c r="AE9" i="1525"/>
  <c r="AE8" i="1525"/>
  <c r="AE20" i="1525"/>
  <c r="AE13" i="1525"/>
  <c r="AE16" i="1525"/>
  <c r="AE12" i="1525"/>
  <c r="AE15" i="1525"/>
  <c r="AE17" i="1525"/>
  <c r="AE19" i="1525"/>
  <c r="AE11" i="1525"/>
  <c r="AE7" i="1525"/>
  <c r="AE20" i="1524"/>
  <c r="AE18" i="1524"/>
  <c r="AE12" i="1524"/>
  <c r="AE10" i="1524"/>
  <c r="AE7" i="1524"/>
  <c r="AE6" i="1524"/>
  <c r="AE15" i="1524"/>
  <c r="AE21" i="1524"/>
  <c r="AE19" i="1524"/>
  <c r="AE16" i="1524"/>
  <c r="AE13" i="1524"/>
  <c r="AE8" i="1524"/>
  <c r="AE17" i="1524"/>
  <c r="AE9" i="1524"/>
  <c r="AE11" i="1524"/>
  <c r="AD13" i="1523"/>
  <c r="AD8" i="1523"/>
  <c r="M21" i="1523"/>
  <c r="AD10" i="1523"/>
  <c r="AD19" i="1523"/>
  <c r="AB21" i="1523"/>
  <c r="AD18" i="1523"/>
  <c r="AD20" i="1523"/>
  <c r="AC21" i="1523"/>
  <c r="AD6" i="1523"/>
  <c r="AD12" i="1523"/>
  <c r="P21" i="1523"/>
  <c r="P20" i="1522"/>
  <c r="AC20" i="1522" s="1"/>
  <c r="P19" i="1522"/>
  <c r="AC19" i="1522" s="1"/>
  <c r="AD14" i="1522"/>
  <c r="AD13" i="1522"/>
  <c r="AD11" i="1522"/>
  <c r="AD10" i="1522"/>
  <c r="AB10" i="1522"/>
  <c r="M10" i="1522"/>
  <c r="Q22" i="1522"/>
  <c r="O8" i="1522"/>
  <c r="AD16" i="1522"/>
  <c r="AD15" i="1522"/>
  <c r="AD20" i="1522"/>
  <c r="AD17" i="1522"/>
  <c r="P8" i="1522"/>
  <c r="AC8" i="1522" s="1"/>
  <c r="P18" i="1522"/>
  <c r="AC18" i="1522" s="1"/>
  <c r="P21" i="1522"/>
  <c r="AC21" i="1522" s="1"/>
  <c r="AC6" i="1522"/>
  <c r="M8" i="1522"/>
  <c r="AB8" i="1522"/>
  <c r="O9" i="1522"/>
  <c r="AD9" i="1522" s="1"/>
  <c r="O12" i="1522"/>
  <c r="AD12" i="1522" s="1"/>
  <c r="M18" i="1522"/>
  <c r="AB18" i="1522"/>
  <c r="O19" i="1522"/>
  <c r="M21" i="1522"/>
  <c r="AB21" i="1522"/>
  <c r="L22" i="1522"/>
  <c r="O22" i="1522" s="1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0" i="1521"/>
  <c r="K20" i="1521" s="1"/>
  <c r="L18" i="1521"/>
  <c r="O18" i="1521" s="1"/>
  <c r="L17" i="1521"/>
  <c r="O17" i="1521" s="1"/>
  <c r="L14" i="1521"/>
  <c r="K14" i="1521" s="1"/>
  <c r="L13" i="1521"/>
  <c r="K13" i="1521" s="1"/>
  <c r="L12" i="1521"/>
  <c r="AB12" i="1521" s="1"/>
  <c r="K11" i="1521"/>
  <c r="L10" i="1521"/>
  <c r="K10" i="1521" s="1"/>
  <c r="L9" i="1521"/>
  <c r="K9" i="1521"/>
  <c r="L8" i="1521"/>
  <c r="K19" i="1521"/>
  <c r="K18" i="1521"/>
  <c r="K8" i="1521"/>
  <c r="A75" i="1521"/>
  <c r="A76" i="1521" s="1"/>
  <c r="A77" i="1521" s="1"/>
  <c r="A78" i="1521" s="1"/>
  <c r="A79" i="1521" s="1"/>
  <c r="A80" i="1521" s="1"/>
  <c r="A81" i="1521" s="1"/>
  <c r="A74" i="1521"/>
  <c r="AF60" i="1521"/>
  <c r="AF59" i="1521"/>
  <c r="AF62" i="1521" s="1"/>
  <c r="AA21" i="1521"/>
  <c r="Z21" i="1521"/>
  <c r="Y21" i="1521"/>
  <c r="X21" i="1521"/>
  <c r="W21" i="1521"/>
  <c r="V21" i="1521"/>
  <c r="U21" i="1521"/>
  <c r="T21" i="1521"/>
  <c r="S21" i="1521"/>
  <c r="R21" i="1521"/>
  <c r="N21" i="1521"/>
  <c r="J21" i="1521"/>
  <c r="I21" i="1521"/>
  <c r="AF20" i="1521"/>
  <c r="Q20" i="1521"/>
  <c r="AF19" i="1521"/>
  <c r="Q19" i="1521"/>
  <c r="P19" i="1521"/>
  <c r="AC19" i="1521" s="1"/>
  <c r="AB19" i="1521"/>
  <c r="AF18" i="1521"/>
  <c r="Q18" i="1521"/>
  <c r="P18" i="1521" s="1"/>
  <c r="AC18" i="1521" s="1"/>
  <c r="AB18" i="1521"/>
  <c r="AF17" i="1521"/>
  <c r="AB17" i="1521"/>
  <c r="Q17" i="1521"/>
  <c r="P17" i="1521"/>
  <c r="AC17" i="1521" s="1"/>
  <c r="M17" i="1521"/>
  <c r="AF16" i="1521"/>
  <c r="AB16" i="1521"/>
  <c r="Q16" i="1521"/>
  <c r="P16" i="1521"/>
  <c r="AC16" i="1521" s="1"/>
  <c r="O16" i="1521"/>
  <c r="M16" i="1521"/>
  <c r="K16" i="1521"/>
  <c r="AF15" i="1521"/>
  <c r="AB15" i="1521"/>
  <c r="Q15" i="1521"/>
  <c r="P15" i="1521"/>
  <c r="AC15" i="1521" s="1"/>
  <c r="AD15" i="1521" s="1"/>
  <c r="O15" i="1521"/>
  <c r="M15" i="1521"/>
  <c r="K15" i="1521"/>
  <c r="AF14" i="1521"/>
  <c r="AB14" i="1521"/>
  <c r="Q14" i="1521"/>
  <c r="M14" i="1521"/>
  <c r="AF13" i="1521"/>
  <c r="Q13" i="1521"/>
  <c r="P13" i="1521"/>
  <c r="AC13" i="1521" s="1"/>
  <c r="O13" i="1521"/>
  <c r="AB13" i="1521"/>
  <c r="AF12" i="1521"/>
  <c r="Q12" i="1521"/>
  <c r="P12" i="1521" s="1"/>
  <c r="AC12" i="1521" s="1"/>
  <c r="O12" i="1521"/>
  <c r="K12" i="1521"/>
  <c r="AF11" i="1521"/>
  <c r="AB11" i="1521"/>
  <c r="Q11" i="1521"/>
  <c r="P11" i="1521" s="1"/>
  <c r="AC11" i="1521" s="1"/>
  <c r="O11" i="1521"/>
  <c r="M11" i="1521"/>
  <c r="AF10" i="1521"/>
  <c r="AB10" i="1521"/>
  <c r="Q10" i="1521"/>
  <c r="O10" i="1521"/>
  <c r="M10" i="1521"/>
  <c r="AF9" i="1521"/>
  <c r="Q9" i="1521"/>
  <c r="O9" i="1521"/>
  <c r="AF8" i="1521"/>
  <c r="Q8" i="1521"/>
  <c r="P8" i="1521" s="1"/>
  <c r="AC8" i="1521" s="1"/>
  <c r="AB8" i="1521"/>
  <c r="AF7" i="1521"/>
  <c r="AC7" i="1521"/>
  <c r="AD7" i="1521" s="1"/>
  <c r="AB7" i="1521"/>
  <c r="Q7" i="1521"/>
  <c r="P7" i="1521"/>
  <c r="O7" i="1521"/>
  <c r="M7" i="1521"/>
  <c r="K7" i="1521"/>
  <c r="AF6" i="1521"/>
  <c r="AC6" i="1521"/>
  <c r="AB6" i="1521"/>
  <c r="Q6" i="1521"/>
  <c r="P6" i="1521"/>
  <c r="O6" i="1521"/>
  <c r="M6" i="1521"/>
  <c r="K6" i="1521"/>
  <c r="AD21" i="1523" l="1"/>
  <c r="AE15" i="1523" s="1"/>
  <c r="AD19" i="1522"/>
  <c r="AB22" i="1522"/>
  <c r="AD18" i="1522"/>
  <c r="M22" i="1522"/>
  <c r="AD21" i="1522"/>
  <c r="AD8" i="1522"/>
  <c r="P22" i="1522"/>
  <c r="K22" i="1522"/>
  <c r="AC22" i="1522"/>
  <c r="AD6" i="1522"/>
  <c r="O20" i="1521"/>
  <c r="K17" i="1521"/>
  <c r="K21" i="1521" s="1"/>
  <c r="AD17" i="1521"/>
  <c r="O14" i="1521"/>
  <c r="P14" i="1521"/>
  <c r="AC14" i="1521" s="1"/>
  <c r="AD14" i="1521" s="1"/>
  <c r="AD12" i="1521"/>
  <c r="M12" i="1521"/>
  <c r="P10" i="1521"/>
  <c r="AC10" i="1521" s="1"/>
  <c r="AD10" i="1521" s="1"/>
  <c r="Q21" i="1521"/>
  <c r="AD11" i="1521"/>
  <c r="AD16" i="1521"/>
  <c r="AD18" i="1521"/>
  <c r="AD13" i="1521"/>
  <c r="M9" i="1521"/>
  <c r="AD6" i="1521"/>
  <c r="O8" i="1521"/>
  <c r="AD8" i="1521" s="1"/>
  <c r="P9" i="1521"/>
  <c r="AC9" i="1521" s="1"/>
  <c r="M13" i="1521"/>
  <c r="M18" i="1521"/>
  <c r="O19" i="1521"/>
  <c r="AD19" i="1521" s="1"/>
  <c r="P20" i="1521"/>
  <c r="AC20" i="1521" s="1"/>
  <c r="AB9" i="1521"/>
  <c r="M20" i="1521"/>
  <c r="AB20" i="1521"/>
  <c r="L21" i="1521"/>
  <c r="O21" i="1521" s="1"/>
  <c r="M8" i="1521"/>
  <c r="M19" i="1521"/>
  <c r="C18" i="16"/>
  <c r="C17" i="16"/>
  <c r="AG17" i="16" s="1"/>
  <c r="C16" i="16"/>
  <c r="AG16" i="16" s="1"/>
  <c r="C15" i="16"/>
  <c r="C14" i="16"/>
  <c r="C13" i="16"/>
  <c r="AG13" i="16" s="1"/>
  <c r="C12" i="16"/>
  <c r="AG12" i="16" s="1"/>
  <c r="C11" i="16"/>
  <c r="C10" i="16"/>
  <c r="C9" i="16"/>
  <c r="AG9" i="16" s="1"/>
  <c r="C8" i="16"/>
  <c r="AG8" i="16" s="1"/>
  <c r="C7" i="16"/>
  <c r="C6" i="16"/>
  <c r="C5" i="16"/>
  <c r="AG5" i="16" s="1"/>
  <c r="C4" i="16"/>
  <c r="AG4" i="16" s="1"/>
  <c r="C3" i="16"/>
  <c r="AG3" i="16" s="1"/>
  <c r="L20" i="1520"/>
  <c r="K20" i="1520" s="1"/>
  <c r="L19" i="1520"/>
  <c r="L18" i="1520"/>
  <c r="K18" i="1520" s="1"/>
  <c r="L17" i="1520"/>
  <c r="K17" i="1520" s="1"/>
  <c r="L13" i="1520"/>
  <c r="K13" i="1520"/>
  <c r="K12" i="1520"/>
  <c r="L10" i="1520"/>
  <c r="K10" i="1520" s="1"/>
  <c r="L9" i="1520"/>
  <c r="K9" i="1520" s="1"/>
  <c r="L8" i="1520"/>
  <c r="AG18" i="16"/>
  <c r="AG15" i="16"/>
  <c r="AG14" i="16"/>
  <c r="AG11" i="16"/>
  <c r="AG10" i="16"/>
  <c r="AG7" i="16"/>
  <c r="AG6" i="16"/>
  <c r="K19" i="1520"/>
  <c r="K14" i="1520"/>
  <c r="K8" i="1520"/>
  <c r="AE13" i="1523" l="1"/>
  <c r="AE11" i="1523"/>
  <c r="AE18" i="1523"/>
  <c r="AE14" i="1523"/>
  <c r="AE7" i="1523"/>
  <c r="AE9" i="1523"/>
  <c r="AE20" i="1523"/>
  <c r="AE8" i="1523"/>
  <c r="AE17" i="1523"/>
  <c r="AE16" i="1523"/>
  <c r="AE19" i="1523"/>
  <c r="AE10" i="1523"/>
  <c r="AE12" i="1523"/>
  <c r="AE6" i="1523"/>
  <c r="AD22" i="1522"/>
  <c r="AD20" i="1521"/>
  <c r="AB21" i="1521"/>
  <c r="M21" i="1521"/>
  <c r="P21" i="1521"/>
  <c r="AD9" i="1521"/>
  <c r="AD21" i="1521" s="1"/>
  <c r="AC21" i="1521"/>
  <c r="O14" i="1520"/>
  <c r="O12" i="1520"/>
  <c r="O9" i="1520"/>
  <c r="AB8" i="1520"/>
  <c r="A74" i="1520"/>
  <c r="A75" i="1520" s="1"/>
  <c r="A76" i="1520" s="1"/>
  <c r="A77" i="1520" s="1"/>
  <c r="A78" i="1520" s="1"/>
  <c r="A79" i="1520" s="1"/>
  <c r="A80" i="1520" s="1"/>
  <c r="A81" i="1520" s="1"/>
  <c r="AF60" i="1520"/>
  <c r="AF62" i="1520" s="1"/>
  <c r="AF59" i="1520"/>
  <c r="AA21" i="1520"/>
  <c r="Z21" i="1520"/>
  <c r="Y21" i="1520"/>
  <c r="X21" i="1520"/>
  <c r="W21" i="1520"/>
  <c r="V21" i="1520"/>
  <c r="U21" i="1520"/>
  <c r="T21" i="1520"/>
  <c r="S21" i="1520"/>
  <c r="R21" i="1520"/>
  <c r="N21" i="1520"/>
  <c r="J21" i="1520"/>
  <c r="I21" i="1520"/>
  <c r="AF20" i="1520"/>
  <c r="AB20" i="1520"/>
  <c r="Q20" i="1520"/>
  <c r="P20" i="1520" s="1"/>
  <c r="AC20" i="1520" s="1"/>
  <c r="AD20" i="1520" s="1"/>
  <c r="O20" i="1520"/>
  <c r="M20" i="1520"/>
  <c r="AF19" i="1520"/>
  <c r="Q19" i="1520"/>
  <c r="AB19" i="1520"/>
  <c r="AF18" i="1520"/>
  <c r="AB18" i="1520"/>
  <c r="Q18" i="1520"/>
  <c r="P18" i="1520" s="1"/>
  <c r="AC18" i="1520" s="1"/>
  <c r="M18" i="1520"/>
  <c r="O18" i="1520"/>
  <c r="AF17" i="1520"/>
  <c r="Q17" i="1520"/>
  <c r="AF16" i="1520"/>
  <c r="AB16" i="1520"/>
  <c r="Q16" i="1520"/>
  <c r="P16" i="1520"/>
  <c r="AC16" i="1520" s="1"/>
  <c r="O16" i="1520"/>
  <c r="M16" i="1520"/>
  <c r="K16" i="1520"/>
  <c r="AF15" i="1520"/>
  <c r="AB15" i="1520"/>
  <c r="Q15" i="1520"/>
  <c r="P15" i="1520"/>
  <c r="AC15" i="1520" s="1"/>
  <c r="O15" i="1520"/>
  <c r="M15" i="1520"/>
  <c r="K15" i="1520"/>
  <c r="AF14" i="1520"/>
  <c r="AB14" i="1520"/>
  <c r="Q14" i="1520"/>
  <c r="P14" i="1520" s="1"/>
  <c r="AC14" i="1520" s="1"/>
  <c r="M14" i="1520"/>
  <c r="AF13" i="1520"/>
  <c r="AB13" i="1520"/>
  <c r="Q13" i="1520"/>
  <c r="P13" i="1520" s="1"/>
  <c r="AC13" i="1520" s="1"/>
  <c r="O13" i="1520"/>
  <c r="M13" i="1520"/>
  <c r="AF12" i="1520"/>
  <c r="Q12" i="1520"/>
  <c r="P12" i="1520"/>
  <c r="AC12" i="1520" s="1"/>
  <c r="AF11" i="1520"/>
  <c r="AC11" i="1520"/>
  <c r="AB11" i="1520"/>
  <c r="Q11" i="1520"/>
  <c r="P11" i="1520"/>
  <c r="O11" i="1520"/>
  <c r="M11" i="1520"/>
  <c r="K11" i="1520"/>
  <c r="AF10" i="1520"/>
  <c r="Q10" i="1520"/>
  <c r="P10" i="1520"/>
  <c r="AC10" i="1520" s="1"/>
  <c r="AF9" i="1520"/>
  <c r="Q9" i="1520"/>
  <c r="P9" i="1520" s="1"/>
  <c r="AC9" i="1520" s="1"/>
  <c r="AF8" i="1520"/>
  <c r="Q8" i="1520"/>
  <c r="O8" i="1520"/>
  <c r="AF7" i="1520"/>
  <c r="AB7" i="1520"/>
  <c r="Q7" i="1520"/>
  <c r="P7" i="1520"/>
  <c r="AC7" i="1520" s="1"/>
  <c r="AD7" i="1520" s="1"/>
  <c r="O7" i="1520"/>
  <c r="M7" i="1520"/>
  <c r="K7" i="1520"/>
  <c r="AF6" i="1520"/>
  <c r="AB6" i="1520"/>
  <c r="Q6" i="1520"/>
  <c r="P6" i="1520"/>
  <c r="AC6" i="1520" s="1"/>
  <c r="O6" i="1520"/>
  <c r="M6" i="1520"/>
  <c r="K6" i="1520"/>
  <c r="AE20" i="1522" l="1"/>
  <c r="AE14" i="1522"/>
  <c r="AE19" i="1522"/>
  <c r="AE6" i="1522"/>
  <c r="AE8" i="1522"/>
  <c r="AE10" i="1522"/>
  <c r="AE16" i="1522"/>
  <c r="AE7" i="1522"/>
  <c r="AE11" i="1522"/>
  <c r="AE15" i="1522"/>
  <c r="AE9" i="1522"/>
  <c r="AE21" i="1522"/>
  <c r="AE13" i="1522"/>
  <c r="AE12" i="1522"/>
  <c r="AE18" i="1522"/>
  <c r="AE17" i="1522"/>
  <c r="AE18" i="1521"/>
  <c r="AE15" i="1521"/>
  <c r="AE13" i="1521"/>
  <c r="AE7" i="1521"/>
  <c r="AE8" i="1521"/>
  <c r="AE20" i="1521"/>
  <c r="AE19" i="1521"/>
  <c r="AE11" i="1521"/>
  <c r="AE16" i="1521"/>
  <c r="AE6" i="1521"/>
  <c r="AE17" i="1521"/>
  <c r="AE12" i="1521"/>
  <c r="AE10" i="1521"/>
  <c r="AE14" i="1521"/>
  <c r="AE9" i="1521"/>
  <c r="AD13" i="1520"/>
  <c r="O19" i="1520"/>
  <c r="P17" i="1520"/>
  <c r="AC17" i="1520" s="1"/>
  <c r="M12" i="1520"/>
  <c r="AB12" i="1520"/>
  <c r="AD12" i="1520" s="1"/>
  <c r="AB9" i="1520"/>
  <c r="AD9" i="1520" s="1"/>
  <c r="M9" i="1520"/>
  <c r="Q21" i="1520"/>
  <c r="AD11" i="1520"/>
  <c r="AD16" i="1520"/>
  <c r="AD15" i="1520"/>
  <c r="AD18" i="1520"/>
  <c r="AD14" i="1520"/>
  <c r="AD6" i="1520"/>
  <c r="P8" i="1520"/>
  <c r="AC8" i="1520" s="1"/>
  <c r="AD8" i="1520" s="1"/>
  <c r="M10" i="1520"/>
  <c r="AB10" i="1520"/>
  <c r="M17" i="1520"/>
  <c r="AB17" i="1520"/>
  <c r="P19" i="1520"/>
  <c r="AC19" i="1520" s="1"/>
  <c r="O10" i="1520"/>
  <c r="O17" i="1520"/>
  <c r="L21" i="1520"/>
  <c r="O21" i="1520" s="1"/>
  <c r="M8" i="1520"/>
  <c r="K21" i="1520"/>
  <c r="M19" i="1520"/>
  <c r="AD17" i="1520" l="1"/>
  <c r="M21" i="1520"/>
  <c r="AD19" i="1520"/>
  <c r="AD10" i="1520"/>
  <c r="P21" i="1520"/>
  <c r="AC21" i="1520"/>
  <c r="AB21" i="1520"/>
  <c r="AD21" i="1520" l="1"/>
  <c r="AE13" i="1520" s="1"/>
  <c r="AE11" i="1520" l="1"/>
  <c r="AE17" i="1520"/>
  <c r="AE9" i="1520"/>
  <c r="AE15" i="1520"/>
  <c r="AE16" i="1520"/>
  <c r="AE18" i="1520"/>
  <c r="AE12" i="1520"/>
  <c r="AE19" i="1520"/>
  <c r="AE6" i="1520"/>
  <c r="AE20" i="1520"/>
  <c r="AE7" i="1520"/>
  <c r="AE10" i="1520"/>
  <c r="AE14" i="1520"/>
  <c r="AE8" i="1520"/>
</calcChain>
</file>

<file path=xl/sharedStrings.xml><?xml version="1.0" encoding="utf-8"?>
<sst xmlns="http://schemas.openxmlformats.org/spreadsheetml/2006/main" count="5828" uniqueCount="586">
  <si>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</si>
  <si>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</si>
  <si>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</si>
  <si>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</si>
  <si>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</si>
  <si>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</si>
  <si>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</si>
  <si>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</si>
  <si>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</si>
  <si>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</si>
  <si>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</si>
  <si>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</si>
  <si>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</si>
  <si>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</si>
  <si>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</si>
  <si>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</si>
  <si>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</si>
  <si>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</si>
  <si>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</si>
  <si>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</si>
  <si>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</si>
  <si>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</si>
  <si>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</si>
  <si>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</si>
  <si>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</si>
  <si>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</si>
  <si>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</si>
  <si>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</si>
  <si>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</si>
  <si>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</si>
  <si>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</si>
  <si>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</si>
  <si>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</si>
  <si>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</si>
  <si>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</si>
  <si>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</si>
  <si>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</si>
  <si>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</si>
  <si>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</si>
  <si>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</si>
  <si>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</si>
  <si>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</si>
  <si>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</si>
  <si>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</si>
  <si>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</si>
  <si>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</si>
  <si>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</si>
  <si>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</si>
  <si>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</si>
  <si>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</si>
  <si>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</si>
  <si>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</si>
  <si>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</si>
  <si>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</si>
  <si>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</si>
  <si>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</si>
  <si>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</si>
  <si>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</si>
  <si>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</si>
  <si>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</si>
  <si>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</si>
  <si>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</si>
  <si>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</si>
  <si>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</si>
  <si>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</si>
  <si>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</si>
  <si>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</si>
  <si>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</si>
  <si>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</si>
  <si>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</si>
  <si>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</si>
  <si>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</si>
  <si>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</si>
  <si>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</si>
  <si>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</si>
  <si>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</si>
  <si>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</si>
  <si>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</si>
  <si>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</si>
  <si>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</si>
  <si>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</si>
  <si>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</si>
  <si>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</si>
  <si>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</si>
  <si>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</si>
  <si>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</si>
  <si>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</si>
  <si>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</si>
  <si>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</si>
  <si>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</si>
  <si>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</si>
  <si>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</si>
  <si>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</si>
  <si>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</si>
  <si>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</si>
  <si>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</si>
  <si>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</si>
  <si>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</si>
  <si>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</si>
  <si>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</si>
  <si>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</si>
  <si>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</si>
  <si>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</si>
  <si>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</si>
  <si>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</si>
  <si>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</si>
  <si>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</si>
  <si>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</si>
  <si>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</si>
  <si>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</si>
  <si>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</si>
  <si>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</si>
  <si>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</si>
  <si>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</si>
  <si>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</si>
  <si>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</si>
  <si>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</si>
  <si>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</si>
  <si>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</si>
  <si>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</si>
  <si>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발주분양산</t>
    <phoneticPr fontId="2" type="noConversion"/>
  </si>
  <si>
    <t>SGF2033</t>
    <phoneticPr fontId="2" type="noConversion"/>
  </si>
  <si>
    <t>STOPPER</t>
    <phoneticPr fontId="2" type="noConversion"/>
  </si>
  <si>
    <t>SF2255</t>
    <phoneticPr fontId="2" type="noConversion"/>
  </si>
  <si>
    <t>SST</t>
    <phoneticPr fontId="2" type="noConversion"/>
  </si>
  <si>
    <t>ACTUATOR</t>
    <phoneticPr fontId="2" type="noConversion"/>
  </si>
  <si>
    <t>수리후양산</t>
    <phoneticPr fontId="2" type="noConversion"/>
  </si>
  <si>
    <t>SGF2030</t>
    <phoneticPr fontId="2" type="noConversion"/>
  </si>
  <si>
    <t>COVER</t>
    <phoneticPr fontId="2" type="noConversion"/>
  </si>
  <si>
    <t>JD4901</t>
    <phoneticPr fontId="2" type="noConversion"/>
  </si>
  <si>
    <t>SGF2050</t>
    <phoneticPr fontId="2" type="noConversion"/>
  </si>
  <si>
    <t>5</t>
    <phoneticPr fontId="2" type="noConversion"/>
  </si>
  <si>
    <t>BR88-127A1-1</t>
    <phoneticPr fontId="2" type="noConversion"/>
  </si>
  <si>
    <t>HICON</t>
    <phoneticPr fontId="2" type="noConversion"/>
  </si>
  <si>
    <t>88P</t>
    <phoneticPr fontId="2" type="noConversion"/>
  </si>
  <si>
    <t>12</t>
    <phoneticPr fontId="2" type="noConversion"/>
  </si>
  <si>
    <t>3</t>
    <phoneticPr fontId="2" type="noConversion"/>
  </si>
  <si>
    <t>가스</t>
    <phoneticPr fontId="2" type="noConversion"/>
  </si>
  <si>
    <t>KR6197-D475PA</t>
    <phoneticPr fontId="2" type="noConversion"/>
  </si>
  <si>
    <t>7</t>
    <phoneticPr fontId="2" type="noConversion"/>
  </si>
  <si>
    <t>전일 ISSUE 사항(02일)</t>
    <phoneticPr fontId="2" type="noConversion"/>
  </si>
  <si>
    <t>당일 진행 사항(03일)</t>
    <phoneticPr fontId="2" type="noConversion"/>
  </si>
  <si>
    <t>SAMPLE 진행 사항(02일)</t>
    <phoneticPr fontId="2" type="noConversion"/>
  </si>
  <si>
    <t>8</t>
    <phoneticPr fontId="2" type="noConversion"/>
  </si>
  <si>
    <t>SGF2041</t>
    <phoneticPr fontId="2" type="noConversion"/>
  </si>
  <si>
    <t>14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</si>
  <si>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</si>
  <si>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</si>
  <si>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t>SLIDER</t>
    <phoneticPr fontId="2" type="noConversion"/>
  </si>
  <si>
    <t>TOP/BOTTOM</t>
    <phoneticPr fontId="2" type="noConversion"/>
  </si>
  <si>
    <t>KR6182-C624TB</t>
    <phoneticPr fontId="2" type="noConversion"/>
  </si>
  <si>
    <t>SGF2030 N/P</t>
    <phoneticPr fontId="2" type="noConversion"/>
  </si>
  <si>
    <t>72P</t>
    <phoneticPr fontId="2" type="noConversion"/>
  </si>
  <si>
    <t>수정후양산</t>
    <phoneticPr fontId="2" type="noConversion"/>
  </si>
  <si>
    <t>LATCH</t>
    <phoneticPr fontId="2" type="noConversion"/>
  </si>
  <si>
    <t>KR6404DA436YA</t>
    <phoneticPr fontId="2" type="noConversion"/>
  </si>
  <si>
    <t>RJR</t>
    <phoneticPr fontId="2" type="noConversion"/>
  </si>
  <si>
    <t>LCP LID</t>
    <phoneticPr fontId="2" type="noConversion"/>
  </si>
  <si>
    <t>S475 N/P</t>
    <phoneticPr fontId="2" type="noConversion"/>
  </si>
  <si>
    <t>KR6182-A221WA</t>
    <phoneticPr fontId="2" type="noConversion"/>
  </si>
  <si>
    <t>K-JR01920-E01AWA</t>
    <phoneticPr fontId="2" type="noConversion"/>
  </si>
  <si>
    <t>2*2</t>
    <phoneticPr fontId="2" type="noConversion"/>
  </si>
  <si>
    <t>계량시 소음발생</t>
    <phoneticPr fontId="2" type="noConversion"/>
  </si>
  <si>
    <t>스크류 모타수리</t>
    <phoneticPr fontId="2" type="noConversion"/>
  </si>
  <si>
    <t>MET</t>
    <phoneticPr fontId="2" type="noConversion"/>
  </si>
  <si>
    <t>AMB1930A-KAA-R2</t>
    <phoneticPr fontId="2" type="noConversion"/>
  </si>
  <si>
    <t>AMB0172A-KAA-R1</t>
    <phoneticPr fontId="2" type="noConversion"/>
  </si>
  <si>
    <t>2829HQN05-5632-C4</t>
    <phoneticPr fontId="2" type="noConversion"/>
  </si>
  <si>
    <t>KR6422AB589CA</t>
    <phoneticPr fontId="2" type="noConversion"/>
  </si>
  <si>
    <r>
      <t>2019년 09월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</si>
  <si>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09월 호기별 가동현황</t>
    <phoneticPr fontId="2" type="noConversion"/>
  </si>
  <si>
    <t>LEAD IN</t>
    <phoneticPr fontId="2" type="noConversion"/>
  </si>
  <si>
    <t>K-JR01920-M01ABA</t>
    <phoneticPr fontId="2" type="noConversion"/>
  </si>
  <si>
    <t>COVER</t>
    <phoneticPr fontId="2" type="noConversion"/>
  </si>
  <si>
    <t>2829HQN05-5632-C4</t>
    <phoneticPr fontId="2" type="noConversion"/>
  </si>
  <si>
    <t>MCS</t>
    <phoneticPr fontId="2" type="noConversion"/>
  </si>
  <si>
    <t>14</t>
    <phoneticPr fontId="2" type="noConversion"/>
  </si>
  <si>
    <t>BASE</t>
    <phoneticPr fontId="2" type="noConversion"/>
  </si>
  <si>
    <t>AMB0172A-KAA-R1</t>
    <phoneticPr fontId="2" type="noConversion"/>
  </si>
  <si>
    <t>코아파손정지</t>
    <phoneticPr fontId="2" type="noConversion"/>
  </si>
  <si>
    <t>13</t>
    <phoneticPr fontId="2" type="noConversion"/>
  </si>
  <si>
    <t>ACTUATOR</t>
    <phoneticPr fontId="2" type="noConversion"/>
  </si>
  <si>
    <t>AMB1930A-KAA-R2</t>
    <phoneticPr fontId="2" type="noConversion"/>
  </si>
  <si>
    <t>게이트파손수리후양산</t>
    <phoneticPr fontId="2" type="noConversion"/>
  </si>
  <si>
    <t>4</t>
    <phoneticPr fontId="2" type="noConversion"/>
  </si>
  <si>
    <t>SLIDER</t>
    <phoneticPr fontId="2" type="noConversion"/>
  </si>
  <si>
    <t>KR6422AA489YA</t>
    <phoneticPr fontId="2" type="noConversion"/>
  </si>
  <si>
    <t>발주분양산</t>
    <phoneticPr fontId="2" type="noConversion"/>
  </si>
  <si>
    <t>9</t>
    <phoneticPr fontId="2" type="noConversion"/>
  </si>
  <si>
    <t>AAM0818C-KAB-R3</t>
    <phoneticPr fontId="2" type="noConversion"/>
  </si>
  <si>
    <r>
      <t>2019년 09월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</si>
  <si>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KR6422AA496YA</t>
    <phoneticPr fontId="2" type="noConversion"/>
  </si>
  <si>
    <t>ADAPTER</t>
    <phoneticPr fontId="2" type="noConversion"/>
  </si>
  <si>
    <t>KR6170-GM436QA</t>
    <phoneticPr fontId="2" type="noConversion"/>
  </si>
  <si>
    <t>SF2255
I/V</t>
    <phoneticPr fontId="2" type="noConversion"/>
  </si>
  <si>
    <t>K-JR01928-C01AWA</t>
    <phoneticPr fontId="2" type="noConversion"/>
  </si>
  <si>
    <t>288BASE</t>
    <phoneticPr fontId="2" type="noConversion"/>
  </si>
  <si>
    <t>GN2330</t>
    <phoneticPr fontId="2" type="noConversion"/>
  </si>
  <si>
    <t>전일 ISSUE 사항(03일)</t>
    <phoneticPr fontId="2" type="noConversion"/>
  </si>
  <si>
    <t>발주분양산-&gt;코아파손-&gt;BURR-&gt;코아파손정지</t>
    <phoneticPr fontId="2" type="noConversion"/>
  </si>
  <si>
    <t>6</t>
    <phoneticPr fontId="2" type="noConversion"/>
  </si>
  <si>
    <t>발주분양산-&gt;가스2회정지</t>
    <phoneticPr fontId="2" type="noConversion"/>
  </si>
  <si>
    <t>발주분양산-&gt;코아파손정지</t>
    <phoneticPr fontId="2" type="noConversion"/>
  </si>
  <si>
    <t>발주분양산-&gt;코아파손수리</t>
    <phoneticPr fontId="2" type="noConversion"/>
  </si>
  <si>
    <t>BURR</t>
    <phoneticPr fontId="2" type="noConversion"/>
  </si>
  <si>
    <t>당일 진행 사항(04일)</t>
    <phoneticPr fontId="2" type="noConversion"/>
  </si>
  <si>
    <t>K-JR01928-E02AWA</t>
    <phoneticPr fontId="2" type="noConversion"/>
  </si>
  <si>
    <t>SAMPLE 진행 사항(03일)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</si>
  <si>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</si>
  <si>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</si>
  <si>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2019년 09월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</si>
  <si>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K-JR01928-B01AZB</t>
    <phoneticPr fontId="2" type="noConversion"/>
  </si>
  <si>
    <t>SGP2020R</t>
    <phoneticPr fontId="2" type="noConversion"/>
  </si>
  <si>
    <t>전일 ISSUE 사항(04일)</t>
    <phoneticPr fontId="2" type="noConversion"/>
  </si>
  <si>
    <t>코아파손4회정지</t>
    <phoneticPr fontId="2" type="noConversion"/>
  </si>
  <si>
    <t>코아파손3회정지</t>
    <phoneticPr fontId="2" type="noConversion"/>
  </si>
  <si>
    <t>당일 진행 사항(05일)</t>
    <phoneticPr fontId="2" type="noConversion"/>
  </si>
  <si>
    <t>CONN</t>
    <phoneticPr fontId="2" type="noConversion"/>
  </si>
  <si>
    <t>BC05-29H1</t>
    <phoneticPr fontId="2" type="noConversion"/>
  </si>
  <si>
    <t>38P</t>
    <phoneticPr fontId="2" type="noConversion"/>
  </si>
  <si>
    <t>AM0164A-A</t>
    <phoneticPr fontId="2" type="noConversion"/>
  </si>
  <si>
    <t>HSA65-M003B1(CD)</t>
    <phoneticPr fontId="2" type="noConversion"/>
  </si>
  <si>
    <t>SAMPLE 진행 사항(04일)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</si>
  <si>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</si>
  <si>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</si>
  <si>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2019년 09월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</si>
  <si>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HOUSING</t>
    <phoneticPr fontId="2" type="noConversion"/>
  </si>
  <si>
    <t>E PR</t>
    <phoneticPr fontId="2" type="noConversion"/>
  </si>
  <si>
    <t>HSA65-M003B1</t>
    <phoneticPr fontId="2" type="noConversion"/>
  </si>
  <si>
    <t>전일 ISSUE 사항(05일)</t>
    <phoneticPr fontId="2" type="noConversion"/>
  </si>
  <si>
    <t>코아파손2회정지</t>
    <phoneticPr fontId="2" type="noConversion"/>
  </si>
  <si>
    <t>단차2회정지</t>
    <phoneticPr fontId="2" type="noConversion"/>
  </si>
  <si>
    <t>BURR정지</t>
    <phoneticPr fontId="2" type="noConversion"/>
  </si>
  <si>
    <t>당일 진행 사항(06일)</t>
    <phoneticPr fontId="2" type="noConversion"/>
  </si>
  <si>
    <t>SHAFT</t>
    <phoneticPr fontId="2" type="noConversion"/>
  </si>
  <si>
    <t>KR6197-06KA</t>
    <phoneticPr fontId="2" type="noConversion"/>
  </si>
  <si>
    <t>HSA65-M005B1</t>
    <phoneticPr fontId="2" type="noConversion"/>
  </si>
  <si>
    <t>L/G</t>
    <phoneticPr fontId="2" type="noConversion"/>
  </si>
  <si>
    <t>SAMPLE 진행 사항(05일)</t>
    <phoneticPr fontId="2" type="noConversion"/>
  </si>
  <si>
    <t>2829HQN05-5632-B1</t>
    <phoneticPr fontId="2" type="noConversion"/>
  </si>
  <si>
    <t>수정</t>
    <phoneticPr fontId="2" type="noConversion"/>
  </si>
  <si>
    <t>2829HQN05-5632-F3</t>
    <phoneticPr fontId="2" type="noConversion"/>
  </si>
  <si>
    <t>FLOATING</t>
    <phoneticPr fontId="2" type="noConversion"/>
  </si>
  <si>
    <t>10</t>
    <phoneticPr fontId="2" type="noConversion"/>
  </si>
  <si>
    <t>72P(신형)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</si>
  <si>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</si>
  <si>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</si>
  <si>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2019년 09월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</si>
  <si>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LEAD GUIDE</t>
    <phoneticPr fontId="2" type="noConversion"/>
  </si>
  <si>
    <t>JCL3030</t>
    <phoneticPr fontId="2" type="noConversion"/>
  </si>
  <si>
    <t>HT00-M65A4-A</t>
    <phoneticPr fontId="2" type="noConversion"/>
  </si>
  <si>
    <t>코아시스</t>
    <phoneticPr fontId="2" type="noConversion"/>
  </si>
  <si>
    <t>BOTTOM LATCH</t>
    <phoneticPr fontId="2" type="noConversion"/>
  </si>
  <si>
    <t>7301</t>
    <phoneticPr fontId="2" type="noConversion"/>
  </si>
  <si>
    <t>전일 ISSUE 사항(06일)</t>
    <phoneticPr fontId="2" type="noConversion"/>
  </si>
  <si>
    <t>수지박힘정지</t>
    <phoneticPr fontId="2" type="noConversion"/>
  </si>
  <si>
    <t>발주분양산-&gt;설비이상정지</t>
    <phoneticPr fontId="2" type="noConversion"/>
  </si>
  <si>
    <t>뜯김2회수리</t>
    <phoneticPr fontId="2" type="noConversion"/>
  </si>
  <si>
    <t>BURR-&gt;긁힘-&gt;코아파손정지</t>
    <phoneticPr fontId="2" type="noConversion"/>
  </si>
  <si>
    <t>당일 진행 사항(07일)</t>
    <phoneticPr fontId="2" type="noConversion"/>
  </si>
  <si>
    <t>SAMPLE 진행 사항(06일)</t>
    <phoneticPr fontId="2" type="noConversion"/>
  </si>
  <si>
    <t>SOCKET</t>
    <phoneticPr fontId="2" type="noConversion"/>
  </si>
  <si>
    <t>AMB0179A-KAA-R1</t>
    <phoneticPr fontId="2" type="noConversion"/>
  </si>
  <si>
    <t>코아파손수리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</si>
  <si>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</si>
  <si>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</si>
  <si>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2019년 09월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</si>
  <si>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HSA65-M001B1</t>
    <phoneticPr fontId="2" type="noConversion"/>
  </si>
  <si>
    <t>BOTTOM</t>
    <phoneticPr fontId="2" type="noConversion"/>
  </si>
  <si>
    <t>2829HQN05-5632-B2</t>
    <phoneticPr fontId="2" type="noConversion"/>
  </si>
  <si>
    <t>HRCS-03C13</t>
    <phoneticPr fontId="2" type="noConversion"/>
  </si>
  <si>
    <t>8301</t>
    <phoneticPr fontId="2" type="noConversion"/>
  </si>
  <si>
    <t>전일 ISSUE 사항(07일)</t>
    <phoneticPr fontId="2" type="noConversion"/>
  </si>
  <si>
    <t>당일 진행 사항(08일)</t>
    <phoneticPr fontId="2" type="noConversion"/>
  </si>
  <si>
    <t>수리후양산-&gt;코아파손정지</t>
    <phoneticPr fontId="2" type="noConversion"/>
  </si>
  <si>
    <t>발주분양산-&gt;뜯김수리</t>
    <phoneticPr fontId="2" type="noConversion"/>
  </si>
  <si>
    <t>FLOAT</t>
    <phoneticPr fontId="2" type="noConversion"/>
  </si>
  <si>
    <t>HSB05-M001B1</t>
    <phoneticPr fontId="2" type="noConversion"/>
  </si>
  <si>
    <t>SAMPLE 진행 사항(07일)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</si>
  <si>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</si>
  <si>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</si>
  <si>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2019년 09월 08일(주간)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</si>
  <si>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전일 ISSUE 사항(08일)</t>
    <phoneticPr fontId="2" type="noConversion"/>
  </si>
  <si>
    <t>코아파손2회수리</t>
    <phoneticPr fontId="2" type="noConversion"/>
  </si>
  <si>
    <t>수리후양산-&gt;BURR정지</t>
    <phoneticPr fontId="2" type="noConversion"/>
  </si>
  <si>
    <t>당일 진행 사항(09일)</t>
    <phoneticPr fontId="2" type="noConversion"/>
  </si>
  <si>
    <t>BURR수리-&gt;코아파손정지</t>
    <phoneticPr fontId="2" type="noConversion"/>
  </si>
  <si>
    <t>SAMPLE 진행 사항(08일)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</si>
  <si>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</si>
  <si>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</si>
  <si>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2019년 09월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</si>
  <si>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NEXT</t>
    <phoneticPr fontId="2" type="noConversion"/>
  </si>
  <si>
    <t>A1</t>
    <phoneticPr fontId="2" type="noConversion"/>
  </si>
  <si>
    <t>2*1</t>
    <phoneticPr fontId="2" type="noConversion"/>
  </si>
  <si>
    <t>전일 ISSUE 사항(09일)</t>
    <phoneticPr fontId="2" type="noConversion"/>
  </si>
  <si>
    <t>상측박힘-&gt;뜯김정지</t>
    <phoneticPr fontId="2" type="noConversion"/>
  </si>
  <si>
    <t>당일 진행 사항(10일)</t>
    <phoneticPr fontId="2" type="noConversion"/>
  </si>
  <si>
    <t>HRCS-0011B1/12B1</t>
    <phoneticPr fontId="2" type="noConversion"/>
  </si>
  <si>
    <t>A2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</si>
  <si>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</si>
  <si>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</si>
  <si>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</si>
  <si>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2019년 09월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</si>
  <si>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HRCS-0011B/12B</t>
    <phoneticPr fontId="2" type="noConversion"/>
  </si>
  <si>
    <t>전일 ISSUE 사항(10일)</t>
    <phoneticPr fontId="2" type="noConversion"/>
  </si>
  <si>
    <t>게이트올라옮 정지</t>
    <phoneticPr fontId="2" type="noConversion"/>
  </si>
  <si>
    <t>당일 진행 사항(11일)</t>
    <phoneticPr fontId="2" type="noConversion"/>
  </si>
  <si>
    <t>LID</t>
    <phoneticPr fontId="2" type="noConversion"/>
  </si>
  <si>
    <t>HRCS-03C15</t>
    <phoneticPr fontId="2" type="noConversion"/>
  </si>
  <si>
    <t>AMB0167A-KAA-R2</t>
    <phoneticPr fontId="2" type="noConversion"/>
  </si>
  <si>
    <t>발주분양산-&gt;뜯김정지</t>
    <phoneticPr fontId="2" type="noConversion"/>
  </si>
  <si>
    <t>SAMPLE 진행 사항(10일)</t>
    <phoneticPr fontId="2" type="noConversion"/>
  </si>
  <si>
    <t>AMB0341A-KAA-R5</t>
    <phoneticPr fontId="2" type="noConversion"/>
  </si>
  <si>
    <t>원재료</t>
    <phoneticPr fontId="2" type="noConversion"/>
  </si>
  <si>
    <t>SF2255 I/V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</si>
  <si>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</si>
  <si>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</si>
  <si>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t>AMB1926A-KAA-R2</t>
    <phoneticPr fontId="2" type="noConversion"/>
  </si>
  <si>
    <t>K-JR01920-B414AZB</t>
    <phoneticPr fontId="2" type="noConversion"/>
  </si>
  <si>
    <t>게이트올라옮 수리</t>
    <phoneticPr fontId="2" type="noConversion"/>
  </si>
  <si>
    <t>전일 ISSUE 사항(11일)</t>
    <phoneticPr fontId="2" type="noConversion"/>
  </si>
  <si>
    <t>당일 진행 사항(12일)</t>
    <phoneticPr fontId="2" type="noConversion"/>
  </si>
  <si>
    <t>K-JR01920-C01AWA</t>
    <phoneticPr fontId="2" type="noConversion"/>
  </si>
  <si>
    <t>SAMPLE 진행 사항(11일)</t>
    <phoneticPr fontId="2" type="noConversion"/>
  </si>
  <si>
    <t>AYE</t>
    <phoneticPr fontId="2" type="noConversion"/>
  </si>
  <si>
    <t>NP612-110-007#IN-A</t>
    <phoneticPr fontId="2" type="noConversion"/>
  </si>
  <si>
    <t>SGP2030R</t>
    <phoneticPr fontId="2" type="noConversion"/>
  </si>
  <si>
    <t>신작</t>
    <phoneticPr fontId="2" type="noConversion"/>
  </si>
  <si>
    <t>2C</t>
    <phoneticPr fontId="2" type="noConversion"/>
  </si>
  <si>
    <t>NP612-110-007#LB</t>
    <phoneticPr fontId="2" type="noConversion"/>
  </si>
  <si>
    <t>SGP2030R N/P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</si>
  <si>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</si>
  <si>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</si>
  <si>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2019년 09월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</si>
  <si>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r>
      <t>2019년 09월 12일(주간)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</si>
  <si>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AMB0349A-KAA-R1</t>
    <phoneticPr fontId="2" type="noConversion"/>
  </si>
  <si>
    <t>전일 ISSUE 사항(12일)</t>
    <phoneticPr fontId="2" type="noConversion"/>
  </si>
  <si>
    <t>당일 진행 사항(14일)</t>
    <phoneticPr fontId="2" type="noConversion"/>
  </si>
  <si>
    <t>수축정지</t>
    <phoneticPr fontId="2" type="noConversion"/>
  </si>
  <si>
    <t>SAMPLE 진행 사항(12일)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</si>
  <si>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</si>
  <si>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</si>
  <si>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2019년 09월 14일(주간)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</si>
  <si>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전일 ISSUE 사항(14일)</t>
    <phoneticPr fontId="2" type="noConversion"/>
  </si>
  <si>
    <t>당일 진행 사항(15일)</t>
    <phoneticPr fontId="2" type="noConversion"/>
  </si>
  <si>
    <t>노즐수리</t>
    <phoneticPr fontId="2" type="noConversion"/>
  </si>
  <si>
    <t>SAMPLE 진행 사항(14일)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</si>
  <si>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</si>
  <si>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</si>
  <si>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2019년 09월 15일(주간)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</si>
  <si>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전일 ISSUE 사항(15일)</t>
    <phoneticPr fontId="2" type="noConversion"/>
  </si>
  <si>
    <t>미성형정지</t>
    <phoneticPr fontId="2" type="noConversion"/>
  </si>
  <si>
    <t>당일 진행 사항(16일)</t>
    <phoneticPr fontId="2" type="noConversion"/>
  </si>
  <si>
    <t>SAMPLE 진행 사항(15일)</t>
    <phoneticPr fontId="2" type="noConversion"/>
  </si>
  <si>
    <t>K-JR01933-B01AZA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</si>
  <si>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</si>
  <si>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</si>
  <si>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2019년 09월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</si>
  <si>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전일 ISSUE 사항(16일)</t>
    <phoneticPr fontId="2" type="noConversion"/>
  </si>
  <si>
    <t>8</t>
    <phoneticPr fontId="2" type="noConversion"/>
  </si>
  <si>
    <t>AMB0167A-KAA-R2</t>
    <phoneticPr fontId="2" type="noConversion"/>
  </si>
  <si>
    <t>수리후양산-&gt;뜯김정지</t>
    <phoneticPr fontId="2" type="noConversion"/>
  </si>
  <si>
    <t>4</t>
    <phoneticPr fontId="2" type="noConversion"/>
  </si>
  <si>
    <t>SLIDER</t>
    <phoneticPr fontId="2" type="noConversion"/>
  </si>
  <si>
    <t>KR6422AA496YA</t>
    <phoneticPr fontId="2" type="noConversion"/>
  </si>
  <si>
    <t>뜯김정지</t>
    <phoneticPr fontId="2" type="noConversion"/>
  </si>
  <si>
    <t>당일 진행 사항(17일)</t>
    <phoneticPr fontId="2" type="noConversion"/>
  </si>
  <si>
    <t>AMB0236A-KAA-R1</t>
    <phoneticPr fontId="2" type="noConversion"/>
  </si>
  <si>
    <t>AMB0463A-KAA-R1</t>
    <phoneticPr fontId="2" type="noConversion"/>
  </si>
  <si>
    <t>SST</t>
    <phoneticPr fontId="2" type="noConversion"/>
  </si>
  <si>
    <t>HRCS-03C15H1</t>
    <phoneticPr fontId="2" type="noConversion"/>
  </si>
  <si>
    <t>HICON</t>
    <phoneticPr fontId="2" type="noConversion"/>
  </si>
  <si>
    <t>13</t>
    <phoneticPr fontId="2" type="noConversion"/>
  </si>
  <si>
    <t>SAMPLE 진행 사항(16일)</t>
    <phoneticPr fontId="2" type="noConversion"/>
  </si>
  <si>
    <t>NP413-082-092#GP</t>
    <phoneticPr fontId="2" type="noConversion"/>
  </si>
  <si>
    <t>AMB20E8A-KAA-R1</t>
    <phoneticPr fontId="2" type="noConversion"/>
  </si>
  <si>
    <t>AMB1705A-KAA-R1</t>
    <phoneticPr fontId="2" type="noConversion"/>
  </si>
  <si>
    <t>AMB2106A-KAA-R1</t>
    <phoneticPr fontId="2" type="noConversion"/>
  </si>
  <si>
    <t>AMB0356A-KAA-R1</t>
    <phoneticPr fontId="2" type="noConversion"/>
  </si>
  <si>
    <t>SGP2030R</t>
    <phoneticPr fontId="2" type="noConversion"/>
  </si>
  <si>
    <t>2C</t>
    <phoneticPr fontId="2" type="noConversion"/>
  </si>
  <si>
    <t>MCS</t>
    <phoneticPr fontId="2" type="noConversion"/>
  </si>
  <si>
    <t>F/A</t>
    <phoneticPr fontId="2" type="noConversion"/>
  </si>
  <si>
    <t>PIN TOP</t>
    <phoneticPr fontId="2" type="noConversion"/>
  </si>
  <si>
    <t>PIN BRACKET</t>
    <phoneticPr fontId="2" type="noConversion"/>
  </si>
  <si>
    <t>COVER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</si>
  <si>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</si>
  <si>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</si>
  <si>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2019년 09월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</si>
  <si>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LID/PLUNGER</t>
    <phoneticPr fontId="2" type="noConversion"/>
  </si>
  <si>
    <t>HRCS-03C15/16</t>
    <phoneticPr fontId="2" type="noConversion"/>
  </si>
  <si>
    <t>전일 ISSUE 사항(17일)</t>
    <phoneticPr fontId="2" type="noConversion"/>
  </si>
  <si>
    <t>발주분양산-&gt;BURR수리</t>
    <phoneticPr fontId="2" type="noConversion"/>
  </si>
  <si>
    <t>수리후양산-&gt;코아파손2회정지</t>
    <phoneticPr fontId="2" type="noConversion"/>
  </si>
  <si>
    <t>LID/PL</t>
    <phoneticPr fontId="2" type="noConversion"/>
  </si>
  <si>
    <t>당일 진행 사항(18일)</t>
    <phoneticPr fontId="2" type="noConversion"/>
  </si>
  <si>
    <t>HSA65-M004B1(CD)</t>
    <phoneticPr fontId="2" type="noConversion"/>
  </si>
  <si>
    <t>SAMPLE 진행 사항(17일)</t>
    <phoneticPr fontId="2" type="noConversion"/>
  </si>
  <si>
    <t>AMB0180A-KAA-R1</t>
    <phoneticPr fontId="2" type="noConversion"/>
  </si>
  <si>
    <t>오조립</t>
    <phoneticPr fontId="2" type="noConversion"/>
  </si>
  <si>
    <t>NP595-877-014#SP-A/B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</si>
  <si>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</si>
  <si>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</si>
  <si>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2019년 09월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</si>
  <si>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LATCH PLATE</t>
    <phoneticPr fontId="2" type="noConversion"/>
  </si>
  <si>
    <t>AMB09E8A-KAA-R1</t>
    <phoneticPr fontId="2" type="noConversion"/>
  </si>
  <si>
    <t>JD4901 N/P</t>
    <phoneticPr fontId="2" type="noConversion"/>
  </si>
  <si>
    <t>AMB0173A-KAA-R1</t>
    <phoneticPr fontId="2" type="noConversion"/>
  </si>
  <si>
    <t>전일 ISSUE 사항(18일)</t>
    <phoneticPr fontId="2" type="noConversion"/>
  </si>
  <si>
    <t>코아파손수리후양산</t>
    <phoneticPr fontId="2" type="noConversion"/>
  </si>
  <si>
    <t>HSA65-M004B1</t>
    <phoneticPr fontId="2" type="noConversion"/>
  </si>
  <si>
    <t>당일 진행 사항(19일)</t>
    <phoneticPr fontId="2" type="noConversion"/>
  </si>
  <si>
    <t>AM0115B-K</t>
    <phoneticPr fontId="2" type="noConversion"/>
  </si>
  <si>
    <t>AMB0201A-JAA-R3</t>
    <phoneticPr fontId="2" type="noConversion"/>
  </si>
  <si>
    <t>AMB0467A-KAA-R1</t>
    <phoneticPr fontId="2" type="noConversion"/>
  </si>
  <si>
    <t>SAMPLE 진행 사항(18일)</t>
    <phoneticPr fontId="2" type="noConversion"/>
  </si>
  <si>
    <t>AMB07U9A-KAA-R1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</si>
  <si>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</si>
  <si>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</si>
  <si>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2019년 09월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</si>
  <si>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SF255</t>
    <phoneticPr fontId="2" type="noConversion"/>
  </si>
  <si>
    <t>AMB20D7A-KAA-R1</t>
    <phoneticPr fontId="2" type="noConversion"/>
  </si>
  <si>
    <t>HSB08-M01A3</t>
    <phoneticPr fontId="2" type="noConversion"/>
  </si>
  <si>
    <t xml:space="preserve">SF2255 </t>
    <phoneticPr fontId="2" type="noConversion"/>
  </si>
  <si>
    <t>K-JR01920-H432AZA</t>
    <phoneticPr fontId="2" type="noConversion"/>
  </si>
  <si>
    <t>전일 ISSUE 사항(19일)</t>
    <phoneticPr fontId="2" type="noConversion"/>
  </si>
  <si>
    <t>코아파손-&gt;오조립-&gt;코아파손정지</t>
    <phoneticPr fontId="2" type="noConversion"/>
  </si>
  <si>
    <t>승인후양산</t>
    <phoneticPr fontId="2" type="noConversion"/>
  </si>
  <si>
    <t>AMB20D7A-KAA-R2</t>
    <phoneticPr fontId="2" type="noConversion"/>
  </si>
  <si>
    <t>당일 진행 사항(20일)</t>
    <phoneticPr fontId="2" type="noConversion"/>
  </si>
  <si>
    <t>HSA08-M01A1</t>
    <phoneticPr fontId="2" type="noConversion"/>
  </si>
  <si>
    <t>치수확인후양산</t>
    <phoneticPr fontId="2" type="noConversion"/>
  </si>
  <si>
    <t>K-JR01928-B01AZC</t>
    <phoneticPr fontId="2" type="noConversion"/>
  </si>
  <si>
    <t>NP635-196-001#IN-B</t>
    <phoneticPr fontId="2" type="noConversion"/>
  </si>
  <si>
    <t>NP635-196-001#IN-A</t>
    <phoneticPr fontId="2" type="noConversion"/>
  </si>
  <si>
    <t>KR6422-B589CA</t>
    <phoneticPr fontId="2" type="noConversion"/>
  </si>
  <si>
    <t>BG255-001A1</t>
    <phoneticPr fontId="2" type="noConversion"/>
  </si>
  <si>
    <t>SAMPLE 진행 사항(19일)</t>
    <phoneticPr fontId="2" type="noConversion"/>
  </si>
  <si>
    <t>TRAY</t>
    <phoneticPr fontId="2" type="noConversion"/>
  </si>
  <si>
    <t>CR02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</si>
  <si>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</si>
  <si>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</si>
  <si>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2019년 09월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</si>
  <si>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LG35</t>
    <phoneticPr fontId="2" type="noConversion"/>
  </si>
  <si>
    <t>AMB0352A-KAA-R1</t>
    <phoneticPr fontId="2" type="noConversion"/>
  </si>
  <si>
    <t>전일 ISSUE 사항(20일)</t>
    <phoneticPr fontId="2" type="noConversion"/>
  </si>
  <si>
    <t>당일 진행 사항(21일)</t>
    <phoneticPr fontId="2" type="noConversion"/>
  </si>
  <si>
    <t>ST/HOLDER</t>
    <phoneticPr fontId="2" type="noConversion"/>
  </si>
  <si>
    <t>K-JR01860-D/H01</t>
    <phoneticPr fontId="2" type="noConversion"/>
  </si>
  <si>
    <t>AM0604D-K</t>
    <phoneticPr fontId="2" type="noConversion"/>
  </si>
  <si>
    <t>AMB09E7A-KAA-R1</t>
    <phoneticPr fontId="2" type="noConversion"/>
  </si>
  <si>
    <t>SAMPLE 진행 사항(20일)</t>
    <phoneticPr fontId="2" type="noConversion"/>
  </si>
  <si>
    <t>NP612-110-007#IN-B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</si>
  <si>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</si>
  <si>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</si>
  <si>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2019년 09월 21일(주간)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</si>
  <si>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ST/HO</t>
    <phoneticPr fontId="2" type="noConversion"/>
  </si>
  <si>
    <t>K-JR01860-D/H01AZB</t>
    <phoneticPr fontId="2" type="noConversion"/>
  </si>
  <si>
    <t>전일 ISSUE 사항(21일)</t>
    <phoneticPr fontId="2" type="noConversion"/>
  </si>
  <si>
    <t>K-JR01860-D/H</t>
    <phoneticPr fontId="2" type="noConversion"/>
  </si>
  <si>
    <t>당일 진행 사항(23일)</t>
    <phoneticPr fontId="2" type="noConversion"/>
  </si>
  <si>
    <t>HDB08-M01A2</t>
    <phoneticPr fontId="2" type="noConversion"/>
  </si>
  <si>
    <t>SAMPLE 진행 사항(21일)</t>
    <phoneticPr fontId="2" type="noConversion"/>
  </si>
  <si>
    <t>TMSP</t>
    <phoneticPr fontId="2" type="noConversion"/>
  </si>
  <si>
    <t>WING</t>
    <phoneticPr fontId="2" type="noConversion"/>
  </si>
  <si>
    <t>PC W/T</t>
    <phoneticPr fontId="2" type="noConversion"/>
  </si>
  <si>
    <t>OKINS</t>
    <phoneticPr fontId="2" type="noConversion"/>
  </si>
  <si>
    <t>OK75SSD-050-T32-BX</t>
    <phoneticPr fontId="2" type="noConversion"/>
  </si>
  <si>
    <t>뜯김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</si>
  <si>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</si>
  <si>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</si>
  <si>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2019년 09월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</si>
  <si>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K-JR01928-G01BWA</t>
    <phoneticPr fontId="2" type="noConversion"/>
  </si>
  <si>
    <t>HT00-M64A4-4</t>
    <phoneticPr fontId="2" type="noConversion"/>
  </si>
  <si>
    <t>SP-A/B</t>
    <phoneticPr fontId="2" type="noConversion"/>
  </si>
  <si>
    <t>KR6421-A156WA</t>
    <phoneticPr fontId="2" type="noConversion"/>
  </si>
  <si>
    <t>NP504-556-126#LB-1</t>
    <phoneticPr fontId="2" type="noConversion"/>
  </si>
  <si>
    <t>전일 ISSUE 사항(23일)</t>
    <phoneticPr fontId="2" type="noConversion"/>
  </si>
  <si>
    <t>옵션교체후양산</t>
    <phoneticPr fontId="2" type="noConversion"/>
  </si>
  <si>
    <t>KR6421-A156AWA</t>
    <phoneticPr fontId="2" type="noConversion"/>
  </si>
  <si>
    <t>당일 진행 사항(24일)</t>
    <phoneticPr fontId="2" type="noConversion"/>
  </si>
  <si>
    <t>KR6411-E01TA</t>
    <phoneticPr fontId="2" type="noConversion"/>
  </si>
  <si>
    <t>KR6411-GB036QA</t>
    <phoneticPr fontId="2" type="noConversion"/>
  </si>
  <si>
    <t>SAMPLE 진행 사항(23일)</t>
    <phoneticPr fontId="2" type="noConversion"/>
  </si>
  <si>
    <t>NP595-877-014#SP-A / B</t>
    <phoneticPr fontId="2" type="noConversion"/>
  </si>
  <si>
    <t>HT00-M64A4-5</t>
    <phoneticPr fontId="2" type="noConversion"/>
  </si>
  <si>
    <t>옵션</t>
    <phoneticPr fontId="2" type="noConversion"/>
  </si>
  <si>
    <t>2829HQN05-3225-F3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</si>
  <si>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</si>
  <si>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</si>
  <si>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2019년 09월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</si>
  <si>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전일 ISSUE 사항(24일)</t>
    <phoneticPr fontId="2" type="noConversion"/>
  </si>
  <si>
    <t>당일 진행 사항(25일)</t>
    <phoneticPr fontId="2" type="noConversion"/>
  </si>
  <si>
    <t>AMB0229A-KAA-R1</t>
    <phoneticPr fontId="2" type="noConversion"/>
  </si>
  <si>
    <t>AMB0159A-KAA-R1</t>
    <phoneticPr fontId="2" type="noConversion"/>
  </si>
  <si>
    <t>AMB0343A-KAA-R1</t>
    <phoneticPr fontId="2" type="noConversion"/>
  </si>
  <si>
    <t>KR6422AB589CA</t>
    <phoneticPr fontId="2" type="noConversion"/>
  </si>
  <si>
    <t>수리후양산</t>
    <phoneticPr fontId="2" type="noConversion"/>
  </si>
  <si>
    <t>AMB07P7A-KAA-R1</t>
    <phoneticPr fontId="2" type="noConversion"/>
  </si>
  <si>
    <t>AMB1921B-KAA-R1</t>
    <phoneticPr fontId="2" type="noConversion"/>
  </si>
  <si>
    <t>7</t>
    <phoneticPr fontId="2" type="noConversion"/>
  </si>
  <si>
    <t>10</t>
    <phoneticPr fontId="2" type="noConversion"/>
  </si>
  <si>
    <t>ADAPTER</t>
    <phoneticPr fontId="2" type="noConversion"/>
  </si>
  <si>
    <t>ACTUATOR</t>
    <phoneticPr fontId="2" type="noConversion"/>
  </si>
  <si>
    <t>SAMPLE 진행 사항(24일)</t>
    <phoneticPr fontId="2" type="noConversion"/>
  </si>
  <si>
    <t>OK75SSD-050-T32-BX</t>
    <phoneticPr fontId="2" type="noConversion"/>
  </si>
  <si>
    <t>뜯김 2회진행</t>
    <phoneticPr fontId="2" type="noConversion"/>
  </si>
  <si>
    <t>2829HQN05-3225-B2</t>
    <phoneticPr fontId="2" type="noConversion"/>
  </si>
  <si>
    <t>2829HQN05-3225-B1</t>
    <phoneticPr fontId="2" type="noConversion"/>
  </si>
  <si>
    <t>OKINS</t>
    <phoneticPr fontId="2" type="noConversion"/>
  </si>
  <si>
    <t>BASE</t>
    <phoneticPr fontId="2" type="noConversion"/>
  </si>
  <si>
    <t>BOTTOM</t>
    <phoneticPr fontId="2" type="noConversion"/>
  </si>
  <si>
    <t>GN2330</t>
    <phoneticPr fontId="2" type="noConversion"/>
  </si>
  <si>
    <t>수정</t>
    <phoneticPr fontId="2" type="noConversion"/>
  </si>
  <si>
    <t>8</t>
    <phoneticPr fontId="2" type="noConversion"/>
  </si>
  <si>
    <t>SGF2033</t>
    <phoneticPr fontId="2" type="noConversion"/>
  </si>
  <si>
    <t>옵션</t>
    <phoneticPr fontId="2" type="noConversion"/>
  </si>
  <si>
    <t>HICON</t>
    <phoneticPr fontId="2" type="noConversion"/>
  </si>
  <si>
    <t>BOTTOM 3종</t>
    <phoneticPr fontId="2" type="noConversion"/>
  </si>
  <si>
    <t>신작</t>
    <phoneticPr fontId="2" type="noConversion"/>
  </si>
  <si>
    <t>하측박힘</t>
    <phoneticPr fontId="2" type="noConversion"/>
  </si>
  <si>
    <t>NP413-082-092#GP</t>
    <phoneticPr fontId="2" type="noConversion"/>
  </si>
  <si>
    <t>SGP2030R N/P</t>
    <phoneticPr fontId="2" type="noConversion"/>
  </si>
  <si>
    <t>AYE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</si>
  <si>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</si>
  <si>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</si>
  <si>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2019년 09월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</si>
  <si>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SGF2050 N/P</t>
    <phoneticPr fontId="2" type="noConversion"/>
  </si>
  <si>
    <t>22P</t>
    <phoneticPr fontId="2" type="noConversion"/>
  </si>
  <si>
    <t>전일 ISSUE 사항(25일)</t>
    <phoneticPr fontId="2" type="noConversion"/>
  </si>
  <si>
    <t>발주분양산-&gt;상측박힘수리</t>
    <phoneticPr fontId="2" type="noConversion"/>
  </si>
  <si>
    <t>K-JR01928-E01AWA</t>
    <phoneticPr fontId="2" type="noConversion"/>
  </si>
  <si>
    <t>KR6421-F1073AWA</t>
    <phoneticPr fontId="2" type="noConversion"/>
  </si>
  <si>
    <t>11</t>
    <phoneticPr fontId="2" type="noConversion"/>
  </si>
  <si>
    <t>KR6414-C414TA</t>
    <phoneticPr fontId="2" type="noConversion"/>
  </si>
  <si>
    <t>당일 진행 사항(26일)</t>
    <phoneticPr fontId="2" type="noConversion"/>
  </si>
  <si>
    <t>SAMPLE 진행 사항(25일)</t>
    <phoneticPr fontId="2" type="noConversion"/>
  </si>
  <si>
    <t>각 50EA</t>
    <phoneticPr fontId="2" type="noConversion"/>
  </si>
  <si>
    <t>TOP</t>
    <phoneticPr fontId="2" type="noConversion"/>
  </si>
  <si>
    <t>TOP 3종</t>
    <phoneticPr fontId="2" type="noConversion"/>
  </si>
  <si>
    <t>009-041-003</t>
    <phoneticPr fontId="2" type="noConversion"/>
  </si>
  <si>
    <t>밀핀수리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</si>
  <si>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</si>
  <si>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</si>
  <si>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2019년 09월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</si>
  <si>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24P</t>
    <phoneticPr fontId="2" type="noConversion"/>
  </si>
  <si>
    <t>전일 ISSUE 사항(26일)</t>
    <phoneticPr fontId="2" type="noConversion"/>
  </si>
  <si>
    <t>당일 진행 사항(27일)</t>
    <phoneticPr fontId="2" type="noConversion"/>
  </si>
  <si>
    <t>HDB08-M01A4</t>
    <phoneticPr fontId="2" type="noConversion"/>
  </si>
  <si>
    <t>HSA65-M001B1(CD)</t>
    <phoneticPr fontId="2" type="noConversion"/>
  </si>
  <si>
    <t>AMM0822A-KAB-R1</t>
    <phoneticPr fontId="2" type="noConversion"/>
  </si>
  <si>
    <t>치수NG 2회진행</t>
    <phoneticPr fontId="2" type="noConversion"/>
  </si>
  <si>
    <t>2829HQN05-3225-F3(옵션)</t>
    <phoneticPr fontId="2" type="noConversion"/>
  </si>
  <si>
    <t>SAMPLE 진행 사항(26일)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</si>
  <si>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</si>
  <si>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</si>
  <si>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2019년 09월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</si>
  <si>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KR6414-D414PA</t>
    <phoneticPr fontId="2" type="noConversion"/>
  </si>
  <si>
    <t>전일 ISSUE 사항(27일)</t>
    <phoneticPr fontId="2" type="noConversion"/>
  </si>
  <si>
    <t>당일 진행 사항(28일)</t>
    <phoneticPr fontId="2" type="noConversion"/>
  </si>
  <si>
    <t>NP413-187-092#IN-A</t>
    <phoneticPr fontId="2" type="noConversion"/>
  </si>
  <si>
    <t>NP413-187-092#IN-B</t>
    <phoneticPr fontId="2" type="noConversion"/>
  </si>
  <si>
    <t>KR6414-B414UA</t>
    <phoneticPr fontId="2" type="noConversion"/>
  </si>
  <si>
    <t>SAMPLE 진행 사항(27일)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</si>
  <si>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</si>
  <si>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</si>
  <si>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2019년 09월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</si>
  <si>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전일 ISSUE 사항(28일)</t>
    <phoneticPr fontId="2" type="noConversion"/>
  </si>
  <si>
    <t>15</t>
    <phoneticPr fontId="2" type="noConversion"/>
  </si>
  <si>
    <t>당일 진행 사항(30일)</t>
    <phoneticPr fontId="2" type="noConversion"/>
  </si>
  <si>
    <t>HDB08-M01A1</t>
    <phoneticPr fontId="2" type="noConversion"/>
  </si>
  <si>
    <t>SAMPLE 진행 사항(28일)</t>
    <phoneticPr fontId="2" type="noConversion"/>
  </si>
  <si>
    <t>AMB0341A-KAA-R6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</si>
  <si>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</si>
  <si>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</si>
  <si>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2019년 09월 30일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</si>
  <si>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1D</t>
    <phoneticPr fontId="2" type="noConversion"/>
  </si>
  <si>
    <t>8D</t>
    <phoneticPr fontId="2" type="noConversion"/>
  </si>
  <si>
    <t>전일 ISSUE 사항(30일)</t>
    <phoneticPr fontId="2" type="noConversion"/>
  </si>
  <si>
    <t>세척후양산</t>
    <phoneticPr fontId="2" type="noConversion"/>
  </si>
  <si>
    <t>코아파손-&gt;단차2회수리후양산</t>
    <phoneticPr fontId="2" type="noConversion"/>
  </si>
  <si>
    <t>당일 진행 사항(01일)</t>
    <phoneticPr fontId="2" type="noConversion"/>
  </si>
  <si>
    <t>SAMPLE 진행 사항(30일)</t>
    <phoneticPr fontId="2" type="noConversion"/>
  </si>
  <si>
    <t>SGF2050,2030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</si>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</sst>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7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49" fontId="13" fillId="0" borderId="26" xfId="2" applyNumberFormat="1" applyFont="1" applyBorder="1" applyAlignment="1">
      <alignment horizontal="center" vertical="center" shrinkToFit="1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1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1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1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09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09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0.71111111111111114</c:v>
                </c:pt>
                <c:pt idx="3">
                  <c:v>0.42361111111111099</c:v>
                </c:pt>
                <c:pt idx="4">
                  <c:v>0.51729802374598755</c:v>
                </c:pt>
                <c:pt idx="5">
                  <c:v>0.48055555555555551</c:v>
                </c:pt>
                <c:pt idx="6">
                  <c:v>0.4861111111111111</c:v>
                </c:pt>
                <c:pt idx="7">
                  <c:v>0.38333333333333336</c:v>
                </c:pt>
                <c:pt idx="8">
                  <c:v>4.027777777777778E-2</c:v>
                </c:pt>
                <c:pt idx="9">
                  <c:v>4.3055555555555555E-2</c:v>
                </c:pt>
                <c:pt idx="10">
                  <c:v>0.11805555555555555</c:v>
                </c:pt>
                <c:pt idx="11">
                  <c:v>0.48520807186414244</c:v>
                </c:pt>
                <c:pt idx="12">
                  <c:v>0.66944444444444451</c:v>
                </c:pt>
                <c:pt idx="13">
                  <c:v>0.65555555555555556</c:v>
                </c:pt>
                <c:pt idx="14">
                  <c:v>0.16805555555555557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TOP/BOTTOM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2">
                  <c:v>4627</c:v>
                </c:pt>
                <c:pt idx="3">
                  <c:v>3875</c:v>
                </c:pt>
                <c:pt idx="4">
                  <c:v>9750</c:v>
                </c:pt>
                <c:pt idx="7">
                  <c:v>1117</c:v>
                </c:pt>
                <c:pt idx="11">
                  <c:v>5072</c:v>
                </c:pt>
                <c:pt idx="12">
                  <c:v>3412</c:v>
                </c:pt>
                <c:pt idx="13">
                  <c:v>4262</c:v>
                </c:pt>
                <c:pt idx="14">
                  <c:v>54642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8E-4E67-8267-FD4AE7DE5BFF}"/>
            </c:ext>
          </c:extLst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TOP/BOTTOM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4627</c:v>
                </c:pt>
                <c:pt idx="3">
                  <c:v>3875</c:v>
                </c:pt>
                <c:pt idx="4">
                  <c:v>9750</c:v>
                </c:pt>
                <c:pt idx="5">
                  <c:v>1200</c:v>
                </c:pt>
                <c:pt idx="6">
                  <c:v>2343</c:v>
                </c:pt>
                <c:pt idx="7">
                  <c:v>1117</c:v>
                </c:pt>
                <c:pt idx="8">
                  <c:v>2946</c:v>
                </c:pt>
                <c:pt idx="9">
                  <c:v>7008</c:v>
                </c:pt>
                <c:pt idx="10">
                  <c:v>4928</c:v>
                </c:pt>
                <c:pt idx="11">
                  <c:v>5072</c:v>
                </c:pt>
                <c:pt idx="12">
                  <c:v>3412</c:v>
                </c:pt>
                <c:pt idx="13">
                  <c:v>4262</c:v>
                </c:pt>
                <c:pt idx="14">
                  <c:v>54642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8E-4E67-8267-FD4AE7DE5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88%</c:v>
                </c:pt>
                <c:pt idx="4">
                  <c:v>88%</c:v>
                </c:pt>
                <c:pt idx="5">
                  <c:v>0%</c:v>
                </c:pt>
                <c:pt idx="6">
                  <c:v>0%</c:v>
                </c:pt>
                <c:pt idx="7">
                  <c:v>33%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71%</c:v>
                </c:pt>
                <c:pt idx="13">
                  <c:v>88%</c:v>
                </c:pt>
                <c:pt idx="14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TOP/BOTTOM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0.875</c:v>
                </c:pt>
                <c:pt idx="4">
                  <c:v>0.875</c:v>
                </c:pt>
                <c:pt idx="5">
                  <c:v>0</c:v>
                </c:pt>
                <c:pt idx="6">
                  <c:v>0</c:v>
                </c:pt>
                <c:pt idx="7">
                  <c:v>0.33333333333333331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0.70833333333333337</c:v>
                </c:pt>
                <c:pt idx="13">
                  <c:v>0.875</c:v>
                </c:pt>
                <c:pt idx="14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4-436C-9638-79C84112837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E4-436C-9638-79C84112837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TOP/BOTTOM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0.43055555555555558</c:v>
                </c:pt>
                <c:pt idx="1">
                  <c:v>0.43055555555555558</c:v>
                </c:pt>
                <c:pt idx="2">
                  <c:v>0.43055555555555558</c:v>
                </c:pt>
                <c:pt idx="3">
                  <c:v>0.43055555555555558</c:v>
                </c:pt>
                <c:pt idx="4">
                  <c:v>0.43055555555555558</c:v>
                </c:pt>
                <c:pt idx="5">
                  <c:v>0.43055555555555558</c:v>
                </c:pt>
                <c:pt idx="6">
                  <c:v>0.43055555555555558</c:v>
                </c:pt>
                <c:pt idx="7">
                  <c:v>0.43055555555555558</c:v>
                </c:pt>
                <c:pt idx="8">
                  <c:v>0.43055555555555558</c:v>
                </c:pt>
                <c:pt idx="9">
                  <c:v>0.43055555555555558</c:v>
                </c:pt>
                <c:pt idx="10">
                  <c:v>0.43055555555555558</c:v>
                </c:pt>
                <c:pt idx="11">
                  <c:v>0.43055555555555558</c:v>
                </c:pt>
                <c:pt idx="12">
                  <c:v>0.43055555555555558</c:v>
                </c:pt>
                <c:pt idx="13">
                  <c:v>0.43055555555555558</c:v>
                </c:pt>
                <c:pt idx="14">
                  <c:v>0.43055555555555558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E4-436C-9638-79C841128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TOP/BOTTOM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2">
                  <c:v>4627</c:v>
                </c:pt>
                <c:pt idx="3">
                  <c:v>3875</c:v>
                </c:pt>
                <c:pt idx="4">
                  <c:v>9750</c:v>
                </c:pt>
                <c:pt idx="7">
                  <c:v>1117</c:v>
                </c:pt>
                <c:pt idx="11">
                  <c:v>5072</c:v>
                </c:pt>
                <c:pt idx="12">
                  <c:v>3412</c:v>
                </c:pt>
                <c:pt idx="13">
                  <c:v>4262</c:v>
                </c:pt>
                <c:pt idx="14">
                  <c:v>54642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1-4C9B-B0F2-72F4BD9E7FE0}"/>
            </c:ext>
          </c:extLst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TOP/BOTTOM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4627</c:v>
                </c:pt>
                <c:pt idx="3">
                  <c:v>3875</c:v>
                </c:pt>
                <c:pt idx="4">
                  <c:v>9750</c:v>
                </c:pt>
                <c:pt idx="5">
                  <c:v>1200</c:v>
                </c:pt>
                <c:pt idx="6">
                  <c:v>2343</c:v>
                </c:pt>
                <c:pt idx="7">
                  <c:v>1117</c:v>
                </c:pt>
                <c:pt idx="8">
                  <c:v>2946</c:v>
                </c:pt>
                <c:pt idx="9">
                  <c:v>7008</c:v>
                </c:pt>
                <c:pt idx="10">
                  <c:v>4928</c:v>
                </c:pt>
                <c:pt idx="11">
                  <c:v>5072</c:v>
                </c:pt>
                <c:pt idx="12">
                  <c:v>3412</c:v>
                </c:pt>
                <c:pt idx="13">
                  <c:v>4262</c:v>
                </c:pt>
                <c:pt idx="14">
                  <c:v>54642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1-4C9B-B0F2-72F4BD9E7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88%</c:v>
                </c:pt>
                <c:pt idx="4">
                  <c:v>88%</c:v>
                </c:pt>
                <c:pt idx="5">
                  <c:v>0%</c:v>
                </c:pt>
                <c:pt idx="6">
                  <c:v>0%</c:v>
                </c:pt>
                <c:pt idx="7">
                  <c:v>33%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71%</c:v>
                </c:pt>
                <c:pt idx="13">
                  <c:v>88%</c:v>
                </c:pt>
                <c:pt idx="14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TOP/BOTTOM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0.875</c:v>
                </c:pt>
                <c:pt idx="4">
                  <c:v>0.875</c:v>
                </c:pt>
                <c:pt idx="5">
                  <c:v>0</c:v>
                </c:pt>
                <c:pt idx="6">
                  <c:v>0</c:v>
                </c:pt>
                <c:pt idx="7">
                  <c:v>0.33333333333333331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0.70833333333333337</c:v>
                </c:pt>
                <c:pt idx="13">
                  <c:v>0.875</c:v>
                </c:pt>
                <c:pt idx="14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C-4856-9DC7-56DC6A0E371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1C-4856-9DC7-56DC6A0E37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SLIDER</c:v>
                </c:pt>
                <c:pt idx="6">
                  <c:v>BASE</c:v>
                </c:pt>
                <c:pt idx="7">
                  <c:v>COVER</c:v>
                </c:pt>
                <c:pt idx="8">
                  <c:v>TOP/BOTTOM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0.43055555555555558</c:v>
                </c:pt>
                <c:pt idx="1">
                  <c:v>0.43055555555555558</c:v>
                </c:pt>
                <c:pt idx="2">
                  <c:v>0.43055555555555558</c:v>
                </c:pt>
                <c:pt idx="3">
                  <c:v>0.43055555555555558</c:v>
                </c:pt>
                <c:pt idx="4">
                  <c:v>0.43055555555555558</c:v>
                </c:pt>
                <c:pt idx="5">
                  <c:v>0.43055555555555558</c:v>
                </c:pt>
                <c:pt idx="6">
                  <c:v>0.43055555555555558</c:v>
                </c:pt>
                <c:pt idx="7">
                  <c:v>0.43055555555555558</c:v>
                </c:pt>
                <c:pt idx="8">
                  <c:v>0.43055555555555558</c:v>
                </c:pt>
                <c:pt idx="9">
                  <c:v>0.43055555555555558</c:v>
                </c:pt>
                <c:pt idx="10">
                  <c:v>0.43055555555555558</c:v>
                </c:pt>
                <c:pt idx="11">
                  <c:v>0.43055555555555558</c:v>
                </c:pt>
                <c:pt idx="12">
                  <c:v>0.43055555555555558</c:v>
                </c:pt>
                <c:pt idx="13">
                  <c:v>0.43055555555555558</c:v>
                </c:pt>
                <c:pt idx="14">
                  <c:v>0.43055555555555558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C-4856-9DC7-56DC6A0E3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07C-48DE-BFC3-E532684990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7C-48DE-BFC3-E5326849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7C-48DE-BFC3-E532684990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7C-48DE-BFC3-E5326849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2">
                  <c:v>5788</c:v>
                </c:pt>
                <c:pt idx="3">
                  <c:v>1593</c:v>
                </c:pt>
                <c:pt idx="4">
                  <c:v>12190</c:v>
                </c:pt>
                <c:pt idx="5">
                  <c:v>559</c:v>
                </c:pt>
                <c:pt idx="6">
                  <c:v>3015</c:v>
                </c:pt>
                <c:pt idx="7">
                  <c:v>1524</c:v>
                </c:pt>
                <c:pt idx="8">
                  <c:v>620</c:v>
                </c:pt>
                <c:pt idx="11">
                  <c:v>5864</c:v>
                </c:pt>
                <c:pt idx="12">
                  <c:v>5557</c:v>
                </c:pt>
                <c:pt idx="14">
                  <c:v>62589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5-40BF-B066-86800AE7C44A}"/>
            </c:ext>
          </c:extLst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5788</c:v>
                </c:pt>
                <c:pt idx="3">
                  <c:v>1593</c:v>
                </c:pt>
                <c:pt idx="4">
                  <c:v>12190</c:v>
                </c:pt>
                <c:pt idx="5">
                  <c:v>559</c:v>
                </c:pt>
                <c:pt idx="6">
                  <c:v>3015</c:v>
                </c:pt>
                <c:pt idx="7">
                  <c:v>1524</c:v>
                </c:pt>
                <c:pt idx="8">
                  <c:v>620</c:v>
                </c:pt>
                <c:pt idx="9">
                  <c:v>7008</c:v>
                </c:pt>
                <c:pt idx="10">
                  <c:v>4928</c:v>
                </c:pt>
                <c:pt idx="11">
                  <c:v>5864</c:v>
                </c:pt>
                <c:pt idx="12">
                  <c:v>5557</c:v>
                </c:pt>
                <c:pt idx="13">
                  <c:v>4262</c:v>
                </c:pt>
                <c:pt idx="14">
                  <c:v>62589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B5-40BF-B066-86800AE7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38%</c:v>
                </c:pt>
                <c:pt idx="4">
                  <c:v>100%</c:v>
                </c:pt>
                <c:pt idx="5">
                  <c:v>17%</c:v>
                </c:pt>
                <c:pt idx="6">
                  <c:v>75%</c:v>
                </c:pt>
                <c:pt idx="7">
                  <c:v>42%</c:v>
                </c:pt>
                <c:pt idx="8">
                  <c:v>33%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0.375</c:v>
                </c:pt>
                <c:pt idx="4">
                  <c:v>1</c:v>
                </c:pt>
                <c:pt idx="5">
                  <c:v>0.16666666666666666</c:v>
                </c:pt>
                <c:pt idx="6">
                  <c:v>0.75</c:v>
                </c:pt>
                <c:pt idx="7">
                  <c:v>0.41666666666666669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7-442C-A50D-2E7CDD97374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F7-442C-A50D-2E7CDD97374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0.46944444444444439</c:v>
                </c:pt>
                <c:pt idx="1">
                  <c:v>0.46944444444444439</c:v>
                </c:pt>
                <c:pt idx="2">
                  <c:v>0.46944444444444439</c:v>
                </c:pt>
                <c:pt idx="3">
                  <c:v>0.46944444444444439</c:v>
                </c:pt>
                <c:pt idx="4">
                  <c:v>0.46944444444444439</c:v>
                </c:pt>
                <c:pt idx="5">
                  <c:v>0.46944444444444439</c:v>
                </c:pt>
                <c:pt idx="6">
                  <c:v>0.46944444444444439</c:v>
                </c:pt>
                <c:pt idx="7">
                  <c:v>0.46944444444444439</c:v>
                </c:pt>
                <c:pt idx="8">
                  <c:v>0.46944444444444439</c:v>
                </c:pt>
                <c:pt idx="9">
                  <c:v>0.46944444444444439</c:v>
                </c:pt>
                <c:pt idx="10">
                  <c:v>0.46944444444444439</c:v>
                </c:pt>
                <c:pt idx="11">
                  <c:v>0.46944444444444439</c:v>
                </c:pt>
                <c:pt idx="12">
                  <c:v>0.46944444444444439</c:v>
                </c:pt>
                <c:pt idx="13">
                  <c:v>0.46944444444444439</c:v>
                </c:pt>
                <c:pt idx="14">
                  <c:v>0.46944444444444439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F7-442C-A50D-2E7CDD973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2">
                  <c:v>5788</c:v>
                </c:pt>
                <c:pt idx="3">
                  <c:v>1593</c:v>
                </c:pt>
                <c:pt idx="4">
                  <c:v>12190</c:v>
                </c:pt>
                <c:pt idx="5">
                  <c:v>559</c:v>
                </c:pt>
                <c:pt idx="6">
                  <c:v>3015</c:v>
                </c:pt>
                <c:pt idx="7">
                  <c:v>1524</c:v>
                </c:pt>
                <c:pt idx="8">
                  <c:v>620</c:v>
                </c:pt>
                <c:pt idx="11">
                  <c:v>5864</c:v>
                </c:pt>
                <c:pt idx="12">
                  <c:v>5557</c:v>
                </c:pt>
                <c:pt idx="14">
                  <c:v>62589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72-4FF3-A7B1-F7F571125E15}"/>
            </c:ext>
          </c:extLst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5788</c:v>
                </c:pt>
                <c:pt idx="3">
                  <c:v>1593</c:v>
                </c:pt>
                <c:pt idx="4">
                  <c:v>12190</c:v>
                </c:pt>
                <c:pt idx="5">
                  <c:v>559</c:v>
                </c:pt>
                <c:pt idx="6">
                  <c:v>3015</c:v>
                </c:pt>
                <c:pt idx="7">
                  <c:v>1524</c:v>
                </c:pt>
                <c:pt idx="8">
                  <c:v>620</c:v>
                </c:pt>
                <c:pt idx="9">
                  <c:v>7008</c:v>
                </c:pt>
                <c:pt idx="10">
                  <c:v>4928</c:v>
                </c:pt>
                <c:pt idx="11">
                  <c:v>5864</c:v>
                </c:pt>
                <c:pt idx="12">
                  <c:v>5557</c:v>
                </c:pt>
                <c:pt idx="13">
                  <c:v>4262</c:v>
                </c:pt>
                <c:pt idx="14">
                  <c:v>62589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72-4FF3-A7B1-F7F571125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38%</c:v>
                </c:pt>
                <c:pt idx="4">
                  <c:v>100%</c:v>
                </c:pt>
                <c:pt idx="5">
                  <c:v>17%</c:v>
                </c:pt>
                <c:pt idx="6">
                  <c:v>75%</c:v>
                </c:pt>
                <c:pt idx="7">
                  <c:v>42%</c:v>
                </c:pt>
                <c:pt idx="8">
                  <c:v>33%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0.375</c:v>
                </c:pt>
                <c:pt idx="4">
                  <c:v>1</c:v>
                </c:pt>
                <c:pt idx="5">
                  <c:v>0.16666666666666666</c:v>
                </c:pt>
                <c:pt idx="6">
                  <c:v>0.75</c:v>
                </c:pt>
                <c:pt idx="7">
                  <c:v>0.41666666666666669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8A-48B4-814B-AEBCEE302B0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98A-48B4-814B-AEBCEE302B0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LEAD IN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0.46944444444444439</c:v>
                </c:pt>
                <c:pt idx="1">
                  <c:v>0.46944444444444439</c:v>
                </c:pt>
                <c:pt idx="2">
                  <c:v>0.46944444444444439</c:v>
                </c:pt>
                <c:pt idx="3">
                  <c:v>0.46944444444444439</c:v>
                </c:pt>
                <c:pt idx="4">
                  <c:v>0.46944444444444439</c:v>
                </c:pt>
                <c:pt idx="5">
                  <c:v>0.46944444444444439</c:v>
                </c:pt>
                <c:pt idx="6">
                  <c:v>0.46944444444444439</c:v>
                </c:pt>
                <c:pt idx="7">
                  <c:v>0.46944444444444439</c:v>
                </c:pt>
                <c:pt idx="8">
                  <c:v>0.46944444444444439</c:v>
                </c:pt>
                <c:pt idx="9">
                  <c:v>0.46944444444444439</c:v>
                </c:pt>
                <c:pt idx="10">
                  <c:v>0.46944444444444439</c:v>
                </c:pt>
                <c:pt idx="11">
                  <c:v>0.46944444444444439</c:v>
                </c:pt>
                <c:pt idx="12">
                  <c:v>0.46944444444444439</c:v>
                </c:pt>
                <c:pt idx="13">
                  <c:v>0.46944444444444439</c:v>
                </c:pt>
                <c:pt idx="14">
                  <c:v>0.46944444444444439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8A-48B4-814B-AEBCEE302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083-432B-8873-6F614B94A3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83-432B-8873-6F614B94A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083-432B-8873-6F614B94A3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83-432B-8873-6F614B94A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2">
                  <c:v>4762</c:v>
                </c:pt>
                <c:pt idx="4">
                  <c:v>11998</c:v>
                </c:pt>
                <c:pt idx="5">
                  <c:v>1238</c:v>
                </c:pt>
                <c:pt idx="6">
                  <c:v>1279</c:v>
                </c:pt>
                <c:pt idx="7">
                  <c:v>2456</c:v>
                </c:pt>
                <c:pt idx="8">
                  <c:v>2788</c:v>
                </c:pt>
                <c:pt idx="9">
                  <c:v>500</c:v>
                </c:pt>
                <c:pt idx="12">
                  <c:v>5178</c:v>
                </c:pt>
                <c:pt idx="13">
                  <c:v>5582</c:v>
                </c:pt>
                <c:pt idx="14">
                  <c:v>2713</c:v>
                </c:pt>
                <c:pt idx="15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E-4341-9AAA-B61A3632DD34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4762</c:v>
                </c:pt>
                <c:pt idx="3">
                  <c:v>1593</c:v>
                </c:pt>
                <c:pt idx="4">
                  <c:v>11998</c:v>
                </c:pt>
                <c:pt idx="5">
                  <c:v>1238</c:v>
                </c:pt>
                <c:pt idx="6">
                  <c:v>1279</c:v>
                </c:pt>
                <c:pt idx="7">
                  <c:v>2456</c:v>
                </c:pt>
                <c:pt idx="8">
                  <c:v>2788</c:v>
                </c:pt>
                <c:pt idx="9">
                  <c:v>500</c:v>
                </c:pt>
                <c:pt idx="10">
                  <c:v>7008</c:v>
                </c:pt>
                <c:pt idx="11">
                  <c:v>4928</c:v>
                </c:pt>
                <c:pt idx="12">
                  <c:v>5178</c:v>
                </c:pt>
                <c:pt idx="13">
                  <c:v>5582</c:v>
                </c:pt>
                <c:pt idx="14">
                  <c:v>2713</c:v>
                </c:pt>
                <c:pt idx="15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7E-4341-9AAA-B61A3632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0%</c:v>
                </c:pt>
                <c:pt idx="4">
                  <c:v>100%</c:v>
                </c:pt>
                <c:pt idx="5">
                  <c:v>33%</c:v>
                </c:pt>
                <c:pt idx="6">
                  <c:v>25%</c:v>
                </c:pt>
                <c:pt idx="7">
                  <c:v>25%</c:v>
                </c:pt>
                <c:pt idx="8">
                  <c:v>63%</c:v>
                </c:pt>
                <c:pt idx="9">
                  <c:v>29%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58%</c:v>
                </c:pt>
                <c:pt idx="15">
                  <c:v>21%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</c:v>
                </c:pt>
                <c:pt idx="4">
                  <c:v>1</c:v>
                </c:pt>
                <c:pt idx="5">
                  <c:v>0.33333333333333331</c:v>
                </c:pt>
                <c:pt idx="6">
                  <c:v>0.25</c:v>
                </c:pt>
                <c:pt idx="7">
                  <c:v>0.25</c:v>
                </c:pt>
                <c:pt idx="8">
                  <c:v>0.625</c:v>
                </c:pt>
                <c:pt idx="9">
                  <c:v>0.29166666666666669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0.58333333333333337</c:v>
                </c:pt>
                <c:pt idx="15">
                  <c:v>0.20833333333333334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00-47E3-B017-C9FABE0581C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00-47E3-B017-C9FABE0581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0.43055555555555547</c:v>
                </c:pt>
                <c:pt idx="1">
                  <c:v>0.43055555555555547</c:v>
                </c:pt>
                <c:pt idx="2">
                  <c:v>0.43055555555555547</c:v>
                </c:pt>
                <c:pt idx="3">
                  <c:v>0.43055555555555547</c:v>
                </c:pt>
                <c:pt idx="4">
                  <c:v>0.43055555555555547</c:v>
                </c:pt>
                <c:pt idx="5">
                  <c:v>0.43055555555555547</c:v>
                </c:pt>
                <c:pt idx="6">
                  <c:v>0.43055555555555547</c:v>
                </c:pt>
                <c:pt idx="7">
                  <c:v>0.43055555555555547</c:v>
                </c:pt>
                <c:pt idx="8">
                  <c:v>0.43055555555555547</c:v>
                </c:pt>
                <c:pt idx="9">
                  <c:v>0.43055555555555547</c:v>
                </c:pt>
                <c:pt idx="10">
                  <c:v>0.43055555555555547</c:v>
                </c:pt>
                <c:pt idx="11">
                  <c:v>0.43055555555555547</c:v>
                </c:pt>
                <c:pt idx="12">
                  <c:v>0.43055555555555547</c:v>
                </c:pt>
                <c:pt idx="13">
                  <c:v>0.43055555555555547</c:v>
                </c:pt>
                <c:pt idx="14">
                  <c:v>0.43055555555555547</c:v>
                </c:pt>
                <c:pt idx="15">
                  <c:v>0.43055555555555547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00-47E3-B017-C9FABE058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2">
                  <c:v>4762</c:v>
                </c:pt>
                <c:pt idx="4">
                  <c:v>11998</c:v>
                </c:pt>
                <c:pt idx="5">
                  <c:v>1238</c:v>
                </c:pt>
                <c:pt idx="6">
                  <c:v>1279</c:v>
                </c:pt>
                <c:pt idx="7">
                  <c:v>2456</c:v>
                </c:pt>
                <c:pt idx="8">
                  <c:v>2788</c:v>
                </c:pt>
                <c:pt idx="9">
                  <c:v>500</c:v>
                </c:pt>
                <c:pt idx="12">
                  <c:v>5178</c:v>
                </c:pt>
                <c:pt idx="13">
                  <c:v>5582</c:v>
                </c:pt>
                <c:pt idx="14">
                  <c:v>2713</c:v>
                </c:pt>
                <c:pt idx="15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FE-4C1F-8653-D9550F4AC2A7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4762</c:v>
                </c:pt>
                <c:pt idx="3">
                  <c:v>1593</c:v>
                </c:pt>
                <c:pt idx="4">
                  <c:v>11998</c:v>
                </c:pt>
                <c:pt idx="5">
                  <c:v>1238</c:v>
                </c:pt>
                <c:pt idx="6">
                  <c:v>1279</c:v>
                </c:pt>
                <c:pt idx="7">
                  <c:v>2456</c:v>
                </c:pt>
                <c:pt idx="8">
                  <c:v>2788</c:v>
                </c:pt>
                <c:pt idx="9">
                  <c:v>500</c:v>
                </c:pt>
                <c:pt idx="10">
                  <c:v>7008</c:v>
                </c:pt>
                <c:pt idx="11">
                  <c:v>4928</c:v>
                </c:pt>
                <c:pt idx="12">
                  <c:v>5178</c:v>
                </c:pt>
                <c:pt idx="13">
                  <c:v>5582</c:v>
                </c:pt>
                <c:pt idx="14">
                  <c:v>2713</c:v>
                </c:pt>
                <c:pt idx="15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FE-4C1F-8653-D9550F4AC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0%</c:v>
                </c:pt>
                <c:pt idx="4">
                  <c:v>100%</c:v>
                </c:pt>
                <c:pt idx="5">
                  <c:v>33%</c:v>
                </c:pt>
                <c:pt idx="6">
                  <c:v>25%</c:v>
                </c:pt>
                <c:pt idx="7">
                  <c:v>25%</c:v>
                </c:pt>
                <c:pt idx="8">
                  <c:v>63%</c:v>
                </c:pt>
                <c:pt idx="9">
                  <c:v>29%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58%</c:v>
                </c:pt>
                <c:pt idx="15">
                  <c:v>21%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</c:v>
                </c:pt>
                <c:pt idx="4">
                  <c:v>1</c:v>
                </c:pt>
                <c:pt idx="5">
                  <c:v>0.33333333333333331</c:v>
                </c:pt>
                <c:pt idx="6">
                  <c:v>0.25</c:v>
                </c:pt>
                <c:pt idx="7">
                  <c:v>0.25</c:v>
                </c:pt>
                <c:pt idx="8">
                  <c:v>0.625</c:v>
                </c:pt>
                <c:pt idx="9">
                  <c:v>0.29166666666666669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0.58333333333333337</c:v>
                </c:pt>
                <c:pt idx="15">
                  <c:v>0.20833333333333334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4-4521-BC58-7DBADFC607A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2D4-4521-BC58-7DBADFC607A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0.43055555555555547</c:v>
                </c:pt>
                <c:pt idx="1">
                  <c:v>0.43055555555555547</c:v>
                </c:pt>
                <c:pt idx="2">
                  <c:v>0.43055555555555547</c:v>
                </c:pt>
                <c:pt idx="3">
                  <c:v>0.43055555555555547</c:v>
                </c:pt>
                <c:pt idx="4">
                  <c:v>0.43055555555555547</c:v>
                </c:pt>
                <c:pt idx="5">
                  <c:v>0.43055555555555547</c:v>
                </c:pt>
                <c:pt idx="6">
                  <c:v>0.43055555555555547</c:v>
                </c:pt>
                <c:pt idx="7">
                  <c:v>0.43055555555555547</c:v>
                </c:pt>
                <c:pt idx="8">
                  <c:v>0.43055555555555547</c:v>
                </c:pt>
                <c:pt idx="9">
                  <c:v>0.43055555555555547</c:v>
                </c:pt>
                <c:pt idx="10">
                  <c:v>0.43055555555555547</c:v>
                </c:pt>
                <c:pt idx="11">
                  <c:v>0.43055555555555547</c:v>
                </c:pt>
                <c:pt idx="12">
                  <c:v>0.43055555555555547</c:v>
                </c:pt>
                <c:pt idx="13">
                  <c:v>0.43055555555555547</c:v>
                </c:pt>
                <c:pt idx="14">
                  <c:v>0.43055555555555547</c:v>
                </c:pt>
                <c:pt idx="15">
                  <c:v>0.43055555555555547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D4-4521-BC58-7DBADFC6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C1C-4586-9A36-5ABD83D07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1C-4586-9A36-5ABD83D0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1C-4586-9A36-5ABD83D075D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1C-4586-9A36-5ABD83D0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288BASE</c:v>
                </c:pt>
                <c:pt idx="10">
                  <c:v>COVER</c:v>
                </c:pt>
                <c:pt idx="11">
                  <c:v>COVER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2">
                  <c:v>4226</c:v>
                </c:pt>
                <c:pt idx="4">
                  <c:v>5090</c:v>
                </c:pt>
                <c:pt idx="5">
                  <c:v>545</c:v>
                </c:pt>
                <c:pt idx="7">
                  <c:v>4654</c:v>
                </c:pt>
                <c:pt idx="8">
                  <c:v>1045</c:v>
                </c:pt>
                <c:pt idx="11">
                  <c:v>10832</c:v>
                </c:pt>
                <c:pt idx="12">
                  <c:v>5609</c:v>
                </c:pt>
                <c:pt idx="13">
                  <c:v>2139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4-4D8D-9FC0-C6B653D17554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288BASE</c:v>
                </c:pt>
                <c:pt idx="10">
                  <c:v>COVER</c:v>
                </c:pt>
                <c:pt idx="11">
                  <c:v>COVER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4226</c:v>
                </c:pt>
                <c:pt idx="3">
                  <c:v>1593</c:v>
                </c:pt>
                <c:pt idx="4">
                  <c:v>5090</c:v>
                </c:pt>
                <c:pt idx="5">
                  <c:v>545</c:v>
                </c:pt>
                <c:pt idx="6">
                  <c:v>1279</c:v>
                </c:pt>
                <c:pt idx="7">
                  <c:v>4654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10832</c:v>
                </c:pt>
                <c:pt idx="12">
                  <c:v>5609</c:v>
                </c:pt>
                <c:pt idx="13">
                  <c:v>2139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4-4D8D-9FC0-C6B653D17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0%</c:v>
                </c:pt>
                <c:pt idx="4">
                  <c:v>71%</c:v>
                </c:pt>
                <c:pt idx="5">
                  <c:v>17%</c:v>
                </c:pt>
                <c:pt idx="6">
                  <c:v>0%</c:v>
                </c:pt>
                <c:pt idx="7">
                  <c:v>96%</c:v>
                </c:pt>
                <c:pt idx="8">
                  <c:v>58%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33%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288BASE</c:v>
                </c:pt>
                <c:pt idx="10">
                  <c:v>COVER</c:v>
                </c:pt>
                <c:pt idx="11">
                  <c:v>COVER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</c:v>
                </c:pt>
                <c:pt idx="4">
                  <c:v>0.70833333333333337</c:v>
                </c:pt>
                <c:pt idx="5">
                  <c:v>0.16666666666666666</c:v>
                </c:pt>
                <c:pt idx="6">
                  <c:v>0</c:v>
                </c:pt>
                <c:pt idx="7">
                  <c:v>0.95833333333333337</c:v>
                </c:pt>
                <c:pt idx="8">
                  <c:v>0.58333333333333337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0.33333333333333331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0-4F6F-85C1-A5F4B06DCAB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C0-4F6F-85C1-A5F4B06DCAB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288BASE</c:v>
                </c:pt>
                <c:pt idx="10">
                  <c:v>COVER</c:v>
                </c:pt>
                <c:pt idx="11">
                  <c:v>COVER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0.375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0.375</c:v>
                </c:pt>
                <c:pt idx="12">
                  <c:v>0.375</c:v>
                </c:pt>
                <c:pt idx="13">
                  <c:v>0.375</c:v>
                </c:pt>
                <c:pt idx="1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0-4F6F-85C1-A5F4B06DC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288BASE</c:v>
                </c:pt>
                <c:pt idx="10">
                  <c:v>COVER</c:v>
                </c:pt>
                <c:pt idx="11">
                  <c:v>COVER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2">
                  <c:v>4226</c:v>
                </c:pt>
                <c:pt idx="4">
                  <c:v>5090</c:v>
                </c:pt>
                <c:pt idx="5">
                  <c:v>545</c:v>
                </c:pt>
                <c:pt idx="7">
                  <c:v>4654</c:v>
                </c:pt>
                <c:pt idx="8">
                  <c:v>1045</c:v>
                </c:pt>
                <c:pt idx="11">
                  <c:v>10832</c:v>
                </c:pt>
                <c:pt idx="12">
                  <c:v>5609</c:v>
                </c:pt>
                <c:pt idx="13">
                  <c:v>2139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3-4251-90DC-71FAB6618DF6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288BASE</c:v>
                </c:pt>
                <c:pt idx="10">
                  <c:v>COVER</c:v>
                </c:pt>
                <c:pt idx="11">
                  <c:v>COVER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4226</c:v>
                </c:pt>
                <c:pt idx="3">
                  <c:v>1593</c:v>
                </c:pt>
                <c:pt idx="4">
                  <c:v>5090</c:v>
                </c:pt>
                <c:pt idx="5">
                  <c:v>545</c:v>
                </c:pt>
                <c:pt idx="6">
                  <c:v>1279</c:v>
                </c:pt>
                <c:pt idx="7">
                  <c:v>4654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10832</c:v>
                </c:pt>
                <c:pt idx="12">
                  <c:v>5609</c:v>
                </c:pt>
                <c:pt idx="13">
                  <c:v>2139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3-4251-90DC-71FAB6618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0%</c:v>
                </c:pt>
                <c:pt idx="4">
                  <c:v>71%</c:v>
                </c:pt>
                <c:pt idx="5">
                  <c:v>17%</c:v>
                </c:pt>
                <c:pt idx="6">
                  <c:v>0%</c:v>
                </c:pt>
                <c:pt idx="7">
                  <c:v>96%</c:v>
                </c:pt>
                <c:pt idx="8">
                  <c:v>58%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33%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288BASE</c:v>
                </c:pt>
                <c:pt idx="10">
                  <c:v>COVER</c:v>
                </c:pt>
                <c:pt idx="11">
                  <c:v>COVER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</c:v>
                </c:pt>
                <c:pt idx="4">
                  <c:v>0.70833333333333337</c:v>
                </c:pt>
                <c:pt idx="5">
                  <c:v>0.16666666666666666</c:v>
                </c:pt>
                <c:pt idx="6">
                  <c:v>0</c:v>
                </c:pt>
                <c:pt idx="7">
                  <c:v>0.95833333333333337</c:v>
                </c:pt>
                <c:pt idx="8">
                  <c:v>0.58333333333333337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0.33333333333333331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3E-4598-916D-AC5D29AA977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3E-4598-916D-AC5D29AA977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288BASE</c:v>
                </c:pt>
                <c:pt idx="10">
                  <c:v>COVER</c:v>
                </c:pt>
                <c:pt idx="11">
                  <c:v>COVER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0.375</c:v>
                </c:pt>
                <c:pt idx="1">
                  <c:v>0.375</c:v>
                </c:pt>
                <c:pt idx="2">
                  <c:v>0.375</c:v>
                </c:pt>
                <c:pt idx="3">
                  <c:v>0.375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0.375</c:v>
                </c:pt>
                <c:pt idx="9">
                  <c:v>0.375</c:v>
                </c:pt>
                <c:pt idx="10">
                  <c:v>0.375</c:v>
                </c:pt>
                <c:pt idx="11">
                  <c:v>0.375</c:v>
                </c:pt>
                <c:pt idx="12">
                  <c:v>0.375</c:v>
                </c:pt>
                <c:pt idx="13">
                  <c:v>0.375</c:v>
                </c:pt>
                <c:pt idx="1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3E-4598-916D-AC5D29AA9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231-4955-8272-9C1C92F898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31-4955-8272-9C1C92F89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31-4955-8272-9C1C92F898A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31-4955-8272-9C1C92F89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LATCH</c:v>
                </c:pt>
                <c:pt idx="6">
                  <c:v>BASE</c:v>
                </c:pt>
                <c:pt idx="7">
                  <c:v>38P</c:v>
                </c:pt>
                <c:pt idx="9">
                  <c:v>288BASE</c:v>
                </c:pt>
                <c:pt idx="11">
                  <c:v>COVER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3">
                  <c:v>1896</c:v>
                </c:pt>
                <c:pt idx="4">
                  <c:v>7584</c:v>
                </c:pt>
                <c:pt idx="5">
                  <c:v>2152</c:v>
                </c:pt>
                <c:pt idx="6">
                  <c:v>2974</c:v>
                </c:pt>
                <c:pt idx="7">
                  <c:v>1089</c:v>
                </c:pt>
                <c:pt idx="8">
                  <c:v>3777</c:v>
                </c:pt>
                <c:pt idx="12">
                  <c:v>9272</c:v>
                </c:pt>
                <c:pt idx="13">
                  <c:v>5617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CD-46B1-B0A6-A7B1E76DBF26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LATCH</c:v>
                </c:pt>
                <c:pt idx="6">
                  <c:v>BASE</c:v>
                </c:pt>
                <c:pt idx="7">
                  <c:v>38P</c:v>
                </c:pt>
                <c:pt idx="9">
                  <c:v>288BASE</c:v>
                </c:pt>
                <c:pt idx="11">
                  <c:v>COVER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4226</c:v>
                </c:pt>
                <c:pt idx="3">
                  <c:v>1896</c:v>
                </c:pt>
                <c:pt idx="4">
                  <c:v>7584</c:v>
                </c:pt>
                <c:pt idx="5">
                  <c:v>2152</c:v>
                </c:pt>
                <c:pt idx="6">
                  <c:v>2974</c:v>
                </c:pt>
                <c:pt idx="7">
                  <c:v>1089</c:v>
                </c:pt>
                <c:pt idx="8">
                  <c:v>3777</c:v>
                </c:pt>
                <c:pt idx="9">
                  <c:v>1045</c:v>
                </c:pt>
                <c:pt idx="10">
                  <c:v>7008</c:v>
                </c:pt>
                <c:pt idx="11">
                  <c:v>4928</c:v>
                </c:pt>
                <c:pt idx="12">
                  <c:v>9272</c:v>
                </c:pt>
                <c:pt idx="13">
                  <c:v>5617</c:v>
                </c:pt>
                <c:pt idx="14">
                  <c:v>2139</c:v>
                </c:pt>
                <c:pt idx="15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CD-46B1-B0A6-A7B1E76DB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25%</c:v>
                </c:pt>
                <c:pt idx="4">
                  <c:v>8%</c:v>
                </c:pt>
                <c:pt idx="5">
                  <c:v>33%</c:v>
                </c:pt>
                <c:pt idx="6">
                  <c:v>58%</c:v>
                </c:pt>
                <c:pt idx="7">
                  <c:v>21%</c:v>
                </c:pt>
                <c:pt idx="8">
                  <c:v>71%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LATCH</c:v>
                </c:pt>
                <c:pt idx="6">
                  <c:v>BASE</c:v>
                </c:pt>
                <c:pt idx="7">
                  <c:v>38P</c:v>
                </c:pt>
                <c:pt idx="9">
                  <c:v>288BASE</c:v>
                </c:pt>
                <c:pt idx="11">
                  <c:v>COVER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8.3333333333333329E-2</c:v>
                </c:pt>
                <c:pt idx="5">
                  <c:v>0.33333333333333331</c:v>
                </c:pt>
                <c:pt idx="6">
                  <c:v>0.58333333333333337</c:v>
                </c:pt>
                <c:pt idx="7">
                  <c:v>0.20833333333333334</c:v>
                </c:pt>
                <c:pt idx="8">
                  <c:v>0.70833333333333337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F-4F84-A907-B1362D79AF0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6F-4F84-A907-B1362D79AF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LATCH</c:v>
                </c:pt>
                <c:pt idx="6">
                  <c:v>BASE</c:v>
                </c:pt>
                <c:pt idx="7">
                  <c:v>38P</c:v>
                </c:pt>
                <c:pt idx="9">
                  <c:v>288BASE</c:v>
                </c:pt>
                <c:pt idx="11">
                  <c:v>COVER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0.27777777777777773</c:v>
                </c:pt>
                <c:pt idx="1">
                  <c:v>0.27777777777777773</c:v>
                </c:pt>
                <c:pt idx="2">
                  <c:v>0.27777777777777773</c:v>
                </c:pt>
                <c:pt idx="3">
                  <c:v>0.27777777777777773</c:v>
                </c:pt>
                <c:pt idx="4">
                  <c:v>0.27777777777777773</c:v>
                </c:pt>
                <c:pt idx="5">
                  <c:v>0.27777777777777773</c:v>
                </c:pt>
                <c:pt idx="6">
                  <c:v>0.27777777777777773</c:v>
                </c:pt>
                <c:pt idx="7">
                  <c:v>0.27777777777777773</c:v>
                </c:pt>
                <c:pt idx="8">
                  <c:v>0.27777777777777773</c:v>
                </c:pt>
                <c:pt idx="9">
                  <c:v>0.27777777777777773</c:v>
                </c:pt>
                <c:pt idx="10">
                  <c:v>0.27777777777777773</c:v>
                </c:pt>
                <c:pt idx="11">
                  <c:v>0.27777777777777773</c:v>
                </c:pt>
                <c:pt idx="12">
                  <c:v>0.27777777777777773</c:v>
                </c:pt>
                <c:pt idx="13">
                  <c:v>0.27777777777777773</c:v>
                </c:pt>
                <c:pt idx="14">
                  <c:v>0.27777777777777773</c:v>
                </c:pt>
                <c:pt idx="15">
                  <c:v>0.27777777777777773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6F-4F84-A907-B1362D79A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LATCH</c:v>
                </c:pt>
                <c:pt idx="6">
                  <c:v>BASE</c:v>
                </c:pt>
                <c:pt idx="7">
                  <c:v>38P</c:v>
                </c:pt>
                <c:pt idx="9">
                  <c:v>288BASE</c:v>
                </c:pt>
                <c:pt idx="11">
                  <c:v>COVER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3">
                  <c:v>1896</c:v>
                </c:pt>
                <c:pt idx="4">
                  <c:v>7584</c:v>
                </c:pt>
                <c:pt idx="5">
                  <c:v>2152</c:v>
                </c:pt>
                <c:pt idx="6">
                  <c:v>2974</c:v>
                </c:pt>
                <c:pt idx="7">
                  <c:v>1089</c:v>
                </c:pt>
                <c:pt idx="8">
                  <c:v>3777</c:v>
                </c:pt>
                <c:pt idx="12">
                  <c:v>9272</c:v>
                </c:pt>
                <c:pt idx="13">
                  <c:v>5617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C1-4953-9DE4-EFD88C9B2D43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LATCH</c:v>
                </c:pt>
                <c:pt idx="6">
                  <c:v>BASE</c:v>
                </c:pt>
                <c:pt idx="7">
                  <c:v>38P</c:v>
                </c:pt>
                <c:pt idx="9">
                  <c:v>288BASE</c:v>
                </c:pt>
                <c:pt idx="11">
                  <c:v>COVER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4226</c:v>
                </c:pt>
                <c:pt idx="3">
                  <c:v>1896</c:v>
                </c:pt>
                <c:pt idx="4">
                  <c:v>7584</c:v>
                </c:pt>
                <c:pt idx="5">
                  <c:v>2152</c:v>
                </c:pt>
                <c:pt idx="6">
                  <c:v>2974</c:v>
                </c:pt>
                <c:pt idx="7">
                  <c:v>1089</c:v>
                </c:pt>
                <c:pt idx="8">
                  <c:v>3777</c:v>
                </c:pt>
                <c:pt idx="9">
                  <c:v>1045</c:v>
                </c:pt>
                <c:pt idx="10">
                  <c:v>7008</c:v>
                </c:pt>
                <c:pt idx="11">
                  <c:v>4928</c:v>
                </c:pt>
                <c:pt idx="12">
                  <c:v>9272</c:v>
                </c:pt>
                <c:pt idx="13">
                  <c:v>5617</c:v>
                </c:pt>
                <c:pt idx="14">
                  <c:v>2139</c:v>
                </c:pt>
                <c:pt idx="15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C1-4953-9DE4-EFD88C9B2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25%</c:v>
                </c:pt>
                <c:pt idx="4">
                  <c:v>8%</c:v>
                </c:pt>
                <c:pt idx="5">
                  <c:v>33%</c:v>
                </c:pt>
                <c:pt idx="6">
                  <c:v>58%</c:v>
                </c:pt>
                <c:pt idx="7">
                  <c:v>21%</c:v>
                </c:pt>
                <c:pt idx="8">
                  <c:v>71%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LATCH</c:v>
                </c:pt>
                <c:pt idx="6">
                  <c:v>BASE</c:v>
                </c:pt>
                <c:pt idx="7">
                  <c:v>38P</c:v>
                </c:pt>
                <c:pt idx="9">
                  <c:v>288BASE</c:v>
                </c:pt>
                <c:pt idx="11">
                  <c:v>COVER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8.3333333333333329E-2</c:v>
                </c:pt>
                <c:pt idx="5">
                  <c:v>0.33333333333333331</c:v>
                </c:pt>
                <c:pt idx="6">
                  <c:v>0.58333333333333337</c:v>
                </c:pt>
                <c:pt idx="7">
                  <c:v>0.20833333333333334</c:v>
                </c:pt>
                <c:pt idx="8">
                  <c:v>0.70833333333333337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7-4442-A9D8-7BB91F73D00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157-4442-A9D8-7BB91F73D00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LATCH</c:v>
                </c:pt>
                <c:pt idx="6">
                  <c:v>BASE</c:v>
                </c:pt>
                <c:pt idx="7">
                  <c:v>38P</c:v>
                </c:pt>
                <c:pt idx="9">
                  <c:v>288BASE</c:v>
                </c:pt>
                <c:pt idx="11">
                  <c:v>COVER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0.27777777777777773</c:v>
                </c:pt>
                <c:pt idx="1">
                  <c:v>0.27777777777777773</c:v>
                </c:pt>
                <c:pt idx="2">
                  <c:v>0.27777777777777773</c:v>
                </c:pt>
                <c:pt idx="3">
                  <c:v>0.27777777777777773</c:v>
                </c:pt>
                <c:pt idx="4">
                  <c:v>0.27777777777777773</c:v>
                </c:pt>
                <c:pt idx="5">
                  <c:v>0.27777777777777773</c:v>
                </c:pt>
                <c:pt idx="6">
                  <c:v>0.27777777777777773</c:v>
                </c:pt>
                <c:pt idx="7">
                  <c:v>0.27777777777777773</c:v>
                </c:pt>
                <c:pt idx="8">
                  <c:v>0.27777777777777773</c:v>
                </c:pt>
                <c:pt idx="9">
                  <c:v>0.27777777777777773</c:v>
                </c:pt>
                <c:pt idx="10">
                  <c:v>0.27777777777777773</c:v>
                </c:pt>
                <c:pt idx="11">
                  <c:v>0.27777777777777773</c:v>
                </c:pt>
                <c:pt idx="12">
                  <c:v>0.27777777777777773</c:v>
                </c:pt>
                <c:pt idx="13">
                  <c:v>0.27777777777777773</c:v>
                </c:pt>
                <c:pt idx="14">
                  <c:v>0.27777777777777773</c:v>
                </c:pt>
                <c:pt idx="15">
                  <c:v>0.27777777777777773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57-4442-A9D8-7BB91F73D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7A4-414C-BBE2-3A96EFD74D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A4-414C-BBE2-3A96EFD74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A4-414C-BBE2-3A96EFD74D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A4-414C-BBE2-3A96EFD74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BOTTOM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2">
                  <c:v>9126</c:v>
                </c:pt>
                <c:pt idx="3">
                  <c:v>2807</c:v>
                </c:pt>
                <c:pt idx="5">
                  <c:v>9880</c:v>
                </c:pt>
                <c:pt idx="6">
                  <c:v>4822</c:v>
                </c:pt>
                <c:pt idx="7">
                  <c:v>1354</c:v>
                </c:pt>
                <c:pt idx="11">
                  <c:v>3245</c:v>
                </c:pt>
                <c:pt idx="12">
                  <c:v>4954</c:v>
                </c:pt>
                <c:pt idx="13">
                  <c:v>4329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79-4BC6-9C32-7F8EC673DC8D}"/>
            </c:ext>
          </c:extLst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BOTTOM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9126</c:v>
                </c:pt>
                <c:pt idx="3">
                  <c:v>2807</c:v>
                </c:pt>
                <c:pt idx="4">
                  <c:v>7584</c:v>
                </c:pt>
                <c:pt idx="5">
                  <c:v>9880</c:v>
                </c:pt>
                <c:pt idx="6">
                  <c:v>4822</c:v>
                </c:pt>
                <c:pt idx="7">
                  <c:v>1354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3245</c:v>
                </c:pt>
                <c:pt idx="12">
                  <c:v>4954</c:v>
                </c:pt>
                <c:pt idx="13">
                  <c:v>4329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79-4BC6-9C32-7F8EC673D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67%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50%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79%</c:v>
                </c:pt>
                <c:pt idx="12">
                  <c:v>100%</c:v>
                </c:pt>
                <c:pt idx="13">
                  <c:v>88%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BOTTOM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0.66666666666666663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0.79166666666666663</c:v>
                </c:pt>
                <c:pt idx="12">
                  <c:v>1</c:v>
                </c:pt>
                <c:pt idx="13">
                  <c:v>0.875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4-41C0-BD07-AA2449CA642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84-41C0-BD07-AA2449CA64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BOTTOM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0.45</c:v>
                </c:pt>
                <c:pt idx="1">
                  <c:v>0.45</c:v>
                </c:pt>
                <c:pt idx="2">
                  <c:v>0.45</c:v>
                </c:pt>
                <c:pt idx="3">
                  <c:v>0.45</c:v>
                </c:pt>
                <c:pt idx="4">
                  <c:v>0.45</c:v>
                </c:pt>
                <c:pt idx="5">
                  <c:v>0.45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0.45</c:v>
                </c:pt>
                <c:pt idx="11">
                  <c:v>0.45</c:v>
                </c:pt>
                <c:pt idx="12">
                  <c:v>0.45</c:v>
                </c:pt>
                <c:pt idx="13">
                  <c:v>0.45</c:v>
                </c:pt>
                <c:pt idx="14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84-41C0-BD07-AA2449CA6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BOTTOM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2">
                  <c:v>9126</c:v>
                </c:pt>
                <c:pt idx="3">
                  <c:v>2807</c:v>
                </c:pt>
                <c:pt idx="5">
                  <c:v>9880</c:v>
                </c:pt>
                <c:pt idx="6">
                  <c:v>4822</c:v>
                </c:pt>
                <c:pt idx="7">
                  <c:v>1354</c:v>
                </c:pt>
                <c:pt idx="11">
                  <c:v>3245</c:v>
                </c:pt>
                <c:pt idx="12">
                  <c:v>4954</c:v>
                </c:pt>
                <c:pt idx="13">
                  <c:v>4329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8-4058-BE7D-9A3DFFA4B981}"/>
            </c:ext>
          </c:extLst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BOTTOM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9126</c:v>
                </c:pt>
                <c:pt idx="3">
                  <c:v>2807</c:v>
                </c:pt>
                <c:pt idx="4">
                  <c:v>7584</c:v>
                </c:pt>
                <c:pt idx="5">
                  <c:v>9880</c:v>
                </c:pt>
                <c:pt idx="6">
                  <c:v>4822</c:v>
                </c:pt>
                <c:pt idx="7">
                  <c:v>1354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3245</c:v>
                </c:pt>
                <c:pt idx="12">
                  <c:v>4954</c:v>
                </c:pt>
                <c:pt idx="13">
                  <c:v>4329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38-4058-BE7D-9A3DFFA4B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67%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50%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79%</c:v>
                </c:pt>
                <c:pt idx="12">
                  <c:v>100%</c:v>
                </c:pt>
                <c:pt idx="13">
                  <c:v>88%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BOTTOM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0.66666666666666663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0.79166666666666663</c:v>
                </c:pt>
                <c:pt idx="12">
                  <c:v>1</c:v>
                </c:pt>
                <c:pt idx="13">
                  <c:v>0.875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D-4F22-AC76-421D3E70507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3D-4F22-AC76-421D3E70507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BOTTOM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0.45</c:v>
                </c:pt>
                <c:pt idx="1">
                  <c:v>0.45</c:v>
                </c:pt>
                <c:pt idx="2">
                  <c:v>0.45</c:v>
                </c:pt>
                <c:pt idx="3">
                  <c:v>0.45</c:v>
                </c:pt>
                <c:pt idx="4">
                  <c:v>0.45</c:v>
                </c:pt>
                <c:pt idx="5">
                  <c:v>0.45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0.45</c:v>
                </c:pt>
                <c:pt idx="11">
                  <c:v>0.45</c:v>
                </c:pt>
                <c:pt idx="12">
                  <c:v>0.45</c:v>
                </c:pt>
                <c:pt idx="13">
                  <c:v>0.45</c:v>
                </c:pt>
                <c:pt idx="14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3D-4F22-AC76-421D3E705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BB7-4F2A-A48D-63D231DD39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B7-4F2A-A48D-63D231DD3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BB7-4F2A-A48D-63D231DD393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B7-4F2A-A48D-63D231DD3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5624</c:v>
                </c:pt>
                <c:pt idx="3">
                  <c:v>1401</c:v>
                </c:pt>
                <c:pt idx="5">
                  <c:v>4668</c:v>
                </c:pt>
                <c:pt idx="6">
                  <c:v>1084</c:v>
                </c:pt>
                <c:pt idx="12">
                  <c:v>2111</c:v>
                </c:pt>
                <c:pt idx="13">
                  <c:v>2450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C4-4EEA-8BC8-F5BC2AD65D32}"/>
            </c:ext>
          </c:extLst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5624</c:v>
                </c:pt>
                <c:pt idx="3">
                  <c:v>1401</c:v>
                </c:pt>
                <c:pt idx="4">
                  <c:v>7584</c:v>
                </c:pt>
                <c:pt idx="5">
                  <c:v>4668</c:v>
                </c:pt>
                <c:pt idx="6">
                  <c:v>1084</c:v>
                </c:pt>
                <c:pt idx="7">
                  <c:v>1354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3245</c:v>
                </c:pt>
                <c:pt idx="12">
                  <c:v>2111</c:v>
                </c:pt>
                <c:pt idx="13">
                  <c:v>2450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C4-4EEA-8BC8-F5BC2AD65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46%</c:v>
                </c:pt>
                <c:pt idx="3">
                  <c:v>38%</c:v>
                </c:pt>
                <c:pt idx="4">
                  <c:v>0%</c:v>
                </c:pt>
                <c:pt idx="5">
                  <c:v>46%</c:v>
                </c:pt>
                <c:pt idx="6">
                  <c:v>29%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46%</c:v>
                </c:pt>
                <c:pt idx="13">
                  <c:v>46%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0.375</c:v>
                </c:pt>
                <c:pt idx="4">
                  <c:v>0</c:v>
                </c:pt>
                <c:pt idx="5">
                  <c:v>0.45833333333333331</c:v>
                </c:pt>
                <c:pt idx="6">
                  <c:v>0.29166666666666669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0.45833333333333331</c:v>
                </c:pt>
                <c:pt idx="13">
                  <c:v>0.45833333333333331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6-4EB9-9BD2-3D2D2B15384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A6-4EB9-9BD2-3D2D2B15384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A6-4EB9-9BD2-3D2D2B153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2">
                  <c:v>5624</c:v>
                </c:pt>
                <c:pt idx="3">
                  <c:v>1401</c:v>
                </c:pt>
                <c:pt idx="5">
                  <c:v>4668</c:v>
                </c:pt>
                <c:pt idx="6">
                  <c:v>1084</c:v>
                </c:pt>
                <c:pt idx="12">
                  <c:v>2111</c:v>
                </c:pt>
                <c:pt idx="13">
                  <c:v>2450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01-4216-9BF8-2B0635F4B196}"/>
            </c:ext>
          </c:extLst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5624</c:v>
                </c:pt>
                <c:pt idx="3">
                  <c:v>1401</c:v>
                </c:pt>
                <c:pt idx="4">
                  <c:v>7584</c:v>
                </c:pt>
                <c:pt idx="5">
                  <c:v>4668</c:v>
                </c:pt>
                <c:pt idx="6">
                  <c:v>1084</c:v>
                </c:pt>
                <c:pt idx="7">
                  <c:v>1354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3245</c:v>
                </c:pt>
                <c:pt idx="12">
                  <c:v>2111</c:v>
                </c:pt>
                <c:pt idx="13">
                  <c:v>2450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01-4216-9BF8-2B0635F4B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46%</c:v>
                </c:pt>
                <c:pt idx="3">
                  <c:v>38%</c:v>
                </c:pt>
                <c:pt idx="4">
                  <c:v>0%</c:v>
                </c:pt>
                <c:pt idx="5">
                  <c:v>46%</c:v>
                </c:pt>
                <c:pt idx="6">
                  <c:v>29%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46%</c:v>
                </c:pt>
                <c:pt idx="13">
                  <c:v>46%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0.375</c:v>
                </c:pt>
                <c:pt idx="4">
                  <c:v>0</c:v>
                </c:pt>
                <c:pt idx="5">
                  <c:v>0.45833333333333331</c:v>
                </c:pt>
                <c:pt idx="6">
                  <c:v>0.29166666666666669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0.45833333333333331</c:v>
                </c:pt>
                <c:pt idx="13">
                  <c:v>0.45833333333333331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2-4CF9-AFAD-3EFB46975A0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52-4CF9-AFAD-3EFB46975A0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52-4CF9-AFAD-3EFB46975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F89-48DD-97F4-164BD36E99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9-48DD-97F4-164BD36E9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F89-48DD-97F4-164BD36E99D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89-48DD-97F4-164BD36E9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2">
                  <c:v>10868</c:v>
                </c:pt>
                <c:pt idx="3">
                  <c:v>3459</c:v>
                </c:pt>
                <c:pt idx="5">
                  <c:v>8868</c:v>
                </c:pt>
                <c:pt idx="11">
                  <c:v>3268</c:v>
                </c:pt>
                <c:pt idx="12">
                  <c:v>5079</c:v>
                </c:pt>
                <c:pt idx="13">
                  <c:v>5193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6E-41A3-8FF2-93A306F04217}"/>
            </c:ext>
          </c:extLst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10868</c:v>
                </c:pt>
                <c:pt idx="3">
                  <c:v>3459</c:v>
                </c:pt>
                <c:pt idx="4">
                  <c:v>7584</c:v>
                </c:pt>
                <c:pt idx="5">
                  <c:v>8868</c:v>
                </c:pt>
                <c:pt idx="6">
                  <c:v>1084</c:v>
                </c:pt>
                <c:pt idx="7">
                  <c:v>1354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6268</c:v>
                </c:pt>
                <c:pt idx="12">
                  <c:v>5079</c:v>
                </c:pt>
                <c:pt idx="13">
                  <c:v>5193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6E-41A3-8FF2-93A306F04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0%</c:v>
                </c:pt>
                <c:pt idx="5">
                  <c:v>92%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39%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</c:v>
                </c:pt>
                <c:pt idx="5">
                  <c:v>0.91666666666666663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0.39103382259093811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DC-41EA-A107-9BB62BEAF4D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DC-41EA-A107-9BB62BEAF4D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0.33718003261717366</c:v>
                </c:pt>
                <c:pt idx="1">
                  <c:v>0.33718003261717366</c:v>
                </c:pt>
                <c:pt idx="2">
                  <c:v>0.33718003261717366</c:v>
                </c:pt>
                <c:pt idx="3">
                  <c:v>0.33718003261717366</c:v>
                </c:pt>
                <c:pt idx="4">
                  <c:v>0.33718003261717366</c:v>
                </c:pt>
                <c:pt idx="5">
                  <c:v>0.33718003261717366</c:v>
                </c:pt>
                <c:pt idx="6">
                  <c:v>0.33718003261717366</c:v>
                </c:pt>
                <c:pt idx="7">
                  <c:v>0.33718003261717366</c:v>
                </c:pt>
                <c:pt idx="8">
                  <c:v>0.33718003261717366</c:v>
                </c:pt>
                <c:pt idx="9">
                  <c:v>0.33718003261717366</c:v>
                </c:pt>
                <c:pt idx="10">
                  <c:v>0.33718003261717366</c:v>
                </c:pt>
                <c:pt idx="11">
                  <c:v>0.33718003261717366</c:v>
                </c:pt>
                <c:pt idx="12">
                  <c:v>0.33718003261717366</c:v>
                </c:pt>
                <c:pt idx="13">
                  <c:v>0.33718003261717366</c:v>
                </c:pt>
                <c:pt idx="14">
                  <c:v>0.33718003261717366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DC-41EA-A107-9BB62BEAF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2">
                  <c:v>10868</c:v>
                </c:pt>
                <c:pt idx="3">
                  <c:v>3459</c:v>
                </c:pt>
                <c:pt idx="5">
                  <c:v>8868</c:v>
                </c:pt>
                <c:pt idx="11">
                  <c:v>3268</c:v>
                </c:pt>
                <c:pt idx="12">
                  <c:v>5079</c:v>
                </c:pt>
                <c:pt idx="13">
                  <c:v>5193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7-43E0-96E0-F7190C24E107}"/>
            </c:ext>
          </c:extLst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10868</c:v>
                </c:pt>
                <c:pt idx="3">
                  <c:v>3459</c:v>
                </c:pt>
                <c:pt idx="4">
                  <c:v>7584</c:v>
                </c:pt>
                <c:pt idx="5">
                  <c:v>8868</c:v>
                </c:pt>
                <c:pt idx="6">
                  <c:v>1084</c:v>
                </c:pt>
                <c:pt idx="7">
                  <c:v>1354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6268</c:v>
                </c:pt>
                <c:pt idx="12">
                  <c:v>5079</c:v>
                </c:pt>
                <c:pt idx="13">
                  <c:v>5193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7-43E0-96E0-F7190C24E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0%</c:v>
                </c:pt>
                <c:pt idx="5">
                  <c:v>92%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39%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</c:v>
                </c:pt>
                <c:pt idx="5">
                  <c:v>0.91666666666666663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0.39103382259093811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C-4711-8932-17030B4537B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C1C-4711-8932-17030B4537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0.33718003261717366</c:v>
                </c:pt>
                <c:pt idx="1">
                  <c:v>0.33718003261717366</c:v>
                </c:pt>
                <c:pt idx="2">
                  <c:v>0.33718003261717366</c:v>
                </c:pt>
                <c:pt idx="3">
                  <c:v>0.33718003261717366</c:v>
                </c:pt>
                <c:pt idx="4">
                  <c:v>0.33718003261717366</c:v>
                </c:pt>
                <c:pt idx="5">
                  <c:v>0.33718003261717366</c:v>
                </c:pt>
                <c:pt idx="6">
                  <c:v>0.33718003261717366</c:v>
                </c:pt>
                <c:pt idx="7">
                  <c:v>0.33718003261717366</c:v>
                </c:pt>
                <c:pt idx="8">
                  <c:v>0.33718003261717366</c:v>
                </c:pt>
                <c:pt idx="9">
                  <c:v>0.33718003261717366</c:v>
                </c:pt>
                <c:pt idx="10">
                  <c:v>0.33718003261717366</c:v>
                </c:pt>
                <c:pt idx="11">
                  <c:v>0.33718003261717366</c:v>
                </c:pt>
                <c:pt idx="12">
                  <c:v>0.33718003261717366</c:v>
                </c:pt>
                <c:pt idx="13">
                  <c:v>0.33718003261717366</c:v>
                </c:pt>
                <c:pt idx="14">
                  <c:v>0.33718003261717366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1C-4711-8932-17030B453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35D-4402-8B3D-3F7EFE91A8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5D-4402-8B3D-3F7EFE91A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5D-4402-8B3D-3F7EFE91A8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5D-4402-8B3D-3F7EFE91A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TOP/BOTTOM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2">
                  <c:v>3025</c:v>
                </c:pt>
                <c:pt idx="3">
                  <c:v>1160</c:v>
                </c:pt>
                <c:pt idx="4">
                  <c:v>107552</c:v>
                </c:pt>
                <c:pt idx="6">
                  <c:v>3847</c:v>
                </c:pt>
                <c:pt idx="11">
                  <c:v>3593</c:v>
                </c:pt>
                <c:pt idx="12">
                  <c:v>5209</c:v>
                </c:pt>
                <c:pt idx="13">
                  <c:v>5270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EA-420E-93CC-A7F71494667A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TOP/BOTTOM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3025</c:v>
                </c:pt>
                <c:pt idx="3">
                  <c:v>1160</c:v>
                </c:pt>
                <c:pt idx="4">
                  <c:v>107552</c:v>
                </c:pt>
                <c:pt idx="5">
                  <c:v>8868</c:v>
                </c:pt>
                <c:pt idx="6">
                  <c:v>3847</c:v>
                </c:pt>
                <c:pt idx="7">
                  <c:v>1354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5209</c:v>
                </c:pt>
                <c:pt idx="13">
                  <c:v>5270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A-420E-93CC-A7F714946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83%</c:v>
                </c:pt>
                <c:pt idx="3">
                  <c:v>29%</c:v>
                </c:pt>
                <c:pt idx="4">
                  <c:v>75%</c:v>
                </c:pt>
                <c:pt idx="5">
                  <c:v>0%</c:v>
                </c:pt>
                <c:pt idx="6">
                  <c:v>83%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75%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TOP/BOTTOM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0.83333333333333337</c:v>
                </c:pt>
                <c:pt idx="3">
                  <c:v>0.29166666666666669</c:v>
                </c:pt>
                <c:pt idx="4">
                  <c:v>0.75</c:v>
                </c:pt>
                <c:pt idx="5">
                  <c:v>0</c:v>
                </c:pt>
                <c:pt idx="6">
                  <c:v>0.83333333333333337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0.74854166666666666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8-4345-B1AD-64F35F9025D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58-4345-B1AD-64F35F9025D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TOP/BOTTOM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0.36379166666666668</c:v>
                </c:pt>
                <c:pt idx="1">
                  <c:v>0.36379166666666668</c:v>
                </c:pt>
                <c:pt idx="2">
                  <c:v>0.36379166666666668</c:v>
                </c:pt>
                <c:pt idx="3">
                  <c:v>0.36379166666666668</c:v>
                </c:pt>
                <c:pt idx="4">
                  <c:v>0.36379166666666668</c:v>
                </c:pt>
                <c:pt idx="5">
                  <c:v>0.36379166666666668</c:v>
                </c:pt>
                <c:pt idx="6">
                  <c:v>0.36379166666666668</c:v>
                </c:pt>
                <c:pt idx="7">
                  <c:v>0.36379166666666668</c:v>
                </c:pt>
                <c:pt idx="8">
                  <c:v>0.36379166666666668</c:v>
                </c:pt>
                <c:pt idx="9">
                  <c:v>0.36379166666666668</c:v>
                </c:pt>
                <c:pt idx="10">
                  <c:v>0.36379166666666668</c:v>
                </c:pt>
                <c:pt idx="11">
                  <c:v>0.36379166666666668</c:v>
                </c:pt>
                <c:pt idx="12">
                  <c:v>0.36379166666666668</c:v>
                </c:pt>
                <c:pt idx="13">
                  <c:v>0.36379166666666668</c:v>
                </c:pt>
                <c:pt idx="14">
                  <c:v>0.36379166666666668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8-4345-B1AD-64F35F902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TOP/BOTTOM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2">
                  <c:v>3025</c:v>
                </c:pt>
                <c:pt idx="3">
                  <c:v>1160</c:v>
                </c:pt>
                <c:pt idx="4">
                  <c:v>107552</c:v>
                </c:pt>
                <c:pt idx="6">
                  <c:v>3847</c:v>
                </c:pt>
                <c:pt idx="11">
                  <c:v>3593</c:v>
                </c:pt>
                <c:pt idx="12">
                  <c:v>5209</c:v>
                </c:pt>
                <c:pt idx="13">
                  <c:v>5270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D-420A-BFB1-779F6B52D3C9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TOP/BOTTOM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3025</c:v>
                </c:pt>
                <c:pt idx="3">
                  <c:v>1160</c:v>
                </c:pt>
                <c:pt idx="4">
                  <c:v>107552</c:v>
                </c:pt>
                <c:pt idx="5">
                  <c:v>8868</c:v>
                </c:pt>
                <c:pt idx="6">
                  <c:v>3847</c:v>
                </c:pt>
                <c:pt idx="7">
                  <c:v>1354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5209</c:v>
                </c:pt>
                <c:pt idx="13">
                  <c:v>5270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D-420A-BFB1-779F6B52D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83%</c:v>
                </c:pt>
                <c:pt idx="3">
                  <c:v>29%</c:v>
                </c:pt>
                <c:pt idx="4">
                  <c:v>75%</c:v>
                </c:pt>
                <c:pt idx="5">
                  <c:v>0%</c:v>
                </c:pt>
                <c:pt idx="6">
                  <c:v>83%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75%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TOP/BOTTOM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0.83333333333333337</c:v>
                </c:pt>
                <c:pt idx="3">
                  <c:v>0.29166666666666669</c:v>
                </c:pt>
                <c:pt idx="4">
                  <c:v>0.75</c:v>
                </c:pt>
                <c:pt idx="5">
                  <c:v>0</c:v>
                </c:pt>
                <c:pt idx="6">
                  <c:v>0.83333333333333337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0.74854166666666666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D-4936-9EFF-F924AEBAE5D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BD-4936-9EFF-F924AEBAE5D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1">
                  <c:v>88P</c:v>
                </c:pt>
                <c:pt idx="2">
                  <c:v>TOP/BOTTOM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0.36379166666666668</c:v>
                </c:pt>
                <c:pt idx="1">
                  <c:v>0.36379166666666668</c:v>
                </c:pt>
                <c:pt idx="2">
                  <c:v>0.36379166666666668</c:v>
                </c:pt>
                <c:pt idx="3">
                  <c:v>0.36379166666666668</c:v>
                </c:pt>
                <c:pt idx="4">
                  <c:v>0.36379166666666668</c:v>
                </c:pt>
                <c:pt idx="5">
                  <c:v>0.36379166666666668</c:v>
                </c:pt>
                <c:pt idx="6">
                  <c:v>0.36379166666666668</c:v>
                </c:pt>
                <c:pt idx="7">
                  <c:v>0.36379166666666668</c:v>
                </c:pt>
                <c:pt idx="8">
                  <c:v>0.36379166666666668</c:v>
                </c:pt>
                <c:pt idx="9">
                  <c:v>0.36379166666666668</c:v>
                </c:pt>
                <c:pt idx="10">
                  <c:v>0.36379166666666668</c:v>
                </c:pt>
                <c:pt idx="11">
                  <c:v>0.36379166666666668</c:v>
                </c:pt>
                <c:pt idx="12">
                  <c:v>0.36379166666666668</c:v>
                </c:pt>
                <c:pt idx="13">
                  <c:v>0.36379166666666668</c:v>
                </c:pt>
                <c:pt idx="14">
                  <c:v>0.36379166666666668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BD-4936-9EFF-F924AEBAE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8C0-4E3F-851C-CDEB0A7ACB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C0-4E3F-851C-CDEB0A7AC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8C0-4E3F-851C-CDEB0A7ACB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C0-4E3F-851C-CDEB0A7AC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LID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2">
                  <c:v>3148</c:v>
                </c:pt>
                <c:pt idx="3">
                  <c:v>3830</c:v>
                </c:pt>
                <c:pt idx="4">
                  <c:v>162750</c:v>
                </c:pt>
                <c:pt idx="5">
                  <c:v>1682</c:v>
                </c:pt>
                <c:pt idx="6">
                  <c:v>1268</c:v>
                </c:pt>
                <c:pt idx="7">
                  <c:v>1738</c:v>
                </c:pt>
                <c:pt idx="12">
                  <c:v>4959</c:v>
                </c:pt>
                <c:pt idx="13">
                  <c:v>1586</c:v>
                </c:pt>
                <c:pt idx="14">
                  <c:v>3185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EB-4A27-885E-964AA16CE174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LID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3148</c:v>
                </c:pt>
                <c:pt idx="3">
                  <c:v>3830</c:v>
                </c:pt>
                <c:pt idx="4">
                  <c:v>162750</c:v>
                </c:pt>
                <c:pt idx="5">
                  <c:v>1682</c:v>
                </c:pt>
                <c:pt idx="6">
                  <c:v>1268</c:v>
                </c:pt>
                <c:pt idx="7">
                  <c:v>1738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4959</c:v>
                </c:pt>
                <c:pt idx="13">
                  <c:v>1586</c:v>
                </c:pt>
                <c:pt idx="14">
                  <c:v>3185</c:v>
                </c:pt>
                <c:pt idx="15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B-4A27-885E-964AA16CE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75%</c:v>
                </c:pt>
                <c:pt idx="3">
                  <c:v>75%</c:v>
                </c:pt>
                <c:pt idx="4">
                  <c:v>100%</c:v>
                </c:pt>
                <c:pt idx="5">
                  <c:v>38%</c:v>
                </c:pt>
                <c:pt idx="6">
                  <c:v>33%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25%</c:v>
                </c:pt>
                <c:pt idx="14">
                  <c:v>71%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LID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0.75</c:v>
                </c:pt>
                <c:pt idx="3">
                  <c:v>0.75</c:v>
                </c:pt>
                <c:pt idx="4">
                  <c:v>1</c:v>
                </c:pt>
                <c:pt idx="5">
                  <c:v>0.375</c:v>
                </c:pt>
                <c:pt idx="6">
                  <c:v>0.33333333333333331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0.25</c:v>
                </c:pt>
                <c:pt idx="14">
                  <c:v>0.70833333333333337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6-4E76-A30A-F9CA0E4045E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96-4E76-A30A-F9CA0E4045E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LID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0.38611111111111113</c:v>
                </c:pt>
                <c:pt idx="1">
                  <c:v>0.38611111111111113</c:v>
                </c:pt>
                <c:pt idx="2">
                  <c:v>0.38611111111111113</c:v>
                </c:pt>
                <c:pt idx="3">
                  <c:v>0.38611111111111113</c:v>
                </c:pt>
                <c:pt idx="4">
                  <c:v>0.38611111111111113</c:v>
                </c:pt>
                <c:pt idx="5">
                  <c:v>0.38611111111111113</c:v>
                </c:pt>
                <c:pt idx="6">
                  <c:v>0.38611111111111113</c:v>
                </c:pt>
                <c:pt idx="7">
                  <c:v>0.38611111111111113</c:v>
                </c:pt>
                <c:pt idx="8">
                  <c:v>0.38611111111111113</c:v>
                </c:pt>
                <c:pt idx="9">
                  <c:v>0.38611111111111113</c:v>
                </c:pt>
                <c:pt idx="10">
                  <c:v>0.38611111111111113</c:v>
                </c:pt>
                <c:pt idx="11">
                  <c:v>0.38611111111111113</c:v>
                </c:pt>
                <c:pt idx="12">
                  <c:v>0.38611111111111113</c:v>
                </c:pt>
                <c:pt idx="13">
                  <c:v>0.38611111111111113</c:v>
                </c:pt>
                <c:pt idx="14">
                  <c:v>0.38611111111111113</c:v>
                </c:pt>
                <c:pt idx="15">
                  <c:v>0.38611111111111113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96-4E76-A30A-F9CA0E404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LID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2">
                  <c:v>3148</c:v>
                </c:pt>
                <c:pt idx="3">
                  <c:v>3830</c:v>
                </c:pt>
                <c:pt idx="4">
                  <c:v>162750</c:v>
                </c:pt>
                <c:pt idx="5">
                  <c:v>1682</c:v>
                </c:pt>
                <c:pt idx="6">
                  <c:v>1268</c:v>
                </c:pt>
                <c:pt idx="7">
                  <c:v>1738</c:v>
                </c:pt>
                <c:pt idx="12">
                  <c:v>4959</c:v>
                </c:pt>
                <c:pt idx="13">
                  <c:v>1586</c:v>
                </c:pt>
                <c:pt idx="14">
                  <c:v>3185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7-4C19-8E93-19FB15BFDDB7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LID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3148</c:v>
                </c:pt>
                <c:pt idx="3">
                  <c:v>3830</c:v>
                </c:pt>
                <c:pt idx="4">
                  <c:v>162750</c:v>
                </c:pt>
                <c:pt idx="5">
                  <c:v>1682</c:v>
                </c:pt>
                <c:pt idx="6">
                  <c:v>1268</c:v>
                </c:pt>
                <c:pt idx="7">
                  <c:v>1738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4959</c:v>
                </c:pt>
                <c:pt idx="13">
                  <c:v>1586</c:v>
                </c:pt>
                <c:pt idx="14">
                  <c:v>3185</c:v>
                </c:pt>
                <c:pt idx="15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7-4C19-8E93-19FB15BFD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75%</c:v>
                </c:pt>
                <c:pt idx="3">
                  <c:v>75%</c:v>
                </c:pt>
                <c:pt idx="4">
                  <c:v>100%</c:v>
                </c:pt>
                <c:pt idx="5">
                  <c:v>38%</c:v>
                </c:pt>
                <c:pt idx="6">
                  <c:v>33%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25%</c:v>
                </c:pt>
                <c:pt idx="14">
                  <c:v>71%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LID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0.75</c:v>
                </c:pt>
                <c:pt idx="3">
                  <c:v>0.75</c:v>
                </c:pt>
                <c:pt idx="4">
                  <c:v>1</c:v>
                </c:pt>
                <c:pt idx="5">
                  <c:v>0.375</c:v>
                </c:pt>
                <c:pt idx="6">
                  <c:v>0.33333333333333331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0.25</c:v>
                </c:pt>
                <c:pt idx="14">
                  <c:v>0.70833333333333337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5-4AA4-B696-D0DB95DC2C6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C5-4AA4-B696-D0DB95DC2C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1">
                  <c:v>88P</c:v>
                </c:pt>
                <c:pt idx="2">
                  <c:v>LID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0.38611111111111113</c:v>
                </c:pt>
                <c:pt idx="1">
                  <c:v>0.38611111111111113</c:v>
                </c:pt>
                <c:pt idx="2">
                  <c:v>0.38611111111111113</c:v>
                </c:pt>
                <c:pt idx="3">
                  <c:v>0.38611111111111113</c:v>
                </c:pt>
                <c:pt idx="4">
                  <c:v>0.38611111111111113</c:v>
                </c:pt>
                <c:pt idx="5">
                  <c:v>0.38611111111111113</c:v>
                </c:pt>
                <c:pt idx="6">
                  <c:v>0.38611111111111113</c:v>
                </c:pt>
                <c:pt idx="7">
                  <c:v>0.38611111111111113</c:v>
                </c:pt>
                <c:pt idx="8">
                  <c:v>0.38611111111111113</c:v>
                </c:pt>
                <c:pt idx="9">
                  <c:v>0.38611111111111113</c:v>
                </c:pt>
                <c:pt idx="10">
                  <c:v>0.38611111111111113</c:v>
                </c:pt>
                <c:pt idx="11">
                  <c:v>0.38611111111111113</c:v>
                </c:pt>
                <c:pt idx="12">
                  <c:v>0.38611111111111113</c:v>
                </c:pt>
                <c:pt idx="13">
                  <c:v>0.38611111111111113</c:v>
                </c:pt>
                <c:pt idx="14">
                  <c:v>0.38611111111111113</c:v>
                </c:pt>
                <c:pt idx="15">
                  <c:v>0.38611111111111113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C5-4AA4-B696-D0DB95DC2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661-449E-A5FD-3D184DA120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1-449E-A5FD-3D184DA12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61-449E-A5FD-3D184DA120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61-449E-A5FD-3D184DA12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2">
                  <c:v>1722</c:v>
                </c:pt>
                <c:pt idx="3">
                  <c:v>650</c:v>
                </c:pt>
                <c:pt idx="4">
                  <c:v>33810</c:v>
                </c:pt>
                <c:pt idx="5">
                  <c:v>182</c:v>
                </c:pt>
                <c:pt idx="6">
                  <c:v>867</c:v>
                </c:pt>
                <c:pt idx="7">
                  <c:v>2663</c:v>
                </c:pt>
                <c:pt idx="12">
                  <c:v>2363</c:v>
                </c:pt>
                <c:pt idx="13">
                  <c:v>1351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1-4BA4-AF8C-A7BA4F9A2293}"/>
            </c:ext>
          </c:extLst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1722</c:v>
                </c:pt>
                <c:pt idx="3">
                  <c:v>650</c:v>
                </c:pt>
                <c:pt idx="4">
                  <c:v>33810</c:v>
                </c:pt>
                <c:pt idx="5">
                  <c:v>182</c:v>
                </c:pt>
                <c:pt idx="6">
                  <c:v>867</c:v>
                </c:pt>
                <c:pt idx="7">
                  <c:v>2663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2363</c:v>
                </c:pt>
                <c:pt idx="13">
                  <c:v>1351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1-4BA4-AF8C-A7BA4F9A2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17%</c:v>
                </c:pt>
                <c:pt idx="4">
                  <c:v>42%</c:v>
                </c:pt>
                <c:pt idx="5">
                  <c:v>17%</c:v>
                </c:pt>
                <c:pt idx="6">
                  <c:v>21%</c:v>
                </c:pt>
                <c:pt idx="7">
                  <c:v>50%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46%</c:v>
                </c:pt>
                <c:pt idx="13">
                  <c:v>42%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0.16666666666666666</c:v>
                </c:pt>
                <c:pt idx="4">
                  <c:v>0.41666666666666669</c:v>
                </c:pt>
                <c:pt idx="5">
                  <c:v>0.16666666666666666</c:v>
                </c:pt>
                <c:pt idx="6">
                  <c:v>0.20833333333333334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0.45833333333333331</c:v>
                </c:pt>
                <c:pt idx="13">
                  <c:v>0.41666666666666669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3-4D5A-B569-0DF31E8FE1D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23-4D5A-B569-0DF31E8FE1D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0.18333333333333332</c:v>
                </c:pt>
                <c:pt idx="1">
                  <c:v>0.18333333333333332</c:v>
                </c:pt>
                <c:pt idx="2">
                  <c:v>0.18333333333333332</c:v>
                </c:pt>
                <c:pt idx="3">
                  <c:v>0.18333333333333332</c:v>
                </c:pt>
                <c:pt idx="4">
                  <c:v>0.18333333333333332</c:v>
                </c:pt>
                <c:pt idx="5">
                  <c:v>0.18333333333333332</c:v>
                </c:pt>
                <c:pt idx="6">
                  <c:v>0.18333333333333332</c:v>
                </c:pt>
                <c:pt idx="7">
                  <c:v>0.18333333333333332</c:v>
                </c:pt>
                <c:pt idx="8">
                  <c:v>0.18333333333333332</c:v>
                </c:pt>
                <c:pt idx="9">
                  <c:v>0.18333333333333332</c:v>
                </c:pt>
                <c:pt idx="10">
                  <c:v>0.18333333333333332</c:v>
                </c:pt>
                <c:pt idx="11">
                  <c:v>0.18333333333333332</c:v>
                </c:pt>
                <c:pt idx="12">
                  <c:v>0.18333333333333332</c:v>
                </c:pt>
                <c:pt idx="13">
                  <c:v>0.18333333333333332</c:v>
                </c:pt>
                <c:pt idx="14">
                  <c:v>0.18333333333333332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3-4D5A-B569-0DF31E8FE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2">
                  <c:v>1722</c:v>
                </c:pt>
                <c:pt idx="3">
                  <c:v>650</c:v>
                </c:pt>
                <c:pt idx="4">
                  <c:v>33810</c:v>
                </c:pt>
                <c:pt idx="5">
                  <c:v>182</c:v>
                </c:pt>
                <c:pt idx="6">
                  <c:v>867</c:v>
                </c:pt>
                <c:pt idx="7">
                  <c:v>2663</c:v>
                </c:pt>
                <c:pt idx="12">
                  <c:v>2363</c:v>
                </c:pt>
                <c:pt idx="13">
                  <c:v>1351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3F-4451-AD9A-C2C31E526686}"/>
            </c:ext>
          </c:extLst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1722</c:v>
                </c:pt>
                <c:pt idx="3">
                  <c:v>650</c:v>
                </c:pt>
                <c:pt idx="4">
                  <c:v>33810</c:v>
                </c:pt>
                <c:pt idx="5">
                  <c:v>182</c:v>
                </c:pt>
                <c:pt idx="6">
                  <c:v>867</c:v>
                </c:pt>
                <c:pt idx="7">
                  <c:v>2663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2363</c:v>
                </c:pt>
                <c:pt idx="13">
                  <c:v>1351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3F-4451-AD9A-C2C31E526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17%</c:v>
                </c:pt>
                <c:pt idx="4">
                  <c:v>42%</c:v>
                </c:pt>
                <c:pt idx="5">
                  <c:v>17%</c:v>
                </c:pt>
                <c:pt idx="6">
                  <c:v>21%</c:v>
                </c:pt>
                <c:pt idx="7">
                  <c:v>50%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46%</c:v>
                </c:pt>
                <c:pt idx="13">
                  <c:v>42%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0.16666666666666666</c:v>
                </c:pt>
                <c:pt idx="4">
                  <c:v>0.41666666666666669</c:v>
                </c:pt>
                <c:pt idx="5">
                  <c:v>0.16666666666666666</c:v>
                </c:pt>
                <c:pt idx="6">
                  <c:v>0.20833333333333334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0.45833333333333331</c:v>
                </c:pt>
                <c:pt idx="13">
                  <c:v>0.41666666666666669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0-49C8-BC1B-EB79108E350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20-49C8-BC1B-EB79108E350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0.18333333333333332</c:v>
                </c:pt>
                <c:pt idx="1">
                  <c:v>0.18333333333333332</c:v>
                </c:pt>
                <c:pt idx="2">
                  <c:v>0.18333333333333332</c:v>
                </c:pt>
                <c:pt idx="3">
                  <c:v>0.18333333333333332</c:v>
                </c:pt>
                <c:pt idx="4">
                  <c:v>0.18333333333333332</c:v>
                </c:pt>
                <c:pt idx="5">
                  <c:v>0.18333333333333332</c:v>
                </c:pt>
                <c:pt idx="6">
                  <c:v>0.18333333333333332</c:v>
                </c:pt>
                <c:pt idx="7">
                  <c:v>0.18333333333333332</c:v>
                </c:pt>
                <c:pt idx="8">
                  <c:v>0.18333333333333332</c:v>
                </c:pt>
                <c:pt idx="9">
                  <c:v>0.18333333333333332</c:v>
                </c:pt>
                <c:pt idx="10">
                  <c:v>0.18333333333333332</c:v>
                </c:pt>
                <c:pt idx="11">
                  <c:v>0.18333333333333332</c:v>
                </c:pt>
                <c:pt idx="12">
                  <c:v>0.18333333333333332</c:v>
                </c:pt>
                <c:pt idx="13">
                  <c:v>0.18333333333333332</c:v>
                </c:pt>
                <c:pt idx="14">
                  <c:v>0.18333333333333332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20-49C8-BC1B-EB79108E3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998-4A59-9950-75EE510298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8-4A59-9950-75EE51029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98-4A59-9950-75EE510298D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98-4A59-9950-75EE51029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2">
                  <c:v>1917</c:v>
                </c:pt>
                <c:pt idx="3">
                  <c:v>1584</c:v>
                </c:pt>
                <c:pt idx="5">
                  <c:v>637</c:v>
                </c:pt>
                <c:pt idx="6">
                  <c:v>2160</c:v>
                </c:pt>
                <c:pt idx="12">
                  <c:v>2106</c:v>
                </c:pt>
                <c:pt idx="13">
                  <c:v>2264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0-4A1E-902C-FAE20A96CA31}"/>
            </c:ext>
          </c:extLst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1917</c:v>
                </c:pt>
                <c:pt idx="3">
                  <c:v>1584</c:v>
                </c:pt>
                <c:pt idx="4">
                  <c:v>33810</c:v>
                </c:pt>
                <c:pt idx="5">
                  <c:v>637</c:v>
                </c:pt>
                <c:pt idx="6">
                  <c:v>2160</c:v>
                </c:pt>
                <c:pt idx="7">
                  <c:v>2663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2106</c:v>
                </c:pt>
                <c:pt idx="13">
                  <c:v>2264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0-4A1E-902C-FAE20A96C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38%</c:v>
                </c:pt>
                <c:pt idx="4">
                  <c:v>0%</c:v>
                </c:pt>
                <c:pt idx="5">
                  <c:v>17%</c:v>
                </c:pt>
                <c:pt idx="6">
                  <c:v>50%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50%</c:v>
                </c:pt>
                <c:pt idx="13">
                  <c:v>50%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0.375</c:v>
                </c:pt>
                <c:pt idx="4">
                  <c:v>0</c:v>
                </c:pt>
                <c:pt idx="5">
                  <c:v>0.16666666666666666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</c:v>
                </c:pt>
                <c:pt idx="13">
                  <c:v>0.5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0-47FC-8D8E-AEA7BECEF44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A0-47FC-8D8E-AEA7BECEF4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0.16944444444444445</c:v>
                </c:pt>
                <c:pt idx="1">
                  <c:v>0.16944444444444445</c:v>
                </c:pt>
                <c:pt idx="2">
                  <c:v>0.16944444444444445</c:v>
                </c:pt>
                <c:pt idx="3">
                  <c:v>0.16944444444444445</c:v>
                </c:pt>
                <c:pt idx="4">
                  <c:v>0.16944444444444445</c:v>
                </c:pt>
                <c:pt idx="5">
                  <c:v>0.16944444444444445</c:v>
                </c:pt>
                <c:pt idx="6">
                  <c:v>0.16944444444444445</c:v>
                </c:pt>
                <c:pt idx="7">
                  <c:v>0.16944444444444445</c:v>
                </c:pt>
                <c:pt idx="8">
                  <c:v>0.16944444444444445</c:v>
                </c:pt>
                <c:pt idx="9">
                  <c:v>0.16944444444444445</c:v>
                </c:pt>
                <c:pt idx="10">
                  <c:v>0.16944444444444445</c:v>
                </c:pt>
                <c:pt idx="11">
                  <c:v>0.16944444444444445</c:v>
                </c:pt>
                <c:pt idx="12">
                  <c:v>0.16944444444444445</c:v>
                </c:pt>
                <c:pt idx="13">
                  <c:v>0.16944444444444445</c:v>
                </c:pt>
                <c:pt idx="14">
                  <c:v>0.16944444444444445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A0-47FC-8D8E-AEA7BECEF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2">
                  <c:v>1917</c:v>
                </c:pt>
                <c:pt idx="3">
                  <c:v>1584</c:v>
                </c:pt>
                <c:pt idx="5">
                  <c:v>637</c:v>
                </c:pt>
                <c:pt idx="6">
                  <c:v>2160</c:v>
                </c:pt>
                <c:pt idx="12">
                  <c:v>2106</c:v>
                </c:pt>
                <c:pt idx="13">
                  <c:v>2264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7-4384-AF2C-61A2F0BB983F}"/>
            </c:ext>
          </c:extLst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1917</c:v>
                </c:pt>
                <c:pt idx="3">
                  <c:v>1584</c:v>
                </c:pt>
                <c:pt idx="4">
                  <c:v>33810</c:v>
                </c:pt>
                <c:pt idx="5">
                  <c:v>637</c:v>
                </c:pt>
                <c:pt idx="6">
                  <c:v>2160</c:v>
                </c:pt>
                <c:pt idx="7">
                  <c:v>2663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2106</c:v>
                </c:pt>
                <c:pt idx="13">
                  <c:v>2264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7-4384-AF2C-61A2F0BB9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38%</c:v>
                </c:pt>
                <c:pt idx="4">
                  <c:v>0%</c:v>
                </c:pt>
                <c:pt idx="5">
                  <c:v>17%</c:v>
                </c:pt>
                <c:pt idx="6">
                  <c:v>50%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50%</c:v>
                </c:pt>
                <c:pt idx="13">
                  <c:v>50%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0.375</c:v>
                </c:pt>
                <c:pt idx="4">
                  <c:v>0</c:v>
                </c:pt>
                <c:pt idx="5">
                  <c:v>0.16666666666666666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</c:v>
                </c:pt>
                <c:pt idx="13">
                  <c:v>0.5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3-462A-9883-0F5151F9385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93-462A-9883-0F5151F9385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0.16944444444444445</c:v>
                </c:pt>
                <c:pt idx="1">
                  <c:v>0.16944444444444445</c:v>
                </c:pt>
                <c:pt idx="2">
                  <c:v>0.16944444444444445</c:v>
                </c:pt>
                <c:pt idx="3">
                  <c:v>0.16944444444444445</c:v>
                </c:pt>
                <c:pt idx="4">
                  <c:v>0.16944444444444445</c:v>
                </c:pt>
                <c:pt idx="5">
                  <c:v>0.16944444444444445</c:v>
                </c:pt>
                <c:pt idx="6">
                  <c:v>0.16944444444444445</c:v>
                </c:pt>
                <c:pt idx="7">
                  <c:v>0.16944444444444445</c:v>
                </c:pt>
                <c:pt idx="8">
                  <c:v>0.16944444444444445</c:v>
                </c:pt>
                <c:pt idx="9">
                  <c:v>0.16944444444444445</c:v>
                </c:pt>
                <c:pt idx="10">
                  <c:v>0.16944444444444445</c:v>
                </c:pt>
                <c:pt idx="11">
                  <c:v>0.16944444444444445</c:v>
                </c:pt>
                <c:pt idx="12">
                  <c:v>0.16944444444444445</c:v>
                </c:pt>
                <c:pt idx="13">
                  <c:v>0.16944444444444445</c:v>
                </c:pt>
                <c:pt idx="14">
                  <c:v>0.16944444444444445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93-462A-9883-0F5151F93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997-4D7E-B41A-928978B7F7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97-4D7E-B41A-928978B7F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97-4D7E-B41A-928978B7F7B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97-4D7E-B41A-928978B7F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1867</c:v>
                </c:pt>
                <c:pt idx="3">
                  <c:v>2358</c:v>
                </c:pt>
                <c:pt idx="5">
                  <c:v>1839</c:v>
                </c:pt>
                <c:pt idx="6">
                  <c:v>1718</c:v>
                </c:pt>
                <c:pt idx="12">
                  <c:v>2334</c:v>
                </c:pt>
                <c:pt idx="13">
                  <c:v>2350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3-4BC1-AD52-81DCB9ECD52C}"/>
            </c:ext>
          </c:extLst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1867</c:v>
                </c:pt>
                <c:pt idx="3">
                  <c:v>2358</c:v>
                </c:pt>
                <c:pt idx="4">
                  <c:v>33810</c:v>
                </c:pt>
                <c:pt idx="5">
                  <c:v>1839</c:v>
                </c:pt>
                <c:pt idx="6">
                  <c:v>1718</c:v>
                </c:pt>
                <c:pt idx="7">
                  <c:v>2663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2334</c:v>
                </c:pt>
                <c:pt idx="13">
                  <c:v>2350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E3-4BC1-AD52-81DCB9ECD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46%</c:v>
                </c:pt>
                <c:pt idx="3">
                  <c:v>46%</c:v>
                </c:pt>
                <c:pt idx="4">
                  <c:v>0%</c:v>
                </c:pt>
                <c:pt idx="5">
                  <c:v>42%</c:v>
                </c:pt>
                <c:pt idx="6">
                  <c:v>42%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50%</c:v>
                </c:pt>
                <c:pt idx="13">
                  <c:v>50%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0.45833333333333331</c:v>
                </c:pt>
                <c:pt idx="4">
                  <c:v>0</c:v>
                </c:pt>
                <c:pt idx="5">
                  <c:v>0.41666666666666669</c:v>
                </c:pt>
                <c:pt idx="6">
                  <c:v>0.41666666666666669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</c:v>
                </c:pt>
                <c:pt idx="13">
                  <c:v>0.5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16-45AD-8857-FB02D655B6C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16-45AD-8857-FB02D655B6C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0.18333333333333332</c:v>
                </c:pt>
                <c:pt idx="1">
                  <c:v>0.18333333333333332</c:v>
                </c:pt>
                <c:pt idx="2">
                  <c:v>0.18333333333333332</c:v>
                </c:pt>
                <c:pt idx="3">
                  <c:v>0.18333333333333332</c:v>
                </c:pt>
                <c:pt idx="4">
                  <c:v>0.18333333333333332</c:v>
                </c:pt>
                <c:pt idx="5">
                  <c:v>0.18333333333333332</c:v>
                </c:pt>
                <c:pt idx="6">
                  <c:v>0.18333333333333332</c:v>
                </c:pt>
                <c:pt idx="7">
                  <c:v>0.18333333333333332</c:v>
                </c:pt>
                <c:pt idx="8">
                  <c:v>0.18333333333333332</c:v>
                </c:pt>
                <c:pt idx="9">
                  <c:v>0.18333333333333332</c:v>
                </c:pt>
                <c:pt idx="10">
                  <c:v>0.18333333333333332</c:v>
                </c:pt>
                <c:pt idx="11">
                  <c:v>0.18333333333333332</c:v>
                </c:pt>
                <c:pt idx="12">
                  <c:v>0.18333333333333332</c:v>
                </c:pt>
                <c:pt idx="13">
                  <c:v>0.18333333333333332</c:v>
                </c:pt>
                <c:pt idx="14">
                  <c:v>0.18333333333333332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16-45AD-8857-FB02D655B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1867</c:v>
                </c:pt>
                <c:pt idx="3">
                  <c:v>2358</c:v>
                </c:pt>
                <c:pt idx="5">
                  <c:v>1839</c:v>
                </c:pt>
                <c:pt idx="6">
                  <c:v>1718</c:v>
                </c:pt>
                <c:pt idx="12">
                  <c:v>2334</c:v>
                </c:pt>
                <c:pt idx="13">
                  <c:v>2350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5-4E88-9BE8-20E136A6299A}"/>
            </c:ext>
          </c:extLst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1867</c:v>
                </c:pt>
                <c:pt idx="3">
                  <c:v>2358</c:v>
                </c:pt>
                <c:pt idx="4">
                  <c:v>33810</c:v>
                </c:pt>
                <c:pt idx="5">
                  <c:v>1839</c:v>
                </c:pt>
                <c:pt idx="6">
                  <c:v>1718</c:v>
                </c:pt>
                <c:pt idx="7">
                  <c:v>2663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2334</c:v>
                </c:pt>
                <c:pt idx="13">
                  <c:v>2350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5-4E88-9BE8-20E136A62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46%</c:v>
                </c:pt>
                <c:pt idx="3">
                  <c:v>46%</c:v>
                </c:pt>
                <c:pt idx="4">
                  <c:v>0%</c:v>
                </c:pt>
                <c:pt idx="5">
                  <c:v>42%</c:v>
                </c:pt>
                <c:pt idx="6">
                  <c:v>42%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50%</c:v>
                </c:pt>
                <c:pt idx="13">
                  <c:v>50%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0.45833333333333331</c:v>
                </c:pt>
                <c:pt idx="4">
                  <c:v>0</c:v>
                </c:pt>
                <c:pt idx="5">
                  <c:v>0.41666666666666669</c:v>
                </c:pt>
                <c:pt idx="6">
                  <c:v>0.41666666666666669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</c:v>
                </c:pt>
                <c:pt idx="13">
                  <c:v>0.5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D-4B9E-AC4F-4DDE2928D1A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BD-4B9E-AC4F-4DDE2928D1A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0.18333333333333332</c:v>
                </c:pt>
                <c:pt idx="1">
                  <c:v>0.18333333333333332</c:v>
                </c:pt>
                <c:pt idx="2">
                  <c:v>0.18333333333333332</c:v>
                </c:pt>
                <c:pt idx="3">
                  <c:v>0.18333333333333332</c:v>
                </c:pt>
                <c:pt idx="4">
                  <c:v>0.18333333333333332</c:v>
                </c:pt>
                <c:pt idx="5">
                  <c:v>0.18333333333333332</c:v>
                </c:pt>
                <c:pt idx="6">
                  <c:v>0.18333333333333332</c:v>
                </c:pt>
                <c:pt idx="7">
                  <c:v>0.18333333333333332</c:v>
                </c:pt>
                <c:pt idx="8">
                  <c:v>0.18333333333333332</c:v>
                </c:pt>
                <c:pt idx="9">
                  <c:v>0.18333333333333332</c:v>
                </c:pt>
                <c:pt idx="10">
                  <c:v>0.18333333333333332</c:v>
                </c:pt>
                <c:pt idx="11">
                  <c:v>0.18333333333333332</c:v>
                </c:pt>
                <c:pt idx="12">
                  <c:v>0.18333333333333332</c:v>
                </c:pt>
                <c:pt idx="13">
                  <c:v>0.18333333333333332</c:v>
                </c:pt>
                <c:pt idx="14">
                  <c:v>0.18333333333333332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D-4B9E-AC4F-4DDE2928D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797-4985-A34A-940FAFF2D4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97-4985-A34A-940FAFF2D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97-4985-A34A-940FAFF2D4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97-4985-A34A-940FAFF2D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4092</c:v>
                </c:pt>
                <c:pt idx="3">
                  <c:v>4249</c:v>
                </c:pt>
                <c:pt idx="4">
                  <c:v>118350</c:v>
                </c:pt>
                <c:pt idx="5">
                  <c:v>2158</c:v>
                </c:pt>
                <c:pt idx="6">
                  <c:v>2836</c:v>
                </c:pt>
                <c:pt idx="7">
                  <c:v>963</c:v>
                </c:pt>
                <c:pt idx="13">
                  <c:v>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C-4FF2-928E-79B6110710A3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4092</c:v>
                </c:pt>
                <c:pt idx="3">
                  <c:v>4249</c:v>
                </c:pt>
                <c:pt idx="4">
                  <c:v>118350</c:v>
                </c:pt>
                <c:pt idx="5">
                  <c:v>2158</c:v>
                </c:pt>
                <c:pt idx="6">
                  <c:v>2836</c:v>
                </c:pt>
                <c:pt idx="7">
                  <c:v>963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2334</c:v>
                </c:pt>
                <c:pt idx="13">
                  <c:v>5185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C-4FF2-928E-79B611071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75%</c:v>
                </c:pt>
                <c:pt idx="5">
                  <c:v>58%</c:v>
                </c:pt>
                <c:pt idx="6">
                  <c:v>71%</c:v>
                </c:pt>
                <c:pt idx="7">
                  <c:v>21%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0.75</c:v>
                </c:pt>
                <c:pt idx="5">
                  <c:v>0.58333333333333337</c:v>
                </c:pt>
                <c:pt idx="6">
                  <c:v>0.70833333333333337</c:v>
                </c:pt>
                <c:pt idx="7">
                  <c:v>0.20833333333333334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A-48BE-A763-D75260A3A9D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0A-48BE-A763-D75260A3A9D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0.34166666666666667</c:v>
                </c:pt>
                <c:pt idx="1">
                  <c:v>0.34166666666666667</c:v>
                </c:pt>
                <c:pt idx="2">
                  <c:v>0.34166666666666667</c:v>
                </c:pt>
                <c:pt idx="3">
                  <c:v>0.34166666666666667</c:v>
                </c:pt>
                <c:pt idx="4">
                  <c:v>0.34166666666666667</c:v>
                </c:pt>
                <c:pt idx="5">
                  <c:v>0.34166666666666667</c:v>
                </c:pt>
                <c:pt idx="6">
                  <c:v>0.34166666666666667</c:v>
                </c:pt>
                <c:pt idx="7">
                  <c:v>0.34166666666666667</c:v>
                </c:pt>
                <c:pt idx="8">
                  <c:v>0.34166666666666667</c:v>
                </c:pt>
                <c:pt idx="9">
                  <c:v>0.34166666666666667</c:v>
                </c:pt>
                <c:pt idx="10">
                  <c:v>0.34166666666666667</c:v>
                </c:pt>
                <c:pt idx="11">
                  <c:v>0.34166666666666667</c:v>
                </c:pt>
                <c:pt idx="12">
                  <c:v>0.34166666666666667</c:v>
                </c:pt>
                <c:pt idx="13">
                  <c:v>0.34166666666666667</c:v>
                </c:pt>
                <c:pt idx="14">
                  <c:v>0.34166666666666667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0A-48BE-A763-D75260A3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4092</c:v>
                </c:pt>
                <c:pt idx="3">
                  <c:v>4249</c:v>
                </c:pt>
                <c:pt idx="4">
                  <c:v>118350</c:v>
                </c:pt>
                <c:pt idx="5">
                  <c:v>2158</c:v>
                </c:pt>
                <c:pt idx="6">
                  <c:v>2836</c:v>
                </c:pt>
                <c:pt idx="7">
                  <c:v>963</c:v>
                </c:pt>
                <c:pt idx="13">
                  <c:v>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0-4E22-9DAB-E9259C53E290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4092</c:v>
                </c:pt>
                <c:pt idx="3">
                  <c:v>4249</c:v>
                </c:pt>
                <c:pt idx="4">
                  <c:v>118350</c:v>
                </c:pt>
                <c:pt idx="5">
                  <c:v>2158</c:v>
                </c:pt>
                <c:pt idx="6">
                  <c:v>2836</c:v>
                </c:pt>
                <c:pt idx="7">
                  <c:v>963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2334</c:v>
                </c:pt>
                <c:pt idx="13">
                  <c:v>5185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0-4E22-9DAB-E9259C53E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75%</c:v>
                </c:pt>
                <c:pt idx="5">
                  <c:v>58%</c:v>
                </c:pt>
                <c:pt idx="6">
                  <c:v>71%</c:v>
                </c:pt>
                <c:pt idx="7">
                  <c:v>21%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0.75</c:v>
                </c:pt>
                <c:pt idx="5">
                  <c:v>0.58333333333333337</c:v>
                </c:pt>
                <c:pt idx="6">
                  <c:v>0.70833333333333337</c:v>
                </c:pt>
                <c:pt idx="7">
                  <c:v>0.20833333333333334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73-472C-8F33-3FFD73B171D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73-472C-8F33-3FFD73B171D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0.34166666666666667</c:v>
                </c:pt>
                <c:pt idx="1">
                  <c:v>0.34166666666666667</c:v>
                </c:pt>
                <c:pt idx="2">
                  <c:v>0.34166666666666667</c:v>
                </c:pt>
                <c:pt idx="3">
                  <c:v>0.34166666666666667</c:v>
                </c:pt>
                <c:pt idx="4">
                  <c:v>0.34166666666666667</c:v>
                </c:pt>
                <c:pt idx="5">
                  <c:v>0.34166666666666667</c:v>
                </c:pt>
                <c:pt idx="6">
                  <c:v>0.34166666666666667</c:v>
                </c:pt>
                <c:pt idx="7">
                  <c:v>0.34166666666666667</c:v>
                </c:pt>
                <c:pt idx="8">
                  <c:v>0.34166666666666667</c:v>
                </c:pt>
                <c:pt idx="9">
                  <c:v>0.34166666666666667</c:v>
                </c:pt>
                <c:pt idx="10">
                  <c:v>0.34166666666666667</c:v>
                </c:pt>
                <c:pt idx="11">
                  <c:v>0.34166666666666667</c:v>
                </c:pt>
                <c:pt idx="12">
                  <c:v>0.34166666666666667</c:v>
                </c:pt>
                <c:pt idx="13">
                  <c:v>0.34166666666666667</c:v>
                </c:pt>
                <c:pt idx="14">
                  <c:v>0.34166666666666667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73-472C-8F33-3FFD73B17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A4D-4E60-915F-913B2CCA0E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4D-4E60-915F-913B2CCA0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A4D-4E60-915F-913B2CCA0E1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4D-4E60-915F-913B2CCA0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LID/PLUNGER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4437</c:v>
                </c:pt>
                <c:pt idx="3">
                  <c:v>584</c:v>
                </c:pt>
                <c:pt idx="4">
                  <c:v>2621</c:v>
                </c:pt>
                <c:pt idx="5">
                  <c:v>2800</c:v>
                </c:pt>
                <c:pt idx="6">
                  <c:v>3448</c:v>
                </c:pt>
                <c:pt idx="7">
                  <c:v>686</c:v>
                </c:pt>
                <c:pt idx="12">
                  <c:v>2109</c:v>
                </c:pt>
                <c:pt idx="13">
                  <c:v>5271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D-4C16-B504-121CE9C64388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LID/PLUNGER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4437</c:v>
                </c:pt>
                <c:pt idx="3">
                  <c:v>584</c:v>
                </c:pt>
                <c:pt idx="4">
                  <c:v>2621</c:v>
                </c:pt>
                <c:pt idx="5">
                  <c:v>2800</c:v>
                </c:pt>
                <c:pt idx="6">
                  <c:v>3448</c:v>
                </c:pt>
                <c:pt idx="7">
                  <c:v>686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2109</c:v>
                </c:pt>
                <c:pt idx="13">
                  <c:v>5271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D-4C16-B504-121CE9C64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17%</c:v>
                </c:pt>
                <c:pt idx="4">
                  <c:v>54%</c:v>
                </c:pt>
                <c:pt idx="5">
                  <c:v>58%</c:v>
                </c:pt>
                <c:pt idx="6">
                  <c:v>79%</c:v>
                </c:pt>
                <c:pt idx="7">
                  <c:v>17%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LID/PLUNGER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0.16666666666666666</c:v>
                </c:pt>
                <c:pt idx="4">
                  <c:v>0.54166666666666663</c:v>
                </c:pt>
                <c:pt idx="5">
                  <c:v>0.58333333333333337</c:v>
                </c:pt>
                <c:pt idx="6">
                  <c:v>0.79166666666666663</c:v>
                </c:pt>
                <c:pt idx="7">
                  <c:v>0.16666666666666666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F5-4008-B728-0C5020147E6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F5-4008-B728-0C5020147E6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LID/PLUNGER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0.31111111111111106</c:v>
                </c:pt>
                <c:pt idx="1">
                  <c:v>0.31111111111111106</c:v>
                </c:pt>
                <c:pt idx="2">
                  <c:v>0.31111111111111106</c:v>
                </c:pt>
                <c:pt idx="3">
                  <c:v>0.31111111111111106</c:v>
                </c:pt>
                <c:pt idx="4">
                  <c:v>0.31111111111111106</c:v>
                </c:pt>
                <c:pt idx="5">
                  <c:v>0.31111111111111106</c:v>
                </c:pt>
                <c:pt idx="6">
                  <c:v>0.31111111111111106</c:v>
                </c:pt>
                <c:pt idx="7">
                  <c:v>0.31111111111111106</c:v>
                </c:pt>
                <c:pt idx="8">
                  <c:v>0.31111111111111106</c:v>
                </c:pt>
                <c:pt idx="9">
                  <c:v>0.31111111111111106</c:v>
                </c:pt>
                <c:pt idx="10">
                  <c:v>0.31111111111111106</c:v>
                </c:pt>
                <c:pt idx="11">
                  <c:v>0.31111111111111106</c:v>
                </c:pt>
                <c:pt idx="12">
                  <c:v>0.31111111111111106</c:v>
                </c:pt>
                <c:pt idx="13">
                  <c:v>0.31111111111111106</c:v>
                </c:pt>
                <c:pt idx="14">
                  <c:v>0.31111111111111106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F5-4008-B728-0C5020147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LID/PLUNGER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4437</c:v>
                </c:pt>
                <c:pt idx="3">
                  <c:v>584</c:v>
                </c:pt>
                <c:pt idx="4">
                  <c:v>2621</c:v>
                </c:pt>
                <c:pt idx="5">
                  <c:v>2800</c:v>
                </c:pt>
                <c:pt idx="6">
                  <c:v>3448</c:v>
                </c:pt>
                <c:pt idx="7">
                  <c:v>686</c:v>
                </c:pt>
                <c:pt idx="12">
                  <c:v>2109</c:v>
                </c:pt>
                <c:pt idx="13">
                  <c:v>5271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9-4289-BB39-64EFFAEE1FA0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LID/PLUNGER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4437</c:v>
                </c:pt>
                <c:pt idx="3">
                  <c:v>584</c:v>
                </c:pt>
                <c:pt idx="4">
                  <c:v>2621</c:v>
                </c:pt>
                <c:pt idx="5">
                  <c:v>2800</c:v>
                </c:pt>
                <c:pt idx="6">
                  <c:v>3448</c:v>
                </c:pt>
                <c:pt idx="7">
                  <c:v>686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3600</c:v>
                </c:pt>
                <c:pt idx="12">
                  <c:v>2109</c:v>
                </c:pt>
                <c:pt idx="13">
                  <c:v>5271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9-4289-BB39-64EFFAEE1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17%</c:v>
                </c:pt>
                <c:pt idx="4">
                  <c:v>54%</c:v>
                </c:pt>
                <c:pt idx="5">
                  <c:v>58%</c:v>
                </c:pt>
                <c:pt idx="6">
                  <c:v>79%</c:v>
                </c:pt>
                <c:pt idx="7">
                  <c:v>17%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LID/PLUNGER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0.16666666666666666</c:v>
                </c:pt>
                <c:pt idx="4">
                  <c:v>0.54166666666666663</c:v>
                </c:pt>
                <c:pt idx="5">
                  <c:v>0.58333333333333337</c:v>
                </c:pt>
                <c:pt idx="6">
                  <c:v>0.79166666666666663</c:v>
                </c:pt>
                <c:pt idx="7">
                  <c:v>0.16666666666666666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1-45EE-9444-536BEA08FB1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E1-45EE-9444-536BEA08FB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TOP/BOTTOM</c:v>
                </c:pt>
                <c:pt idx="12">
                  <c:v>LID/PLUNGER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0.31111111111111106</c:v>
                </c:pt>
                <c:pt idx="1">
                  <c:v>0.31111111111111106</c:v>
                </c:pt>
                <c:pt idx="2">
                  <c:v>0.31111111111111106</c:v>
                </c:pt>
                <c:pt idx="3">
                  <c:v>0.31111111111111106</c:v>
                </c:pt>
                <c:pt idx="4">
                  <c:v>0.31111111111111106</c:v>
                </c:pt>
                <c:pt idx="5">
                  <c:v>0.31111111111111106</c:v>
                </c:pt>
                <c:pt idx="6">
                  <c:v>0.31111111111111106</c:v>
                </c:pt>
                <c:pt idx="7">
                  <c:v>0.31111111111111106</c:v>
                </c:pt>
                <c:pt idx="8">
                  <c:v>0.31111111111111106</c:v>
                </c:pt>
                <c:pt idx="9">
                  <c:v>0.31111111111111106</c:v>
                </c:pt>
                <c:pt idx="10">
                  <c:v>0.31111111111111106</c:v>
                </c:pt>
                <c:pt idx="11">
                  <c:v>0.31111111111111106</c:v>
                </c:pt>
                <c:pt idx="12">
                  <c:v>0.31111111111111106</c:v>
                </c:pt>
                <c:pt idx="13">
                  <c:v>0.31111111111111106</c:v>
                </c:pt>
                <c:pt idx="14">
                  <c:v>0.31111111111111106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E1-45EE-9444-536BEA08F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98C-4D92-A35A-142839037E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8C-4D92-A35A-142839037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8C-4D92-A35A-142839037E7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8C-4D92-A35A-142839037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2">
                  <c:v>4478</c:v>
                </c:pt>
                <c:pt idx="3">
                  <c:v>4731</c:v>
                </c:pt>
                <c:pt idx="4">
                  <c:v>10866</c:v>
                </c:pt>
                <c:pt idx="5">
                  <c:v>9704</c:v>
                </c:pt>
                <c:pt idx="6">
                  <c:v>3511</c:v>
                </c:pt>
                <c:pt idx="7">
                  <c:v>3711</c:v>
                </c:pt>
                <c:pt idx="11">
                  <c:v>5368</c:v>
                </c:pt>
                <c:pt idx="12">
                  <c:v>2150</c:v>
                </c:pt>
                <c:pt idx="13">
                  <c:v>5269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3-4051-BFA0-9F5D7FABBBC3}"/>
            </c:ext>
          </c:extLst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4478</c:v>
                </c:pt>
                <c:pt idx="3">
                  <c:v>4731</c:v>
                </c:pt>
                <c:pt idx="4">
                  <c:v>10866</c:v>
                </c:pt>
                <c:pt idx="5">
                  <c:v>9704</c:v>
                </c:pt>
                <c:pt idx="6">
                  <c:v>3511</c:v>
                </c:pt>
                <c:pt idx="7">
                  <c:v>3711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5368</c:v>
                </c:pt>
                <c:pt idx="12">
                  <c:v>2150</c:v>
                </c:pt>
                <c:pt idx="13">
                  <c:v>5269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43-4051-BFA0-9F5D7FABB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96%</c:v>
                </c:pt>
                <c:pt idx="6">
                  <c:v>79%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58%</c:v>
                </c:pt>
                <c:pt idx="12">
                  <c:v>58%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0.95833333333333337</c:v>
                </c:pt>
                <c:pt idx="6">
                  <c:v>0.79166666666666663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0.58333333333333337</c:v>
                </c:pt>
                <c:pt idx="12">
                  <c:v>0.58333333333333337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C-435B-8631-D3DE65F7E38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7C-435B-8631-D3DE65F7E3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0.50555555555555554</c:v>
                </c:pt>
                <c:pt idx="1">
                  <c:v>0.50555555555555554</c:v>
                </c:pt>
                <c:pt idx="2">
                  <c:v>0.50555555555555554</c:v>
                </c:pt>
                <c:pt idx="3">
                  <c:v>0.50555555555555554</c:v>
                </c:pt>
                <c:pt idx="4">
                  <c:v>0.50555555555555554</c:v>
                </c:pt>
                <c:pt idx="5">
                  <c:v>0.50555555555555554</c:v>
                </c:pt>
                <c:pt idx="6">
                  <c:v>0.50555555555555554</c:v>
                </c:pt>
                <c:pt idx="7">
                  <c:v>0.50555555555555554</c:v>
                </c:pt>
                <c:pt idx="8">
                  <c:v>0.50555555555555554</c:v>
                </c:pt>
                <c:pt idx="9">
                  <c:v>0.50555555555555554</c:v>
                </c:pt>
                <c:pt idx="10">
                  <c:v>0.50555555555555554</c:v>
                </c:pt>
                <c:pt idx="11">
                  <c:v>0.50555555555555554</c:v>
                </c:pt>
                <c:pt idx="12">
                  <c:v>0.50555555555555554</c:v>
                </c:pt>
                <c:pt idx="13">
                  <c:v>0.50555555555555554</c:v>
                </c:pt>
                <c:pt idx="14">
                  <c:v>0.50555555555555554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7C-435B-8631-D3DE65F7E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2">
                  <c:v>4478</c:v>
                </c:pt>
                <c:pt idx="3">
                  <c:v>4731</c:v>
                </c:pt>
                <c:pt idx="4">
                  <c:v>10866</c:v>
                </c:pt>
                <c:pt idx="5">
                  <c:v>9704</c:v>
                </c:pt>
                <c:pt idx="6">
                  <c:v>3511</c:v>
                </c:pt>
                <c:pt idx="7">
                  <c:v>3711</c:v>
                </c:pt>
                <c:pt idx="11">
                  <c:v>5368</c:v>
                </c:pt>
                <c:pt idx="12">
                  <c:v>2150</c:v>
                </c:pt>
                <c:pt idx="13">
                  <c:v>5269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0-4B78-B18C-3FB4EED6324B}"/>
            </c:ext>
          </c:extLst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4478</c:v>
                </c:pt>
                <c:pt idx="3">
                  <c:v>4731</c:v>
                </c:pt>
                <c:pt idx="4">
                  <c:v>10866</c:v>
                </c:pt>
                <c:pt idx="5">
                  <c:v>9704</c:v>
                </c:pt>
                <c:pt idx="6">
                  <c:v>3511</c:v>
                </c:pt>
                <c:pt idx="7">
                  <c:v>3711</c:v>
                </c:pt>
                <c:pt idx="8">
                  <c:v>1045</c:v>
                </c:pt>
                <c:pt idx="9">
                  <c:v>7008</c:v>
                </c:pt>
                <c:pt idx="10">
                  <c:v>4928</c:v>
                </c:pt>
                <c:pt idx="11">
                  <c:v>5368</c:v>
                </c:pt>
                <c:pt idx="12">
                  <c:v>2150</c:v>
                </c:pt>
                <c:pt idx="13">
                  <c:v>5269</c:v>
                </c:pt>
                <c:pt idx="14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C0-4B78-B18C-3FB4EED63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96%</c:v>
                </c:pt>
                <c:pt idx="6">
                  <c:v>79%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58%</c:v>
                </c:pt>
                <c:pt idx="12">
                  <c:v>58%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0.95833333333333337</c:v>
                </c:pt>
                <c:pt idx="6">
                  <c:v>0.79166666666666663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0.58333333333333337</c:v>
                </c:pt>
                <c:pt idx="12">
                  <c:v>0.58333333333333337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41-43E5-B013-FF783F22161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341-43E5-B013-FF783F22161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288BASE</c:v>
                </c:pt>
                <c:pt idx="10">
                  <c:v>COVER</c:v>
                </c:pt>
                <c:pt idx="11">
                  <c:v>LATCH PLATE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0.50555555555555554</c:v>
                </c:pt>
                <c:pt idx="1">
                  <c:v>0.50555555555555554</c:v>
                </c:pt>
                <c:pt idx="2">
                  <c:v>0.50555555555555554</c:v>
                </c:pt>
                <c:pt idx="3">
                  <c:v>0.50555555555555554</c:v>
                </c:pt>
                <c:pt idx="4">
                  <c:v>0.50555555555555554</c:v>
                </c:pt>
                <c:pt idx="5">
                  <c:v>0.50555555555555554</c:v>
                </c:pt>
                <c:pt idx="6">
                  <c:v>0.50555555555555554</c:v>
                </c:pt>
                <c:pt idx="7">
                  <c:v>0.50555555555555554</c:v>
                </c:pt>
                <c:pt idx="8">
                  <c:v>0.50555555555555554</c:v>
                </c:pt>
                <c:pt idx="9">
                  <c:v>0.50555555555555554</c:v>
                </c:pt>
                <c:pt idx="10">
                  <c:v>0.50555555555555554</c:v>
                </c:pt>
                <c:pt idx="11">
                  <c:v>0.50555555555555554</c:v>
                </c:pt>
                <c:pt idx="12">
                  <c:v>0.50555555555555554</c:v>
                </c:pt>
                <c:pt idx="13">
                  <c:v>0.50555555555555554</c:v>
                </c:pt>
                <c:pt idx="14">
                  <c:v>0.50555555555555554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41-43E5-B013-FF783F221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C29-4FF3-B2BB-70F9B35482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9-4FF3-B2BB-70F9B354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C29-4FF3-B2BB-70F9B35482F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29-4FF3-B2BB-70F9B3548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'19'!$D$6:$D$24</c:f>
              <c:strCache>
                <c:ptCount val="18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  <c:pt idx="15">
                  <c:v>ADAPTER</c:v>
                </c:pt>
                <c:pt idx="16">
                  <c:v>BASE</c:v>
                </c:pt>
                <c:pt idx="17">
                  <c:v>STOPPER</c:v>
                </c:pt>
              </c:strCache>
            </c:strRef>
          </c:cat>
          <c:val>
            <c:numRef>
              <c:f>'19'!$L$6:$L$24</c:f>
              <c:numCache>
                <c:formatCode>_(* #,##0_);_(* \(#,##0\);_(* "-"_);_(@_)</c:formatCode>
                <c:ptCount val="19"/>
                <c:pt idx="2">
                  <c:v>4488</c:v>
                </c:pt>
                <c:pt idx="3">
                  <c:v>3038</c:v>
                </c:pt>
                <c:pt idx="4">
                  <c:v>11456</c:v>
                </c:pt>
                <c:pt idx="5">
                  <c:v>10038</c:v>
                </c:pt>
                <c:pt idx="6">
                  <c:v>4955</c:v>
                </c:pt>
                <c:pt idx="7">
                  <c:v>2132</c:v>
                </c:pt>
                <c:pt idx="8">
                  <c:v>1778</c:v>
                </c:pt>
                <c:pt idx="10">
                  <c:v>1194</c:v>
                </c:pt>
                <c:pt idx="12">
                  <c:v>2084</c:v>
                </c:pt>
                <c:pt idx="13">
                  <c:v>10472</c:v>
                </c:pt>
                <c:pt idx="14">
                  <c:v>518</c:v>
                </c:pt>
                <c:pt idx="15">
                  <c:v>2087</c:v>
                </c:pt>
                <c:pt idx="16">
                  <c:v>2293</c:v>
                </c:pt>
                <c:pt idx="17">
                  <c:v>2211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2-48DD-92D8-4256B3B59E09}"/>
            </c:ext>
          </c:extLst>
        </c:ser>
        <c:ser>
          <c:idx val="1"/>
          <c:order val="1"/>
          <c:tx>
            <c:v>계획</c:v>
          </c:tx>
          <c:cat>
            <c:strRef>
              <c:f>'19'!$D$6:$D$24</c:f>
              <c:strCache>
                <c:ptCount val="18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  <c:pt idx="15">
                  <c:v>ADAPTER</c:v>
                </c:pt>
                <c:pt idx="16">
                  <c:v>BASE</c:v>
                </c:pt>
                <c:pt idx="17">
                  <c:v>STOPPER</c:v>
                </c:pt>
              </c:strCache>
            </c:strRef>
          </c:cat>
          <c:val>
            <c:numRef>
              <c:f>'19'!$J$6:$J$24</c:f>
              <c:numCache>
                <c:formatCode>_(* #,##0_);_(* \(#,##0\);_(* "-"_);_(@_)</c:formatCode>
                <c:ptCount val="19"/>
                <c:pt idx="0">
                  <c:v>0</c:v>
                </c:pt>
                <c:pt idx="1">
                  <c:v>2061</c:v>
                </c:pt>
                <c:pt idx="2">
                  <c:v>4488</c:v>
                </c:pt>
                <c:pt idx="3">
                  <c:v>3038</c:v>
                </c:pt>
                <c:pt idx="4">
                  <c:v>11456</c:v>
                </c:pt>
                <c:pt idx="5">
                  <c:v>10038</c:v>
                </c:pt>
                <c:pt idx="6">
                  <c:v>4955</c:v>
                </c:pt>
                <c:pt idx="7">
                  <c:v>2132</c:v>
                </c:pt>
                <c:pt idx="8">
                  <c:v>1778</c:v>
                </c:pt>
                <c:pt idx="9">
                  <c:v>1045</c:v>
                </c:pt>
                <c:pt idx="10">
                  <c:v>1194</c:v>
                </c:pt>
                <c:pt idx="11">
                  <c:v>4928</c:v>
                </c:pt>
                <c:pt idx="12">
                  <c:v>2084</c:v>
                </c:pt>
                <c:pt idx="13">
                  <c:v>10472</c:v>
                </c:pt>
                <c:pt idx="14">
                  <c:v>518</c:v>
                </c:pt>
                <c:pt idx="15">
                  <c:v>2087</c:v>
                </c:pt>
                <c:pt idx="16">
                  <c:v>2293</c:v>
                </c:pt>
                <c:pt idx="17">
                  <c:v>2211</c:v>
                </c:pt>
                <c:pt idx="18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F2-48DD-92D8-4256B3B59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'19'!$AD$6:$AD$24</c:f>
              <c:strCache>
                <c:ptCount val="19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58%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42%</c:v>
                </c:pt>
                <c:pt idx="8">
                  <c:v>38%</c:v>
                </c:pt>
                <c:pt idx="9">
                  <c:v>0%</c:v>
                </c:pt>
                <c:pt idx="10">
                  <c:v>33%</c:v>
                </c:pt>
                <c:pt idx="11">
                  <c:v>0%</c:v>
                </c:pt>
                <c:pt idx="12">
                  <c:v>46%</c:v>
                </c:pt>
                <c:pt idx="13">
                  <c:v>42%</c:v>
                </c:pt>
                <c:pt idx="14">
                  <c:v>17%</c:v>
                </c:pt>
                <c:pt idx="15">
                  <c:v>46%</c:v>
                </c:pt>
                <c:pt idx="16">
                  <c:v>50%</c:v>
                </c:pt>
                <c:pt idx="17">
                  <c:v>46%</c:v>
                </c:pt>
                <c:pt idx="18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'19'!$D$6:$D$24</c:f>
              <c:strCache>
                <c:ptCount val="18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  <c:pt idx="15">
                  <c:v>ADAPTER</c:v>
                </c:pt>
                <c:pt idx="16">
                  <c:v>BASE</c:v>
                </c:pt>
                <c:pt idx="17">
                  <c:v>STOPPER</c:v>
                </c:pt>
              </c:strCache>
            </c:strRef>
          </c:cat>
          <c:val>
            <c:numRef>
              <c:f>'19'!$AD$6:$AD$24</c:f>
              <c:numCache>
                <c:formatCode>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0.58333333333333337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0.41666666666666669</c:v>
                </c:pt>
                <c:pt idx="8">
                  <c:v>0.375</c:v>
                </c:pt>
                <c:pt idx="9">
                  <c:v>0</c:v>
                </c:pt>
                <c:pt idx="10">
                  <c:v>0.33333333333333331</c:v>
                </c:pt>
                <c:pt idx="11">
                  <c:v>0</c:v>
                </c:pt>
                <c:pt idx="12">
                  <c:v>0.45833333333333331</c:v>
                </c:pt>
                <c:pt idx="13">
                  <c:v>0.41666666666666669</c:v>
                </c:pt>
                <c:pt idx="14">
                  <c:v>0.16666666666666666</c:v>
                </c:pt>
                <c:pt idx="15">
                  <c:v>0.45833333333333331</c:v>
                </c:pt>
                <c:pt idx="16">
                  <c:v>0.5</c:v>
                </c:pt>
                <c:pt idx="17">
                  <c:v>0.45833333333333331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C-43B0-A536-3481A0E9E61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0C-43B0-A536-3481A0E9E6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'19'!$D$6:$D$24</c:f>
              <c:strCache>
                <c:ptCount val="18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  <c:pt idx="15">
                  <c:v>ADAPTER</c:v>
                </c:pt>
                <c:pt idx="16">
                  <c:v>BASE</c:v>
                </c:pt>
                <c:pt idx="17">
                  <c:v>STOPPER</c:v>
                </c:pt>
              </c:strCache>
            </c:strRef>
          </c:cat>
          <c:val>
            <c:numRef>
              <c:f>'19'!$AE$6:$AE$24</c:f>
              <c:numCache>
                <c:formatCode>0%</c:formatCode>
                <c:ptCount val="19"/>
                <c:pt idx="0">
                  <c:v>0.54444444444444451</c:v>
                </c:pt>
                <c:pt idx="1">
                  <c:v>0.54444444444444451</c:v>
                </c:pt>
                <c:pt idx="2">
                  <c:v>0.54444444444444451</c:v>
                </c:pt>
                <c:pt idx="3">
                  <c:v>0.54444444444444451</c:v>
                </c:pt>
                <c:pt idx="4">
                  <c:v>0.54444444444444451</c:v>
                </c:pt>
                <c:pt idx="5">
                  <c:v>0.54444444444444451</c:v>
                </c:pt>
                <c:pt idx="6">
                  <c:v>0.54444444444444451</c:v>
                </c:pt>
                <c:pt idx="7">
                  <c:v>0.54444444444444451</c:v>
                </c:pt>
                <c:pt idx="8">
                  <c:v>0.54444444444444451</c:v>
                </c:pt>
                <c:pt idx="9">
                  <c:v>0.54444444444444451</c:v>
                </c:pt>
                <c:pt idx="10">
                  <c:v>0.54444444444444451</c:v>
                </c:pt>
                <c:pt idx="11">
                  <c:v>0.54444444444444451</c:v>
                </c:pt>
                <c:pt idx="12">
                  <c:v>0.54444444444444451</c:v>
                </c:pt>
                <c:pt idx="13">
                  <c:v>0.54444444444444451</c:v>
                </c:pt>
                <c:pt idx="14">
                  <c:v>0.54444444444444451</c:v>
                </c:pt>
                <c:pt idx="15">
                  <c:v>0.54444444444444451</c:v>
                </c:pt>
                <c:pt idx="16">
                  <c:v>0.54444444444444451</c:v>
                </c:pt>
                <c:pt idx="17">
                  <c:v>0.54444444444444451</c:v>
                </c:pt>
                <c:pt idx="18">
                  <c:v>0.54444444444444451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0C-43B0-A536-3481A0E9E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'19'!$D$6:$D$24</c:f>
              <c:strCache>
                <c:ptCount val="18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  <c:pt idx="15">
                  <c:v>ADAPTER</c:v>
                </c:pt>
                <c:pt idx="16">
                  <c:v>BASE</c:v>
                </c:pt>
                <c:pt idx="17">
                  <c:v>STOPPER</c:v>
                </c:pt>
              </c:strCache>
            </c:strRef>
          </c:cat>
          <c:val>
            <c:numRef>
              <c:f>'19'!$L$6:$L$24</c:f>
              <c:numCache>
                <c:formatCode>_(* #,##0_);_(* \(#,##0\);_(* "-"_);_(@_)</c:formatCode>
                <c:ptCount val="19"/>
                <c:pt idx="2">
                  <c:v>4488</c:v>
                </c:pt>
                <c:pt idx="3">
                  <c:v>3038</c:v>
                </c:pt>
                <c:pt idx="4">
                  <c:v>11456</c:v>
                </c:pt>
                <c:pt idx="5">
                  <c:v>10038</c:v>
                </c:pt>
                <c:pt idx="6">
                  <c:v>4955</c:v>
                </c:pt>
                <c:pt idx="7">
                  <c:v>2132</c:v>
                </c:pt>
                <c:pt idx="8">
                  <c:v>1778</c:v>
                </c:pt>
                <c:pt idx="10">
                  <c:v>1194</c:v>
                </c:pt>
                <c:pt idx="12">
                  <c:v>2084</c:v>
                </c:pt>
                <c:pt idx="13">
                  <c:v>10472</c:v>
                </c:pt>
                <c:pt idx="14">
                  <c:v>518</c:v>
                </c:pt>
                <c:pt idx="15">
                  <c:v>2087</c:v>
                </c:pt>
                <c:pt idx="16">
                  <c:v>2293</c:v>
                </c:pt>
                <c:pt idx="17">
                  <c:v>2211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E-4C18-BC95-C7F0AB1814EB}"/>
            </c:ext>
          </c:extLst>
        </c:ser>
        <c:ser>
          <c:idx val="1"/>
          <c:order val="1"/>
          <c:tx>
            <c:v>계획</c:v>
          </c:tx>
          <c:cat>
            <c:strRef>
              <c:f>'19'!$D$6:$D$24</c:f>
              <c:strCache>
                <c:ptCount val="18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  <c:pt idx="15">
                  <c:v>ADAPTER</c:v>
                </c:pt>
                <c:pt idx="16">
                  <c:v>BASE</c:v>
                </c:pt>
                <c:pt idx="17">
                  <c:v>STOPPER</c:v>
                </c:pt>
              </c:strCache>
            </c:strRef>
          </c:cat>
          <c:val>
            <c:numRef>
              <c:f>'19'!$J$6:$J$24</c:f>
              <c:numCache>
                <c:formatCode>_(* #,##0_);_(* \(#,##0\);_(* "-"_);_(@_)</c:formatCode>
                <c:ptCount val="19"/>
                <c:pt idx="0">
                  <c:v>0</c:v>
                </c:pt>
                <c:pt idx="1">
                  <c:v>2061</c:v>
                </c:pt>
                <c:pt idx="2">
                  <c:v>4488</c:v>
                </c:pt>
                <c:pt idx="3">
                  <c:v>3038</c:v>
                </c:pt>
                <c:pt idx="4">
                  <c:v>11456</c:v>
                </c:pt>
                <c:pt idx="5">
                  <c:v>10038</c:v>
                </c:pt>
                <c:pt idx="6">
                  <c:v>4955</c:v>
                </c:pt>
                <c:pt idx="7">
                  <c:v>2132</c:v>
                </c:pt>
                <c:pt idx="8">
                  <c:v>1778</c:v>
                </c:pt>
                <c:pt idx="9">
                  <c:v>1045</c:v>
                </c:pt>
                <c:pt idx="10">
                  <c:v>1194</c:v>
                </c:pt>
                <c:pt idx="11">
                  <c:v>4928</c:v>
                </c:pt>
                <c:pt idx="12">
                  <c:v>2084</c:v>
                </c:pt>
                <c:pt idx="13">
                  <c:v>10472</c:v>
                </c:pt>
                <c:pt idx="14">
                  <c:v>518</c:v>
                </c:pt>
                <c:pt idx="15">
                  <c:v>2087</c:v>
                </c:pt>
                <c:pt idx="16">
                  <c:v>2293</c:v>
                </c:pt>
                <c:pt idx="17">
                  <c:v>2211</c:v>
                </c:pt>
                <c:pt idx="18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4E-4C18-BC95-C7F0AB181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'19'!$AD$6:$AD$24</c:f>
              <c:strCache>
                <c:ptCount val="19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58%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42%</c:v>
                </c:pt>
                <c:pt idx="8">
                  <c:v>38%</c:v>
                </c:pt>
                <c:pt idx="9">
                  <c:v>0%</c:v>
                </c:pt>
                <c:pt idx="10">
                  <c:v>33%</c:v>
                </c:pt>
                <c:pt idx="11">
                  <c:v>0%</c:v>
                </c:pt>
                <c:pt idx="12">
                  <c:v>46%</c:v>
                </c:pt>
                <c:pt idx="13">
                  <c:v>42%</c:v>
                </c:pt>
                <c:pt idx="14">
                  <c:v>17%</c:v>
                </c:pt>
                <c:pt idx="15">
                  <c:v>46%</c:v>
                </c:pt>
                <c:pt idx="16">
                  <c:v>50%</c:v>
                </c:pt>
                <c:pt idx="17">
                  <c:v>46%</c:v>
                </c:pt>
                <c:pt idx="18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'19'!$D$6:$D$24</c:f>
              <c:strCache>
                <c:ptCount val="18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  <c:pt idx="15">
                  <c:v>ADAPTER</c:v>
                </c:pt>
                <c:pt idx="16">
                  <c:v>BASE</c:v>
                </c:pt>
                <c:pt idx="17">
                  <c:v>STOPPER</c:v>
                </c:pt>
              </c:strCache>
            </c:strRef>
          </c:cat>
          <c:val>
            <c:numRef>
              <c:f>'19'!$AD$6:$AD$24</c:f>
              <c:numCache>
                <c:formatCode>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0.58333333333333337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0.41666666666666669</c:v>
                </c:pt>
                <c:pt idx="8">
                  <c:v>0.375</c:v>
                </c:pt>
                <c:pt idx="9">
                  <c:v>0</c:v>
                </c:pt>
                <c:pt idx="10">
                  <c:v>0.33333333333333331</c:v>
                </c:pt>
                <c:pt idx="11">
                  <c:v>0</c:v>
                </c:pt>
                <c:pt idx="12">
                  <c:v>0.45833333333333331</c:v>
                </c:pt>
                <c:pt idx="13">
                  <c:v>0.41666666666666669</c:v>
                </c:pt>
                <c:pt idx="14">
                  <c:v>0.16666666666666666</c:v>
                </c:pt>
                <c:pt idx="15">
                  <c:v>0.45833333333333331</c:v>
                </c:pt>
                <c:pt idx="16">
                  <c:v>0.5</c:v>
                </c:pt>
                <c:pt idx="17">
                  <c:v>0.45833333333333331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63-4074-A0F4-C686233C320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863-4074-A0F4-C686233C32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'19'!$D$6:$D$24</c:f>
              <c:strCache>
                <c:ptCount val="18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  <c:pt idx="15">
                  <c:v>ADAPTER</c:v>
                </c:pt>
                <c:pt idx="16">
                  <c:v>BASE</c:v>
                </c:pt>
                <c:pt idx="17">
                  <c:v>STOPPER</c:v>
                </c:pt>
              </c:strCache>
            </c:strRef>
          </c:cat>
          <c:val>
            <c:numRef>
              <c:f>'19'!$AE$6:$AE$24</c:f>
              <c:numCache>
                <c:formatCode>0%</c:formatCode>
                <c:ptCount val="19"/>
                <c:pt idx="0">
                  <c:v>0.54444444444444451</c:v>
                </c:pt>
                <c:pt idx="1">
                  <c:v>0.54444444444444451</c:v>
                </c:pt>
                <c:pt idx="2">
                  <c:v>0.54444444444444451</c:v>
                </c:pt>
                <c:pt idx="3">
                  <c:v>0.54444444444444451</c:v>
                </c:pt>
                <c:pt idx="4">
                  <c:v>0.54444444444444451</c:v>
                </c:pt>
                <c:pt idx="5">
                  <c:v>0.54444444444444451</c:v>
                </c:pt>
                <c:pt idx="6">
                  <c:v>0.54444444444444451</c:v>
                </c:pt>
                <c:pt idx="7">
                  <c:v>0.54444444444444451</c:v>
                </c:pt>
                <c:pt idx="8">
                  <c:v>0.54444444444444451</c:v>
                </c:pt>
                <c:pt idx="9">
                  <c:v>0.54444444444444451</c:v>
                </c:pt>
                <c:pt idx="10">
                  <c:v>0.54444444444444451</c:v>
                </c:pt>
                <c:pt idx="11">
                  <c:v>0.54444444444444451</c:v>
                </c:pt>
                <c:pt idx="12">
                  <c:v>0.54444444444444451</c:v>
                </c:pt>
                <c:pt idx="13">
                  <c:v>0.54444444444444451</c:v>
                </c:pt>
                <c:pt idx="14">
                  <c:v>0.54444444444444451</c:v>
                </c:pt>
                <c:pt idx="15">
                  <c:v>0.54444444444444451</c:v>
                </c:pt>
                <c:pt idx="16">
                  <c:v>0.54444444444444451</c:v>
                </c:pt>
                <c:pt idx="17">
                  <c:v>0.54444444444444451</c:v>
                </c:pt>
                <c:pt idx="18">
                  <c:v>0.54444444444444451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63-4074-A0F4-C686233C3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8DE-4622-A67C-7869CC1318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DE-4622-A67C-7869CC131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DE-4622-A67C-7869CC1318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DE-4622-A67C-7869CC131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SLIDER</c:v>
                </c:pt>
                <c:pt idx="9">
                  <c:v>COVER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'20'!$L$6:$L$23</c:f>
              <c:numCache>
                <c:formatCode>_(* #,##0_);_(* \(#,##0\);_(* "-"_);_(@_)</c:formatCode>
                <c:ptCount val="18"/>
                <c:pt idx="2">
                  <c:v>4622</c:v>
                </c:pt>
                <c:pt idx="3">
                  <c:v>1149</c:v>
                </c:pt>
                <c:pt idx="4">
                  <c:v>11694</c:v>
                </c:pt>
                <c:pt idx="5">
                  <c:v>3151</c:v>
                </c:pt>
                <c:pt idx="6">
                  <c:v>2223</c:v>
                </c:pt>
                <c:pt idx="7">
                  <c:v>1300</c:v>
                </c:pt>
                <c:pt idx="8">
                  <c:v>1389</c:v>
                </c:pt>
                <c:pt idx="9">
                  <c:v>1281</c:v>
                </c:pt>
                <c:pt idx="13">
                  <c:v>10856</c:v>
                </c:pt>
                <c:pt idx="14">
                  <c:v>2428</c:v>
                </c:pt>
                <c:pt idx="15">
                  <c:v>1093</c:v>
                </c:pt>
                <c:pt idx="16">
                  <c:v>5670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EF-41DB-9AB7-8FA73950F4D7}"/>
            </c:ext>
          </c:extLst>
        </c:ser>
        <c:ser>
          <c:idx val="1"/>
          <c:order val="1"/>
          <c:tx>
            <c:v>계획</c:v>
          </c:tx>
          <c:cat>
            <c:strRef>
              <c:f>'20'!$D$6:$D$23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SLIDER</c:v>
                </c:pt>
                <c:pt idx="9">
                  <c:v>COVER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'20'!$J$6:$J$23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4622</c:v>
                </c:pt>
                <c:pt idx="3">
                  <c:v>1149</c:v>
                </c:pt>
                <c:pt idx="4">
                  <c:v>11694</c:v>
                </c:pt>
                <c:pt idx="5">
                  <c:v>3151</c:v>
                </c:pt>
                <c:pt idx="6">
                  <c:v>2223</c:v>
                </c:pt>
                <c:pt idx="7">
                  <c:v>1300</c:v>
                </c:pt>
                <c:pt idx="8">
                  <c:v>1389</c:v>
                </c:pt>
                <c:pt idx="9">
                  <c:v>1281</c:v>
                </c:pt>
                <c:pt idx="10">
                  <c:v>1045</c:v>
                </c:pt>
                <c:pt idx="11">
                  <c:v>1194</c:v>
                </c:pt>
                <c:pt idx="12">
                  <c:v>4928</c:v>
                </c:pt>
                <c:pt idx="13">
                  <c:v>10856</c:v>
                </c:pt>
                <c:pt idx="14">
                  <c:v>2428</c:v>
                </c:pt>
                <c:pt idx="15">
                  <c:v>1093</c:v>
                </c:pt>
                <c:pt idx="16">
                  <c:v>5670</c:v>
                </c:pt>
                <c:pt idx="17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EF-41DB-9AB7-8FA73950F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100%</c:v>
                </c:pt>
                <c:pt idx="5">
                  <c:v>71%</c:v>
                </c:pt>
                <c:pt idx="6">
                  <c:v>46%</c:v>
                </c:pt>
                <c:pt idx="7">
                  <c:v>29%</c:v>
                </c:pt>
                <c:pt idx="8">
                  <c:v>29%</c:v>
                </c:pt>
                <c:pt idx="9">
                  <c:v>29%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46%</c:v>
                </c:pt>
                <c:pt idx="14">
                  <c:v>67%</c:v>
                </c:pt>
                <c:pt idx="15">
                  <c:v>25%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SLIDER</c:v>
                </c:pt>
                <c:pt idx="9">
                  <c:v>COVER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'20'!$AD$6:$AD$23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1</c:v>
                </c:pt>
                <c:pt idx="5">
                  <c:v>0.70833333333333337</c:v>
                </c:pt>
                <c:pt idx="6">
                  <c:v>0.45833333333333331</c:v>
                </c:pt>
                <c:pt idx="7">
                  <c:v>0.29166666666666669</c:v>
                </c:pt>
                <c:pt idx="8">
                  <c:v>0.29166666666666669</c:v>
                </c:pt>
                <c:pt idx="9">
                  <c:v>0.29166666666666669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0.45833333333333331</c:v>
                </c:pt>
                <c:pt idx="14">
                  <c:v>0.66666666666666663</c:v>
                </c:pt>
                <c:pt idx="15">
                  <c:v>0.25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77-4C27-A4F9-DC1A1791327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77-4C27-A4F9-DC1A179132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SLIDER</c:v>
                </c:pt>
                <c:pt idx="9">
                  <c:v>COVER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'20'!$AE$6:$AE$23</c:f>
              <c:numCache>
                <c:formatCode>0%</c:formatCode>
                <c:ptCount val="18"/>
                <c:pt idx="0">
                  <c:v>0.45</c:v>
                </c:pt>
                <c:pt idx="1">
                  <c:v>0.45</c:v>
                </c:pt>
                <c:pt idx="2">
                  <c:v>0.45</c:v>
                </c:pt>
                <c:pt idx="3">
                  <c:v>0.45</c:v>
                </c:pt>
                <c:pt idx="4">
                  <c:v>0.45</c:v>
                </c:pt>
                <c:pt idx="5">
                  <c:v>0.45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0.45</c:v>
                </c:pt>
                <c:pt idx="11">
                  <c:v>0.45</c:v>
                </c:pt>
                <c:pt idx="12">
                  <c:v>0.45</c:v>
                </c:pt>
                <c:pt idx="13">
                  <c:v>0.45</c:v>
                </c:pt>
                <c:pt idx="14">
                  <c:v>0.45</c:v>
                </c:pt>
                <c:pt idx="15">
                  <c:v>0.45</c:v>
                </c:pt>
                <c:pt idx="16">
                  <c:v>0.45</c:v>
                </c:pt>
                <c:pt idx="17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77-4C27-A4F9-DC1A17913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SLIDER</c:v>
                </c:pt>
                <c:pt idx="9">
                  <c:v>COVER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'20'!$L$6:$L$23</c:f>
              <c:numCache>
                <c:formatCode>_(* #,##0_);_(* \(#,##0\);_(* "-"_);_(@_)</c:formatCode>
                <c:ptCount val="18"/>
                <c:pt idx="2">
                  <c:v>4622</c:v>
                </c:pt>
                <c:pt idx="3">
                  <c:v>1149</c:v>
                </c:pt>
                <c:pt idx="4">
                  <c:v>11694</c:v>
                </c:pt>
                <c:pt idx="5">
                  <c:v>3151</c:v>
                </c:pt>
                <c:pt idx="6">
                  <c:v>2223</c:v>
                </c:pt>
                <c:pt idx="7">
                  <c:v>1300</c:v>
                </c:pt>
                <c:pt idx="8">
                  <c:v>1389</c:v>
                </c:pt>
                <c:pt idx="9">
                  <c:v>1281</c:v>
                </c:pt>
                <c:pt idx="13">
                  <c:v>10856</c:v>
                </c:pt>
                <c:pt idx="14">
                  <c:v>2428</c:v>
                </c:pt>
                <c:pt idx="15">
                  <c:v>1093</c:v>
                </c:pt>
                <c:pt idx="16">
                  <c:v>5670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3-4C1C-A89C-8303FE0BF363}"/>
            </c:ext>
          </c:extLst>
        </c:ser>
        <c:ser>
          <c:idx val="1"/>
          <c:order val="1"/>
          <c:tx>
            <c:v>계획</c:v>
          </c:tx>
          <c:cat>
            <c:strRef>
              <c:f>'20'!$D$6:$D$23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SLIDER</c:v>
                </c:pt>
                <c:pt idx="9">
                  <c:v>COVER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'20'!$J$6:$J$23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4622</c:v>
                </c:pt>
                <c:pt idx="3">
                  <c:v>1149</c:v>
                </c:pt>
                <c:pt idx="4">
                  <c:v>11694</c:v>
                </c:pt>
                <c:pt idx="5">
                  <c:v>3151</c:v>
                </c:pt>
                <c:pt idx="6">
                  <c:v>2223</c:v>
                </c:pt>
                <c:pt idx="7">
                  <c:v>1300</c:v>
                </c:pt>
                <c:pt idx="8">
                  <c:v>1389</c:v>
                </c:pt>
                <c:pt idx="9">
                  <c:v>1281</c:v>
                </c:pt>
                <c:pt idx="10">
                  <c:v>1045</c:v>
                </c:pt>
                <c:pt idx="11">
                  <c:v>1194</c:v>
                </c:pt>
                <c:pt idx="12">
                  <c:v>4928</c:v>
                </c:pt>
                <c:pt idx="13">
                  <c:v>10856</c:v>
                </c:pt>
                <c:pt idx="14">
                  <c:v>2428</c:v>
                </c:pt>
                <c:pt idx="15">
                  <c:v>1093</c:v>
                </c:pt>
                <c:pt idx="16">
                  <c:v>5670</c:v>
                </c:pt>
                <c:pt idx="17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3-4C1C-A89C-8303FE0BF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100%</c:v>
                </c:pt>
                <c:pt idx="5">
                  <c:v>71%</c:v>
                </c:pt>
                <c:pt idx="6">
                  <c:v>46%</c:v>
                </c:pt>
                <c:pt idx="7">
                  <c:v>29%</c:v>
                </c:pt>
                <c:pt idx="8">
                  <c:v>29%</c:v>
                </c:pt>
                <c:pt idx="9">
                  <c:v>29%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46%</c:v>
                </c:pt>
                <c:pt idx="14">
                  <c:v>67%</c:v>
                </c:pt>
                <c:pt idx="15">
                  <c:v>25%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SLIDER</c:v>
                </c:pt>
                <c:pt idx="9">
                  <c:v>COVER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'20'!$AD$6:$AD$23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1</c:v>
                </c:pt>
                <c:pt idx="5">
                  <c:v>0.70833333333333337</c:v>
                </c:pt>
                <c:pt idx="6">
                  <c:v>0.45833333333333331</c:v>
                </c:pt>
                <c:pt idx="7">
                  <c:v>0.29166666666666669</c:v>
                </c:pt>
                <c:pt idx="8">
                  <c:v>0.29166666666666669</c:v>
                </c:pt>
                <c:pt idx="9">
                  <c:v>0.29166666666666669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0.45833333333333331</c:v>
                </c:pt>
                <c:pt idx="14">
                  <c:v>0.66666666666666663</c:v>
                </c:pt>
                <c:pt idx="15">
                  <c:v>0.25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7-4C4D-93A7-366C703DE62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5B7-4C4D-93A7-366C703DE62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SLIDER</c:v>
                </c:pt>
                <c:pt idx="9">
                  <c:v>COVER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  <c:pt idx="16">
                  <c:v>STOPPER</c:v>
                </c:pt>
              </c:strCache>
            </c:strRef>
          </c:cat>
          <c:val>
            <c:numRef>
              <c:f>'20'!$AE$6:$AE$23</c:f>
              <c:numCache>
                <c:formatCode>0%</c:formatCode>
                <c:ptCount val="18"/>
                <c:pt idx="0">
                  <c:v>0.45</c:v>
                </c:pt>
                <c:pt idx="1">
                  <c:v>0.45</c:v>
                </c:pt>
                <c:pt idx="2">
                  <c:v>0.45</c:v>
                </c:pt>
                <c:pt idx="3">
                  <c:v>0.45</c:v>
                </c:pt>
                <c:pt idx="4">
                  <c:v>0.45</c:v>
                </c:pt>
                <c:pt idx="5">
                  <c:v>0.45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0.45</c:v>
                </c:pt>
                <c:pt idx="11">
                  <c:v>0.45</c:v>
                </c:pt>
                <c:pt idx="12">
                  <c:v>0.45</c:v>
                </c:pt>
                <c:pt idx="13">
                  <c:v>0.45</c:v>
                </c:pt>
                <c:pt idx="14">
                  <c:v>0.45</c:v>
                </c:pt>
                <c:pt idx="15">
                  <c:v>0.45</c:v>
                </c:pt>
                <c:pt idx="16">
                  <c:v>0.45</c:v>
                </c:pt>
                <c:pt idx="17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B7-4C4D-93A7-366C703DE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274-46D2-A247-2A66429DEE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4-46D2-A247-2A66429DE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74-46D2-A247-2A66429DEE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74-46D2-A247-2A66429DE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SLIDER</c:v>
                </c:pt>
                <c:pt idx="8">
                  <c:v>LATCH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COVER</c:v>
                </c:pt>
                <c:pt idx="13">
                  <c:v>ST/HO</c:v>
                </c:pt>
                <c:pt idx="14">
                  <c:v>STOPPER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2">
                  <c:v>1866</c:v>
                </c:pt>
                <c:pt idx="3">
                  <c:v>1391</c:v>
                </c:pt>
                <c:pt idx="4">
                  <c:v>4772</c:v>
                </c:pt>
                <c:pt idx="5">
                  <c:v>2075</c:v>
                </c:pt>
                <c:pt idx="6">
                  <c:v>1852</c:v>
                </c:pt>
                <c:pt idx="7">
                  <c:v>416</c:v>
                </c:pt>
                <c:pt idx="8">
                  <c:v>2158</c:v>
                </c:pt>
                <c:pt idx="13">
                  <c:v>921</c:v>
                </c:pt>
                <c:pt idx="14">
                  <c:v>2303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E-420F-A813-C009298F8640}"/>
            </c:ext>
          </c:extLst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SLIDER</c:v>
                </c:pt>
                <c:pt idx="8">
                  <c:v>LATCH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COVER</c:v>
                </c:pt>
                <c:pt idx="13">
                  <c:v>ST/HO</c:v>
                </c:pt>
                <c:pt idx="14">
                  <c:v>STOPPER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1866</c:v>
                </c:pt>
                <c:pt idx="3">
                  <c:v>1391</c:v>
                </c:pt>
                <c:pt idx="4">
                  <c:v>4772</c:v>
                </c:pt>
                <c:pt idx="5">
                  <c:v>2075</c:v>
                </c:pt>
                <c:pt idx="6">
                  <c:v>1852</c:v>
                </c:pt>
                <c:pt idx="7">
                  <c:v>416</c:v>
                </c:pt>
                <c:pt idx="8">
                  <c:v>2158</c:v>
                </c:pt>
                <c:pt idx="9">
                  <c:v>1045</c:v>
                </c:pt>
                <c:pt idx="10">
                  <c:v>1194</c:v>
                </c:pt>
                <c:pt idx="11">
                  <c:v>4928</c:v>
                </c:pt>
                <c:pt idx="12">
                  <c:v>10856</c:v>
                </c:pt>
                <c:pt idx="13">
                  <c:v>921</c:v>
                </c:pt>
                <c:pt idx="14">
                  <c:v>2303</c:v>
                </c:pt>
                <c:pt idx="15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E-420F-A813-C009298F8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46%</c:v>
                </c:pt>
                <c:pt idx="3">
                  <c:v>33%</c:v>
                </c:pt>
                <c:pt idx="4">
                  <c:v>46%</c:v>
                </c:pt>
                <c:pt idx="5">
                  <c:v>46%</c:v>
                </c:pt>
                <c:pt idx="6">
                  <c:v>46%</c:v>
                </c:pt>
                <c:pt idx="7">
                  <c:v>13%</c:v>
                </c:pt>
                <c:pt idx="8">
                  <c:v>29%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21%</c:v>
                </c:pt>
                <c:pt idx="14">
                  <c:v>46%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SLIDER</c:v>
                </c:pt>
                <c:pt idx="8">
                  <c:v>LATCH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COVER</c:v>
                </c:pt>
                <c:pt idx="13">
                  <c:v>ST/HO</c:v>
                </c:pt>
                <c:pt idx="14">
                  <c:v>STOPPER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0.33333333333333331</c:v>
                </c:pt>
                <c:pt idx="4">
                  <c:v>0.45833333333333331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0.125</c:v>
                </c:pt>
                <c:pt idx="8">
                  <c:v>0.29166666666666669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0.20833333333333334</c:v>
                </c:pt>
                <c:pt idx="14">
                  <c:v>0.45833333333333331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1-455A-82FB-544AD61D1BA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E1-455A-82FB-544AD61D1B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SLIDER</c:v>
                </c:pt>
                <c:pt idx="8">
                  <c:v>LATCH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COVER</c:v>
                </c:pt>
                <c:pt idx="13">
                  <c:v>ST/HO</c:v>
                </c:pt>
                <c:pt idx="14">
                  <c:v>STOPPER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0.21666666666666667</c:v>
                </c:pt>
                <c:pt idx="1">
                  <c:v>0.21666666666666667</c:v>
                </c:pt>
                <c:pt idx="2">
                  <c:v>0.21666666666666667</c:v>
                </c:pt>
                <c:pt idx="3">
                  <c:v>0.21666666666666667</c:v>
                </c:pt>
                <c:pt idx="4">
                  <c:v>0.21666666666666667</c:v>
                </c:pt>
                <c:pt idx="5">
                  <c:v>0.21666666666666667</c:v>
                </c:pt>
                <c:pt idx="6">
                  <c:v>0.21666666666666667</c:v>
                </c:pt>
                <c:pt idx="7">
                  <c:v>0.21666666666666667</c:v>
                </c:pt>
                <c:pt idx="8">
                  <c:v>0.21666666666666667</c:v>
                </c:pt>
                <c:pt idx="9">
                  <c:v>0.21666666666666667</c:v>
                </c:pt>
                <c:pt idx="10">
                  <c:v>0.21666666666666667</c:v>
                </c:pt>
                <c:pt idx="11">
                  <c:v>0.21666666666666667</c:v>
                </c:pt>
                <c:pt idx="12">
                  <c:v>0.21666666666666667</c:v>
                </c:pt>
                <c:pt idx="13">
                  <c:v>0.21666666666666667</c:v>
                </c:pt>
                <c:pt idx="14">
                  <c:v>0.21666666666666667</c:v>
                </c:pt>
                <c:pt idx="15">
                  <c:v>0.21666666666666667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E1-455A-82FB-544AD61D1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SLIDER</c:v>
                </c:pt>
                <c:pt idx="8">
                  <c:v>LATCH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COVER</c:v>
                </c:pt>
                <c:pt idx="13">
                  <c:v>ST/HO</c:v>
                </c:pt>
                <c:pt idx="14">
                  <c:v>STOPPER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2">
                  <c:v>1866</c:v>
                </c:pt>
                <c:pt idx="3">
                  <c:v>1391</c:v>
                </c:pt>
                <c:pt idx="4">
                  <c:v>4772</c:v>
                </c:pt>
                <c:pt idx="5">
                  <c:v>2075</c:v>
                </c:pt>
                <c:pt idx="6">
                  <c:v>1852</c:v>
                </c:pt>
                <c:pt idx="7">
                  <c:v>416</c:v>
                </c:pt>
                <c:pt idx="8">
                  <c:v>2158</c:v>
                </c:pt>
                <c:pt idx="13">
                  <c:v>921</c:v>
                </c:pt>
                <c:pt idx="14">
                  <c:v>2303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0-4CF1-915D-B94C41968A66}"/>
            </c:ext>
          </c:extLst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SLIDER</c:v>
                </c:pt>
                <c:pt idx="8">
                  <c:v>LATCH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COVER</c:v>
                </c:pt>
                <c:pt idx="13">
                  <c:v>ST/HO</c:v>
                </c:pt>
                <c:pt idx="14">
                  <c:v>STOPPER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1866</c:v>
                </c:pt>
                <c:pt idx="3">
                  <c:v>1391</c:v>
                </c:pt>
                <c:pt idx="4">
                  <c:v>4772</c:v>
                </c:pt>
                <c:pt idx="5">
                  <c:v>2075</c:v>
                </c:pt>
                <c:pt idx="6">
                  <c:v>1852</c:v>
                </c:pt>
                <c:pt idx="7">
                  <c:v>416</c:v>
                </c:pt>
                <c:pt idx="8">
                  <c:v>2158</c:v>
                </c:pt>
                <c:pt idx="9">
                  <c:v>1045</c:v>
                </c:pt>
                <c:pt idx="10">
                  <c:v>1194</c:v>
                </c:pt>
                <c:pt idx="11">
                  <c:v>4928</c:v>
                </c:pt>
                <c:pt idx="12">
                  <c:v>10856</c:v>
                </c:pt>
                <c:pt idx="13">
                  <c:v>921</c:v>
                </c:pt>
                <c:pt idx="14">
                  <c:v>2303</c:v>
                </c:pt>
                <c:pt idx="15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0-4CF1-915D-B94C41968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46%</c:v>
                </c:pt>
                <c:pt idx="3">
                  <c:v>33%</c:v>
                </c:pt>
                <c:pt idx="4">
                  <c:v>46%</c:v>
                </c:pt>
                <c:pt idx="5">
                  <c:v>46%</c:v>
                </c:pt>
                <c:pt idx="6">
                  <c:v>46%</c:v>
                </c:pt>
                <c:pt idx="7">
                  <c:v>13%</c:v>
                </c:pt>
                <c:pt idx="8">
                  <c:v>29%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21%</c:v>
                </c:pt>
                <c:pt idx="14">
                  <c:v>46%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SLIDER</c:v>
                </c:pt>
                <c:pt idx="8">
                  <c:v>LATCH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COVER</c:v>
                </c:pt>
                <c:pt idx="13">
                  <c:v>ST/HO</c:v>
                </c:pt>
                <c:pt idx="14">
                  <c:v>STOPPER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0.33333333333333331</c:v>
                </c:pt>
                <c:pt idx="4">
                  <c:v>0.45833333333333331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0.125</c:v>
                </c:pt>
                <c:pt idx="8">
                  <c:v>0.29166666666666669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0.20833333333333334</c:v>
                </c:pt>
                <c:pt idx="14">
                  <c:v>0.45833333333333331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5-4FE5-B979-FECCB61F613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65-4FE5-B979-FECCB61F61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LATCH</c:v>
                </c:pt>
                <c:pt idx="5">
                  <c:v>BASE</c:v>
                </c:pt>
                <c:pt idx="6">
                  <c:v>BASE</c:v>
                </c:pt>
                <c:pt idx="7">
                  <c:v>SLIDER</c:v>
                </c:pt>
                <c:pt idx="8">
                  <c:v>LATCH</c:v>
                </c:pt>
                <c:pt idx="9">
                  <c:v>288BASE</c:v>
                </c:pt>
                <c:pt idx="10">
                  <c:v>FLOATING</c:v>
                </c:pt>
                <c:pt idx="11">
                  <c:v>COVER</c:v>
                </c:pt>
                <c:pt idx="12">
                  <c:v>COVER</c:v>
                </c:pt>
                <c:pt idx="13">
                  <c:v>ST/HO</c:v>
                </c:pt>
                <c:pt idx="14">
                  <c:v>STOPPER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0.21666666666666667</c:v>
                </c:pt>
                <c:pt idx="1">
                  <c:v>0.21666666666666667</c:v>
                </c:pt>
                <c:pt idx="2">
                  <c:v>0.21666666666666667</c:v>
                </c:pt>
                <c:pt idx="3">
                  <c:v>0.21666666666666667</c:v>
                </c:pt>
                <c:pt idx="4">
                  <c:v>0.21666666666666667</c:v>
                </c:pt>
                <c:pt idx="5">
                  <c:v>0.21666666666666667</c:v>
                </c:pt>
                <c:pt idx="6">
                  <c:v>0.21666666666666667</c:v>
                </c:pt>
                <c:pt idx="7">
                  <c:v>0.21666666666666667</c:v>
                </c:pt>
                <c:pt idx="8">
                  <c:v>0.21666666666666667</c:v>
                </c:pt>
                <c:pt idx="9">
                  <c:v>0.21666666666666667</c:v>
                </c:pt>
                <c:pt idx="10">
                  <c:v>0.21666666666666667</c:v>
                </c:pt>
                <c:pt idx="11">
                  <c:v>0.21666666666666667</c:v>
                </c:pt>
                <c:pt idx="12">
                  <c:v>0.21666666666666667</c:v>
                </c:pt>
                <c:pt idx="13">
                  <c:v>0.21666666666666667</c:v>
                </c:pt>
                <c:pt idx="14">
                  <c:v>0.21666666666666667</c:v>
                </c:pt>
                <c:pt idx="15">
                  <c:v>0.21666666666666667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65-4FE5-B979-FECCB61F6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634-480D-8406-50C6D75052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4-480D-8406-50C6D7505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634-480D-8406-50C6D75052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34-480D-8406-50C6D7505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ADAPTER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SP-A/B</c:v>
                </c:pt>
                <c:pt idx="10">
                  <c:v>288BASE</c:v>
                </c:pt>
                <c:pt idx="11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'23'!$L$6:$L$23</c:f>
              <c:numCache>
                <c:formatCode>_(* #,##0_);_(* \(#,##0\);_(* "-"_);_(@_)</c:formatCode>
                <c:ptCount val="18"/>
                <c:pt idx="2">
                  <c:v>4341</c:v>
                </c:pt>
                <c:pt idx="3">
                  <c:v>2345</c:v>
                </c:pt>
                <c:pt idx="4">
                  <c:v>1713</c:v>
                </c:pt>
                <c:pt idx="5">
                  <c:v>11130</c:v>
                </c:pt>
                <c:pt idx="6">
                  <c:v>4881</c:v>
                </c:pt>
                <c:pt idx="7">
                  <c:v>2445</c:v>
                </c:pt>
                <c:pt idx="8">
                  <c:v>2312</c:v>
                </c:pt>
                <c:pt idx="9">
                  <c:v>620</c:v>
                </c:pt>
                <c:pt idx="11">
                  <c:v>770</c:v>
                </c:pt>
                <c:pt idx="12">
                  <c:v>1334</c:v>
                </c:pt>
                <c:pt idx="14">
                  <c:v>9948</c:v>
                </c:pt>
                <c:pt idx="15">
                  <c:v>3493</c:v>
                </c:pt>
                <c:pt idx="16">
                  <c:v>5334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C7-4B83-A815-ED5F68A0093A}"/>
            </c:ext>
          </c:extLst>
        </c:ser>
        <c:ser>
          <c:idx val="1"/>
          <c:order val="1"/>
          <c:tx>
            <c:v>계획</c:v>
          </c:tx>
          <c:cat>
            <c:strRef>
              <c:f>'23'!$D$6:$D$23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ADAPTER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SP-A/B</c:v>
                </c:pt>
                <c:pt idx="10">
                  <c:v>288BASE</c:v>
                </c:pt>
                <c:pt idx="11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'23'!$J$6:$J$23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4341</c:v>
                </c:pt>
                <c:pt idx="3">
                  <c:v>2345</c:v>
                </c:pt>
                <c:pt idx="4">
                  <c:v>1713</c:v>
                </c:pt>
                <c:pt idx="5">
                  <c:v>11130</c:v>
                </c:pt>
                <c:pt idx="6">
                  <c:v>4881</c:v>
                </c:pt>
                <c:pt idx="7">
                  <c:v>2445</c:v>
                </c:pt>
                <c:pt idx="8">
                  <c:v>2312</c:v>
                </c:pt>
                <c:pt idx="9">
                  <c:v>620</c:v>
                </c:pt>
                <c:pt idx="10">
                  <c:v>1045</c:v>
                </c:pt>
                <c:pt idx="11">
                  <c:v>770</c:v>
                </c:pt>
                <c:pt idx="12">
                  <c:v>1334</c:v>
                </c:pt>
                <c:pt idx="13">
                  <c:v>4928</c:v>
                </c:pt>
                <c:pt idx="14">
                  <c:v>9948</c:v>
                </c:pt>
                <c:pt idx="15">
                  <c:v>3493</c:v>
                </c:pt>
                <c:pt idx="16">
                  <c:v>5334</c:v>
                </c:pt>
                <c:pt idx="17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C7-4B83-A815-ED5F68A00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50%</c:v>
                </c:pt>
                <c:pt idx="4">
                  <c:v>38%</c:v>
                </c:pt>
                <c:pt idx="5">
                  <c:v>100%</c:v>
                </c:pt>
                <c:pt idx="6">
                  <c:v>100%</c:v>
                </c:pt>
                <c:pt idx="7">
                  <c:v>58%</c:v>
                </c:pt>
                <c:pt idx="8">
                  <c:v>25%</c:v>
                </c:pt>
                <c:pt idx="9">
                  <c:v>17%</c:v>
                </c:pt>
                <c:pt idx="10">
                  <c:v>0%</c:v>
                </c:pt>
                <c:pt idx="11">
                  <c:v>17%</c:v>
                </c:pt>
                <c:pt idx="12">
                  <c:v>29%</c:v>
                </c:pt>
                <c:pt idx="13">
                  <c:v>0%</c:v>
                </c:pt>
                <c:pt idx="14">
                  <c:v>96%</c:v>
                </c:pt>
                <c:pt idx="15">
                  <c:v>83%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ADAPTER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SP-A/B</c:v>
                </c:pt>
                <c:pt idx="10">
                  <c:v>288BASE</c:v>
                </c:pt>
                <c:pt idx="11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'23'!$AD$6:$AD$23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</c:v>
                </c:pt>
                <c:pt idx="4">
                  <c:v>0.375</c:v>
                </c:pt>
                <c:pt idx="5">
                  <c:v>1</c:v>
                </c:pt>
                <c:pt idx="6">
                  <c:v>1</c:v>
                </c:pt>
                <c:pt idx="7">
                  <c:v>0.58333333333333337</c:v>
                </c:pt>
                <c:pt idx="8">
                  <c:v>0.25</c:v>
                </c:pt>
                <c:pt idx="9">
                  <c:v>0.16666666666666666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0.29166666666666669</c:v>
                </c:pt>
                <c:pt idx="13">
                  <c:v>0</c:v>
                </c:pt>
                <c:pt idx="14">
                  <c:v>0.95833333333333337</c:v>
                </c:pt>
                <c:pt idx="15">
                  <c:v>0.83333333333333337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A-4558-9C3F-C0C39ADBD79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AA-4558-9C3F-C0C39ADBD79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ADAPTER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SP-A/B</c:v>
                </c:pt>
                <c:pt idx="10">
                  <c:v>288BASE</c:v>
                </c:pt>
                <c:pt idx="11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'23'!$AE$6:$AE$23</c:f>
              <c:numCache>
                <c:formatCode>0%</c:formatCode>
                <c:ptCount val="18"/>
                <c:pt idx="0">
                  <c:v>0.54166666666666663</c:v>
                </c:pt>
                <c:pt idx="1">
                  <c:v>0.54166666666666663</c:v>
                </c:pt>
                <c:pt idx="2">
                  <c:v>0.54166666666666663</c:v>
                </c:pt>
                <c:pt idx="3">
                  <c:v>0.54166666666666663</c:v>
                </c:pt>
                <c:pt idx="4">
                  <c:v>0.54166666666666663</c:v>
                </c:pt>
                <c:pt idx="5">
                  <c:v>0.54166666666666663</c:v>
                </c:pt>
                <c:pt idx="6">
                  <c:v>0.54166666666666663</c:v>
                </c:pt>
                <c:pt idx="7">
                  <c:v>0.54166666666666663</c:v>
                </c:pt>
                <c:pt idx="8">
                  <c:v>0.54166666666666663</c:v>
                </c:pt>
                <c:pt idx="9">
                  <c:v>0.54166666666666663</c:v>
                </c:pt>
                <c:pt idx="10">
                  <c:v>0.54166666666666663</c:v>
                </c:pt>
                <c:pt idx="11">
                  <c:v>0.54166666666666663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0.54166666666666663</c:v>
                </c:pt>
                <c:pt idx="16">
                  <c:v>0.54166666666666663</c:v>
                </c:pt>
                <c:pt idx="17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A-4558-9C3F-C0C39ADBD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ADAPTER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SP-A/B</c:v>
                </c:pt>
                <c:pt idx="10">
                  <c:v>288BASE</c:v>
                </c:pt>
                <c:pt idx="11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'23'!$L$6:$L$23</c:f>
              <c:numCache>
                <c:formatCode>_(* #,##0_);_(* \(#,##0\);_(* "-"_);_(@_)</c:formatCode>
                <c:ptCount val="18"/>
                <c:pt idx="2">
                  <c:v>4341</c:v>
                </c:pt>
                <c:pt idx="3">
                  <c:v>2345</c:v>
                </c:pt>
                <c:pt idx="4">
                  <c:v>1713</c:v>
                </c:pt>
                <c:pt idx="5">
                  <c:v>11130</c:v>
                </c:pt>
                <c:pt idx="6">
                  <c:v>4881</c:v>
                </c:pt>
                <c:pt idx="7">
                  <c:v>2445</c:v>
                </c:pt>
                <c:pt idx="8">
                  <c:v>2312</c:v>
                </c:pt>
                <c:pt idx="9">
                  <c:v>620</c:v>
                </c:pt>
                <c:pt idx="11">
                  <c:v>770</c:v>
                </c:pt>
                <c:pt idx="12">
                  <c:v>1334</c:v>
                </c:pt>
                <c:pt idx="14">
                  <c:v>9948</c:v>
                </c:pt>
                <c:pt idx="15">
                  <c:v>3493</c:v>
                </c:pt>
                <c:pt idx="16">
                  <c:v>5334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4C-4E57-8F01-6495EC61D7FD}"/>
            </c:ext>
          </c:extLst>
        </c:ser>
        <c:ser>
          <c:idx val="1"/>
          <c:order val="1"/>
          <c:tx>
            <c:v>계획</c:v>
          </c:tx>
          <c:cat>
            <c:strRef>
              <c:f>'23'!$D$6:$D$23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ADAPTER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SP-A/B</c:v>
                </c:pt>
                <c:pt idx="10">
                  <c:v>288BASE</c:v>
                </c:pt>
                <c:pt idx="11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'23'!$J$6:$J$23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4341</c:v>
                </c:pt>
                <c:pt idx="3">
                  <c:v>2345</c:v>
                </c:pt>
                <c:pt idx="4">
                  <c:v>1713</c:v>
                </c:pt>
                <c:pt idx="5">
                  <c:v>11130</c:v>
                </c:pt>
                <c:pt idx="6">
                  <c:v>4881</c:v>
                </c:pt>
                <c:pt idx="7">
                  <c:v>2445</c:v>
                </c:pt>
                <c:pt idx="8">
                  <c:v>2312</c:v>
                </c:pt>
                <c:pt idx="9">
                  <c:v>620</c:v>
                </c:pt>
                <c:pt idx="10">
                  <c:v>1045</c:v>
                </c:pt>
                <c:pt idx="11">
                  <c:v>770</c:v>
                </c:pt>
                <c:pt idx="12">
                  <c:v>1334</c:v>
                </c:pt>
                <c:pt idx="13">
                  <c:v>4928</c:v>
                </c:pt>
                <c:pt idx="14">
                  <c:v>9948</c:v>
                </c:pt>
                <c:pt idx="15">
                  <c:v>3493</c:v>
                </c:pt>
                <c:pt idx="16">
                  <c:v>5334</c:v>
                </c:pt>
                <c:pt idx="17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4C-4E57-8F01-6495EC61D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50%</c:v>
                </c:pt>
                <c:pt idx="4">
                  <c:v>38%</c:v>
                </c:pt>
                <c:pt idx="5">
                  <c:v>100%</c:v>
                </c:pt>
                <c:pt idx="6">
                  <c:v>100%</c:v>
                </c:pt>
                <c:pt idx="7">
                  <c:v>58%</c:v>
                </c:pt>
                <c:pt idx="8">
                  <c:v>25%</c:v>
                </c:pt>
                <c:pt idx="9">
                  <c:v>17%</c:v>
                </c:pt>
                <c:pt idx="10">
                  <c:v>0%</c:v>
                </c:pt>
                <c:pt idx="11">
                  <c:v>17%</c:v>
                </c:pt>
                <c:pt idx="12">
                  <c:v>29%</c:v>
                </c:pt>
                <c:pt idx="13">
                  <c:v>0%</c:v>
                </c:pt>
                <c:pt idx="14">
                  <c:v>96%</c:v>
                </c:pt>
                <c:pt idx="15">
                  <c:v>83%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ADAPTER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SP-A/B</c:v>
                </c:pt>
                <c:pt idx="10">
                  <c:v>288BASE</c:v>
                </c:pt>
                <c:pt idx="11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'23'!$AD$6:$AD$23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</c:v>
                </c:pt>
                <c:pt idx="4">
                  <c:v>0.375</c:v>
                </c:pt>
                <c:pt idx="5">
                  <c:v>1</c:v>
                </c:pt>
                <c:pt idx="6">
                  <c:v>1</c:v>
                </c:pt>
                <c:pt idx="7">
                  <c:v>0.58333333333333337</c:v>
                </c:pt>
                <c:pt idx="8">
                  <c:v>0.25</c:v>
                </c:pt>
                <c:pt idx="9">
                  <c:v>0.16666666666666666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0.29166666666666669</c:v>
                </c:pt>
                <c:pt idx="13">
                  <c:v>0</c:v>
                </c:pt>
                <c:pt idx="14">
                  <c:v>0.95833333333333337</c:v>
                </c:pt>
                <c:pt idx="15">
                  <c:v>0.83333333333333337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92-426B-B10F-21F72DD9BC0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92-426B-B10F-21F72DD9BC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ADAPTER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SP-A/B</c:v>
                </c:pt>
                <c:pt idx="10">
                  <c:v>288BASE</c:v>
                </c:pt>
                <c:pt idx="11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'23'!$AE$6:$AE$23</c:f>
              <c:numCache>
                <c:formatCode>0%</c:formatCode>
                <c:ptCount val="18"/>
                <c:pt idx="0">
                  <c:v>0.54166666666666663</c:v>
                </c:pt>
                <c:pt idx="1">
                  <c:v>0.54166666666666663</c:v>
                </c:pt>
                <c:pt idx="2">
                  <c:v>0.54166666666666663</c:v>
                </c:pt>
                <c:pt idx="3">
                  <c:v>0.54166666666666663</c:v>
                </c:pt>
                <c:pt idx="4">
                  <c:v>0.54166666666666663</c:v>
                </c:pt>
                <c:pt idx="5">
                  <c:v>0.54166666666666663</c:v>
                </c:pt>
                <c:pt idx="6">
                  <c:v>0.54166666666666663</c:v>
                </c:pt>
                <c:pt idx="7">
                  <c:v>0.54166666666666663</c:v>
                </c:pt>
                <c:pt idx="8">
                  <c:v>0.54166666666666663</c:v>
                </c:pt>
                <c:pt idx="9">
                  <c:v>0.54166666666666663</c:v>
                </c:pt>
                <c:pt idx="10">
                  <c:v>0.54166666666666663</c:v>
                </c:pt>
                <c:pt idx="11">
                  <c:v>0.54166666666666663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0.54166666666666663</c:v>
                </c:pt>
                <c:pt idx="16">
                  <c:v>0.54166666666666663</c:v>
                </c:pt>
                <c:pt idx="17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92-426B-B10F-21F72DD9B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BE5-4998-BF3F-84AD0916FE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E5-4998-BF3F-84AD0916F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E5-4998-BF3F-84AD0916FE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E5-4998-BF3F-84AD0916F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BASE</c:v>
                </c:pt>
                <c:pt idx="4">
                  <c:v>ACTUATOR</c:v>
                </c:pt>
                <c:pt idx="5">
                  <c:v>LATCH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288BASE</c:v>
                </c:pt>
                <c:pt idx="12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'24'!$L$6:$L$23</c:f>
              <c:numCache>
                <c:formatCode>_(* #,##0_);_(* \(#,##0\);_(* "-"_);_(@_)</c:formatCode>
                <c:ptCount val="18"/>
                <c:pt idx="2">
                  <c:v>4472</c:v>
                </c:pt>
                <c:pt idx="3">
                  <c:v>1498</c:v>
                </c:pt>
                <c:pt idx="4">
                  <c:v>2238</c:v>
                </c:pt>
                <c:pt idx="5">
                  <c:v>3000</c:v>
                </c:pt>
                <c:pt idx="6">
                  <c:v>2086</c:v>
                </c:pt>
                <c:pt idx="7">
                  <c:v>937</c:v>
                </c:pt>
                <c:pt idx="8">
                  <c:v>5217</c:v>
                </c:pt>
                <c:pt idx="9">
                  <c:v>4101</c:v>
                </c:pt>
                <c:pt idx="14">
                  <c:v>7136</c:v>
                </c:pt>
                <c:pt idx="15">
                  <c:v>4855</c:v>
                </c:pt>
                <c:pt idx="16">
                  <c:v>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51-419F-B68A-065388650708}"/>
            </c:ext>
          </c:extLst>
        </c:ser>
        <c:ser>
          <c:idx val="1"/>
          <c:order val="1"/>
          <c:tx>
            <c:v>계획</c:v>
          </c:tx>
          <c:cat>
            <c:strRef>
              <c:f>'24'!$D$6:$D$23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BASE</c:v>
                </c:pt>
                <c:pt idx="4">
                  <c:v>ACTUATOR</c:v>
                </c:pt>
                <c:pt idx="5">
                  <c:v>LATCH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288BASE</c:v>
                </c:pt>
                <c:pt idx="12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'24'!$J$6:$J$23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4472</c:v>
                </c:pt>
                <c:pt idx="3">
                  <c:v>1498</c:v>
                </c:pt>
                <c:pt idx="4">
                  <c:v>2238</c:v>
                </c:pt>
                <c:pt idx="5">
                  <c:v>3000</c:v>
                </c:pt>
                <c:pt idx="6">
                  <c:v>2086</c:v>
                </c:pt>
                <c:pt idx="7">
                  <c:v>937</c:v>
                </c:pt>
                <c:pt idx="8">
                  <c:v>5217</c:v>
                </c:pt>
                <c:pt idx="9">
                  <c:v>4101</c:v>
                </c:pt>
                <c:pt idx="10">
                  <c:v>2312</c:v>
                </c:pt>
                <c:pt idx="11">
                  <c:v>1045</c:v>
                </c:pt>
                <c:pt idx="12">
                  <c:v>770</c:v>
                </c:pt>
                <c:pt idx="13">
                  <c:v>4928</c:v>
                </c:pt>
                <c:pt idx="14">
                  <c:v>7136</c:v>
                </c:pt>
                <c:pt idx="15">
                  <c:v>4855</c:v>
                </c:pt>
                <c:pt idx="16">
                  <c:v>5532</c:v>
                </c:pt>
                <c:pt idx="17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51-419F-B68A-065388650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58%</c:v>
                </c:pt>
                <c:pt idx="5">
                  <c:v>25%</c:v>
                </c:pt>
                <c:pt idx="6">
                  <c:v>25%</c:v>
                </c:pt>
                <c:pt idx="7">
                  <c:v>21%</c:v>
                </c:pt>
                <c:pt idx="8">
                  <c:v>100%</c:v>
                </c:pt>
                <c:pt idx="9">
                  <c:v>88%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75%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BASE</c:v>
                </c:pt>
                <c:pt idx="4">
                  <c:v>ACTUATOR</c:v>
                </c:pt>
                <c:pt idx="5">
                  <c:v>LATCH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288BASE</c:v>
                </c:pt>
                <c:pt idx="12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'24'!$AD$6:$AD$23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0.58333333333333337</c:v>
                </c:pt>
                <c:pt idx="5">
                  <c:v>0.25</c:v>
                </c:pt>
                <c:pt idx="6">
                  <c:v>0.25</c:v>
                </c:pt>
                <c:pt idx="7">
                  <c:v>0.20833333333333334</c:v>
                </c:pt>
                <c:pt idx="8">
                  <c:v>1</c:v>
                </c:pt>
                <c:pt idx="9">
                  <c:v>0.875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0.75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F-474C-9DBC-E3AB00770F7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FF-474C-9DBC-E3AB00770F7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BASE</c:v>
                </c:pt>
                <c:pt idx="4">
                  <c:v>ACTUATOR</c:v>
                </c:pt>
                <c:pt idx="5">
                  <c:v>LATCH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288BASE</c:v>
                </c:pt>
                <c:pt idx="12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'24'!$AE$6:$AE$23</c:f>
              <c:numCache>
                <c:formatCode>0%</c:formatCode>
                <c:ptCount val="18"/>
                <c:pt idx="0">
                  <c:v>0.48333333333333334</c:v>
                </c:pt>
                <c:pt idx="1">
                  <c:v>0.48333333333333334</c:v>
                </c:pt>
                <c:pt idx="2">
                  <c:v>0.48333333333333334</c:v>
                </c:pt>
                <c:pt idx="3">
                  <c:v>0.48333333333333334</c:v>
                </c:pt>
                <c:pt idx="4">
                  <c:v>0.48333333333333334</c:v>
                </c:pt>
                <c:pt idx="5">
                  <c:v>0.48333333333333334</c:v>
                </c:pt>
                <c:pt idx="6">
                  <c:v>0.48333333333333334</c:v>
                </c:pt>
                <c:pt idx="7">
                  <c:v>0.48333333333333334</c:v>
                </c:pt>
                <c:pt idx="8">
                  <c:v>0.48333333333333334</c:v>
                </c:pt>
                <c:pt idx="9">
                  <c:v>0.48333333333333334</c:v>
                </c:pt>
                <c:pt idx="10">
                  <c:v>0.48333333333333334</c:v>
                </c:pt>
                <c:pt idx="11">
                  <c:v>0.48333333333333334</c:v>
                </c:pt>
                <c:pt idx="12">
                  <c:v>0.48333333333333334</c:v>
                </c:pt>
                <c:pt idx="13">
                  <c:v>0.48333333333333334</c:v>
                </c:pt>
                <c:pt idx="14">
                  <c:v>0.48333333333333334</c:v>
                </c:pt>
                <c:pt idx="15">
                  <c:v>0.48333333333333334</c:v>
                </c:pt>
                <c:pt idx="16">
                  <c:v>0.48333333333333334</c:v>
                </c:pt>
                <c:pt idx="17">
                  <c:v>0.48333333333333334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FF-474C-9DBC-E3AB00770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BASE</c:v>
                </c:pt>
                <c:pt idx="4">
                  <c:v>ACTUATOR</c:v>
                </c:pt>
                <c:pt idx="5">
                  <c:v>LATCH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288BASE</c:v>
                </c:pt>
                <c:pt idx="12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'24'!$L$6:$L$23</c:f>
              <c:numCache>
                <c:formatCode>_(* #,##0_);_(* \(#,##0\);_(* "-"_);_(@_)</c:formatCode>
                <c:ptCount val="18"/>
                <c:pt idx="2">
                  <c:v>4472</c:v>
                </c:pt>
                <c:pt idx="3">
                  <c:v>1498</c:v>
                </c:pt>
                <c:pt idx="4">
                  <c:v>2238</c:v>
                </c:pt>
                <c:pt idx="5">
                  <c:v>3000</c:v>
                </c:pt>
                <c:pt idx="6">
                  <c:v>2086</c:v>
                </c:pt>
                <c:pt idx="7">
                  <c:v>937</c:v>
                </c:pt>
                <c:pt idx="8">
                  <c:v>5217</c:v>
                </c:pt>
                <c:pt idx="9">
                  <c:v>4101</c:v>
                </c:pt>
                <c:pt idx="14">
                  <c:v>7136</c:v>
                </c:pt>
                <c:pt idx="15">
                  <c:v>4855</c:v>
                </c:pt>
                <c:pt idx="16">
                  <c:v>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E-44E1-B728-D8A490DB43A8}"/>
            </c:ext>
          </c:extLst>
        </c:ser>
        <c:ser>
          <c:idx val="1"/>
          <c:order val="1"/>
          <c:tx>
            <c:v>계획</c:v>
          </c:tx>
          <c:cat>
            <c:strRef>
              <c:f>'24'!$D$6:$D$23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BASE</c:v>
                </c:pt>
                <c:pt idx="4">
                  <c:v>ACTUATOR</c:v>
                </c:pt>
                <c:pt idx="5">
                  <c:v>LATCH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288BASE</c:v>
                </c:pt>
                <c:pt idx="12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'24'!$J$6:$J$23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4472</c:v>
                </c:pt>
                <c:pt idx="3">
                  <c:v>1498</c:v>
                </c:pt>
                <c:pt idx="4">
                  <c:v>2238</c:v>
                </c:pt>
                <c:pt idx="5">
                  <c:v>3000</c:v>
                </c:pt>
                <c:pt idx="6">
                  <c:v>2086</c:v>
                </c:pt>
                <c:pt idx="7">
                  <c:v>937</c:v>
                </c:pt>
                <c:pt idx="8">
                  <c:v>5217</c:v>
                </c:pt>
                <c:pt idx="9">
                  <c:v>4101</c:v>
                </c:pt>
                <c:pt idx="10">
                  <c:v>2312</c:v>
                </c:pt>
                <c:pt idx="11">
                  <c:v>1045</c:v>
                </c:pt>
                <c:pt idx="12">
                  <c:v>770</c:v>
                </c:pt>
                <c:pt idx="13">
                  <c:v>4928</c:v>
                </c:pt>
                <c:pt idx="14">
                  <c:v>7136</c:v>
                </c:pt>
                <c:pt idx="15">
                  <c:v>4855</c:v>
                </c:pt>
                <c:pt idx="16">
                  <c:v>5532</c:v>
                </c:pt>
                <c:pt idx="17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8E-44E1-B728-D8A490DB4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58%</c:v>
                </c:pt>
                <c:pt idx="5">
                  <c:v>25%</c:v>
                </c:pt>
                <c:pt idx="6">
                  <c:v>25%</c:v>
                </c:pt>
                <c:pt idx="7">
                  <c:v>21%</c:v>
                </c:pt>
                <c:pt idx="8">
                  <c:v>100%</c:v>
                </c:pt>
                <c:pt idx="9">
                  <c:v>88%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75%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BASE</c:v>
                </c:pt>
                <c:pt idx="4">
                  <c:v>ACTUATOR</c:v>
                </c:pt>
                <c:pt idx="5">
                  <c:v>LATCH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288BASE</c:v>
                </c:pt>
                <c:pt idx="12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'24'!$AD$6:$AD$23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0.58333333333333337</c:v>
                </c:pt>
                <c:pt idx="5">
                  <c:v>0.25</c:v>
                </c:pt>
                <c:pt idx="6">
                  <c:v>0.25</c:v>
                </c:pt>
                <c:pt idx="7">
                  <c:v>0.20833333333333334</c:v>
                </c:pt>
                <c:pt idx="8">
                  <c:v>1</c:v>
                </c:pt>
                <c:pt idx="9">
                  <c:v>0.875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0.75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E-4B6A-BB35-71CB92A863C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6E-4B6A-BB35-71CB92A863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BASE</c:v>
                </c:pt>
                <c:pt idx="4">
                  <c:v>ACTUATOR</c:v>
                </c:pt>
                <c:pt idx="5">
                  <c:v>LATCH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288BASE</c:v>
                </c:pt>
                <c:pt idx="12">
                  <c:v>FLOATING</c:v>
                </c:pt>
                <c:pt idx="13">
                  <c:v>COVER</c:v>
                </c:pt>
                <c:pt idx="14">
                  <c:v>SLIDER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'24'!$AE$6:$AE$23</c:f>
              <c:numCache>
                <c:formatCode>0%</c:formatCode>
                <c:ptCount val="18"/>
                <c:pt idx="0">
                  <c:v>0.48333333333333334</c:v>
                </c:pt>
                <c:pt idx="1">
                  <c:v>0.48333333333333334</c:v>
                </c:pt>
                <c:pt idx="2">
                  <c:v>0.48333333333333334</c:v>
                </c:pt>
                <c:pt idx="3">
                  <c:v>0.48333333333333334</c:v>
                </c:pt>
                <c:pt idx="4">
                  <c:v>0.48333333333333334</c:v>
                </c:pt>
                <c:pt idx="5">
                  <c:v>0.48333333333333334</c:v>
                </c:pt>
                <c:pt idx="6">
                  <c:v>0.48333333333333334</c:v>
                </c:pt>
                <c:pt idx="7">
                  <c:v>0.48333333333333334</c:v>
                </c:pt>
                <c:pt idx="8">
                  <c:v>0.48333333333333334</c:v>
                </c:pt>
                <c:pt idx="9">
                  <c:v>0.48333333333333334</c:v>
                </c:pt>
                <c:pt idx="10">
                  <c:v>0.48333333333333334</c:v>
                </c:pt>
                <c:pt idx="11">
                  <c:v>0.48333333333333334</c:v>
                </c:pt>
                <c:pt idx="12">
                  <c:v>0.48333333333333334</c:v>
                </c:pt>
                <c:pt idx="13">
                  <c:v>0.48333333333333334</c:v>
                </c:pt>
                <c:pt idx="14">
                  <c:v>0.48333333333333334</c:v>
                </c:pt>
                <c:pt idx="15">
                  <c:v>0.48333333333333334</c:v>
                </c:pt>
                <c:pt idx="16">
                  <c:v>0.48333333333333334</c:v>
                </c:pt>
                <c:pt idx="17">
                  <c:v>0.48333333333333334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6E-4B6A-BB35-71CB92A86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0FE-4B13-ACD0-C97AB41804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FE-4B13-ACD0-C97AB4180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0FE-4B13-ACD0-C97AB418046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FE-4B13-ACD0-C97AB4180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ADAPTER</c:v>
                </c:pt>
                <c:pt idx="13">
                  <c:v>COVER</c:v>
                </c:pt>
                <c:pt idx="14">
                  <c:v>ADAPTER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'25'!$L$6:$L$23</c:f>
              <c:numCache>
                <c:formatCode>_(* #,##0_);_(* \(#,##0\);_(* "-"_);_(@_)</c:formatCode>
                <c:ptCount val="18"/>
                <c:pt idx="2">
                  <c:v>4469</c:v>
                </c:pt>
                <c:pt idx="3">
                  <c:v>2572</c:v>
                </c:pt>
                <c:pt idx="4">
                  <c:v>650</c:v>
                </c:pt>
                <c:pt idx="5">
                  <c:v>773</c:v>
                </c:pt>
                <c:pt idx="6">
                  <c:v>773</c:v>
                </c:pt>
                <c:pt idx="7">
                  <c:v>5296</c:v>
                </c:pt>
                <c:pt idx="8">
                  <c:v>2795</c:v>
                </c:pt>
                <c:pt idx="9">
                  <c:v>2864</c:v>
                </c:pt>
                <c:pt idx="11">
                  <c:v>710</c:v>
                </c:pt>
                <c:pt idx="12">
                  <c:v>835</c:v>
                </c:pt>
                <c:pt idx="14">
                  <c:v>4409</c:v>
                </c:pt>
                <c:pt idx="15">
                  <c:v>4827</c:v>
                </c:pt>
                <c:pt idx="16">
                  <c:v>5564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2A-4730-878E-1F4A8925E796}"/>
            </c:ext>
          </c:extLst>
        </c:ser>
        <c:ser>
          <c:idx val="1"/>
          <c:order val="1"/>
          <c:tx>
            <c:v>계획</c:v>
          </c:tx>
          <c:cat>
            <c:strRef>
              <c:f>'25'!$D$6:$D$23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ADAPTER</c:v>
                </c:pt>
                <c:pt idx="13">
                  <c:v>COVER</c:v>
                </c:pt>
                <c:pt idx="14">
                  <c:v>ADAPTER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'25'!$J$6:$J$23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4469</c:v>
                </c:pt>
                <c:pt idx="3">
                  <c:v>2572</c:v>
                </c:pt>
                <c:pt idx="4">
                  <c:v>650</c:v>
                </c:pt>
                <c:pt idx="5">
                  <c:v>773</c:v>
                </c:pt>
                <c:pt idx="6">
                  <c:v>773</c:v>
                </c:pt>
                <c:pt idx="7">
                  <c:v>5296</c:v>
                </c:pt>
                <c:pt idx="8">
                  <c:v>2795</c:v>
                </c:pt>
                <c:pt idx="9">
                  <c:v>2864</c:v>
                </c:pt>
                <c:pt idx="10">
                  <c:v>1045</c:v>
                </c:pt>
                <c:pt idx="11">
                  <c:v>710</c:v>
                </c:pt>
                <c:pt idx="12">
                  <c:v>835</c:v>
                </c:pt>
                <c:pt idx="13">
                  <c:v>4928</c:v>
                </c:pt>
                <c:pt idx="14">
                  <c:v>4409</c:v>
                </c:pt>
                <c:pt idx="15">
                  <c:v>4827</c:v>
                </c:pt>
                <c:pt idx="16">
                  <c:v>5564</c:v>
                </c:pt>
                <c:pt idx="17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2A-4730-878E-1F4A8925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63%</c:v>
                </c:pt>
                <c:pt idx="4">
                  <c:v>17%</c:v>
                </c:pt>
                <c:pt idx="5">
                  <c:v>17%</c:v>
                </c:pt>
                <c:pt idx="6">
                  <c:v>17%</c:v>
                </c:pt>
                <c:pt idx="7">
                  <c:v>100%</c:v>
                </c:pt>
                <c:pt idx="8">
                  <c:v>67%</c:v>
                </c:pt>
                <c:pt idx="9">
                  <c:v>58%</c:v>
                </c:pt>
                <c:pt idx="10">
                  <c:v>0%</c:v>
                </c:pt>
                <c:pt idx="11">
                  <c:v>17%</c:v>
                </c:pt>
                <c:pt idx="12">
                  <c:v>21%</c:v>
                </c:pt>
                <c:pt idx="13">
                  <c:v>0%</c:v>
                </c:pt>
                <c:pt idx="14">
                  <c:v>96%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ADAPTER</c:v>
                </c:pt>
                <c:pt idx="13">
                  <c:v>COVER</c:v>
                </c:pt>
                <c:pt idx="14">
                  <c:v>ADAPTER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'25'!$AD$6:$AD$23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0.625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1</c:v>
                </c:pt>
                <c:pt idx="8">
                  <c:v>0.66666666666666663</c:v>
                </c:pt>
                <c:pt idx="9">
                  <c:v>0.58333333333333337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0.20833333333333334</c:v>
                </c:pt>
                <c:pt idx="13">
                  <c:v>0</c:v>
                </c:pt>
                <c:pt idx="14">
                  <c:v>0.95833333333333337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6-4C38-A81F-095A10D5BC8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86-4C38-A81F-095A10D5BC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ADAPTER</c:v>
                </c:pt>
                <c:pt idx="13">
                  <c:v>COVER</c:v>
                </c:pt>
                <c:pt idx="14">
                  <c:v>ADAPTER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'25'!$AE$6:$AE$23</c:f>
              <c:numCache>
                <c:formatCode>0%</c:formatCode>
                <c:ptCount val="18"/>
                <c:pt idx="0">
                  <c:v>0.51388888888888884</c:v>
                </c:pt>
                <c:pt idx="1">
                  <c:v>0.51388888888888884</c:v>
                </c:pt>
                <c:pt idx="2">
                  <c:v>0.51388888888888884</c:v>
                </c:pt>
                <c:pt idx="3">
                  <c:v>0.51388888888888884</c:v>
                </c:pt>
                <c:pt idx="4">
                  <c:v>0.51388888888888884</c:v>
                </c:pt>
                <c:pt idx="5">
                  <c:v>0.51388888888888884</c:v>
                </c:pt>
                <c:pt idx="6">
                  <c:v>0.51388888888888884</c:v>
                </c:pt>
                <c:pt idx="7">
                  <c:v>0.51388888888888884</c:v>
                </c:pt>
                <c:pt idx="8">
                  <c:v>0.51388888888888884</c:v>
                </c:pt>
                <c:pt idx="9">
                  <c:v>0.51388888888888884</c:v>
                </c:pt>
                <c:pt idx="10">
                  <c:v>0.51388888888888884</c:v>
                </c:pt>
                <c:pt idx="11">
                  <c:v>0.51388888888888884</c:v>
                </c:pt>
                <c:pt idx="12">
                  <c:v>0.51388888888888884</c:v>
                </c:pt>
                <c:pt idx="13">
                  <c:v>0.51388888888888884</c:v>
                </c:pt>
                <c:pt idx="14">
                  <c:v>0.51388888888888884</c:v>
                </c:pt>
                <c:pt idx="15">
                  <c:v>0.51388888888888884</c:v>
                </c:pt>
                <c:pt idx="16">
                  <c:v>0.51388888888888884</c:v>
                </c:pt>
                <c:pt idx="17">
                  <c:v>0.51388888888888884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86-4C38-A81F-095A10D5B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ADAPTER</c:v>
                </c:pt>
                <c:pt idx="13">
                  <c:v>COVER</c:v>
                </c:pt>
                <c:pt idx="14">
                  <c:v>ADAPTER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'25'!$L$6:$L$23</c:f>
              <c:numCache>
                <c:formatCode>_(* #,##0_);_(* \(#,##0\);_(* "-"_);_(@_)</c:formatCode>
                <c:ptCount val="18"/>
                <c:pt idx="2">
                  <c:v>4469</c:v>
                </c:pt>
                <c:pt idx="3">
                  <c:v>2572</c:v>
                </c:pt>
                <c:pt idx="4">
                  <c:v>650</c:v>
                </c:pt>
                <c:pt idx="5">
                  <c:v>773</c:v>
                </c:pt>
                <c:pt idx="6">
                  <c:v>773</c:v>
                </c:pt>
                <c:pt idx="7">
                  <c:v>5296</c:v>
                </c:pt>
                <c:pt idx="8">
                  <c:v>2795</c:v>
                </c:pt>
                <c:pt idx="9">
                  <c:v>2864</c:v>
                </c:pt>
                <c:pt idx="11">
                  <c:v>710</c:v>
                </c:pt>
                <c:pt idx="12">
                  <c:v>835</c:v>
                </c:pt>
                <c:pt idx="14">
                  <c:v>4409</c:v>
                </c:pt>
                <c:pt idx="15">
                  <c:v>4827</c:v>
                </c:pt>
                <c:pt idx="16">
                  <c:v>5564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6-4958-B5E2-DF6D211F950E}"/>
            </c:ext>
          </c:extLst>
        </c:ser>
        <c:ser>
          <c:idx val="1"/>
          <c:order val="1"/>
          <c:tx>
            <c:v>계획</c:v>
          </c:tx>
          <c:cat>
            <c:strRef>
              <c:f>'25'!$D$6:$D$23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ADAPTER</c:v>
                </c:pt>
                <c:pt idx="13">
                  <c:v>COVER</c:v>
                </c:pt>
                <c:pt idx="14">
                  <c:v>ADAPTER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'25'!$J$6:$J$23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4469</c:v>
                </c:pt>
                <c:pt idx="3">
                  <c:v>2572</c:v>
                </c:pt>
                <c:pt idx="4">
                  <c:v>650</c:v>
                </c:pt>
                <c:pt idx="5">
                  <c:v>773</c:v>
                </c:pt>
                <c:pt idx="6">
                  <c:v>773</c:v>
                </c:pt>
                <c:pt idx="7">
                  <c:v>5296</c:v>
                </c:pt>
                <c:pt idx="8">
                  <c:v>2795</c:v>
                </c:pt>
                <c:pt idx="9">
                  <c:v>2864</c:v>
                </c:pt>
                <c:pt idx="10">
                  <c:v>1045</c:v>
                </c:pt>
                <c:pt idx="11">
                  <c:v>710</c:v>
                </c:pt>
                <c:pt idx="12">
                  <c:v>835</c:v>
                </c:pt>
                <c:pt idx="13">
                  <c:v>4928</c:v>
                </c:pt>
                <c:pt idx="14">
                  <c:v>4409</c:v>
                </c:pt>
                <c:pt idx="15">
                  <c:v>4827</c:v>
                </c:pt>
                <c:pt idx="16">
                  <c:v>5564</c:v>
                </c:pt>
                <c:pt idx="17">
                  <c:v>25017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36-4958-B5E2-DF6D211F9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63%</c:v>
                </c:pt>
                <c:pt idx="4">
                  <c:v>17%</c:v>
                </c:pt>
                <c:pt idx="5">
                  <c:v>17%</c:v>
                </c:pt>
                <c:pt idx="6">
                  <c:v>17%</c:v>
                </c:pt>
                <c:pt idx="7">
                  <c:v>100%</c:v>
                </c:pt>
                <c:pt idx="8">
                  <c:v>67%</c:v>
                </c:pt>
                <c:pt idx="9">
                  <c:v>58%</c:v>
                </c:pt>
                <c:pt idx="10">
                  <c:v>0%</c:v>
                </c:pt>
                <c:pt idx="11">
                  <c:v>17%</c:v>
                </c:pt>
                <c:pt idx="12">
                  <c:v>21%</c:v>
                </c:pt>
                <c:pt idx="13">
                  <c:v>0%</c:v>
                </c:pt>
                <c:pt idx="14">
                  <c:v>96%</c:v>
                </c:pt>
                <c:pt idx="15">
                  <c:v>100%</c:v>
                </c:pt>
                <c:pt idx="16">
                  <c:v>100%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ADAPTER</c:v>
                </c:pt>
                <c:pt idx="13">
                  <c:v>COVER</c:v>
                </c:pt>
                <c:pt idx="14">
                  <c:v>ADAPTER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'25'!$AD$6:$AD$23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0.625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1</c:v>
                </c:pt>
                <c:pt idx="8">
                  <c:v>0.66666666666666663</c:v>
                </c:pt>
                <c:pt idx="9">
                  <c:v>0.58333333333333337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0.20833333333333334</c:v>
                </c:pt>
                <c:pt idx="13">
                  <c:v>0</c:v>
                </c:pt>
                <c:pt idx="14">
                  <c:v>0.95833333333333337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2-47AD-840A-3F13179C60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72-47AD-840A-3F13179C60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'25'!$D$6:$D$23</c:f>
              <c:strCache>
                <c:ptCount val="17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ADAPTER</c:v>
                </c:pt>
                <c:pt idx="13">
                  <c:v>COVER</c:v>
                </c:pt>
                <c:pt idx="14">
                  <c:v>ADAPTER</c:v>
                </c:pt>
                <c:pt idx="15">
                  <c:v>ST/HO</c:v>
                </c:pt>
                <c:pt idx="16">
                  <c:v>STOPPER</c:v>
                </c:pt>
              </c:strCache>
            </c:strRef>
          </c:cat>
          <c:val>
            <c:numRef>
              <c:f>'25'!$AE$6:$AE$23</c:f>
              <c:numCache>
                <c:formatCode>0%</c:formatCode>
                <c:ptCount val="18"/>
                <c:pt idx="0">
                  <c:v>0.51388888888888884</c:v>
                </c:pt>
                <c:pt idx="1">
                  <c:v>0.51388888888888884</c:v>
                </c:pt>
                <c:pt idx="2">
                  <c:v>0.51388888888888884</c:v>
                </c:pt>
                <c:pt idx="3">
                  <c:v>0.51388888888888884</c:v>
                </c:pt>
                <c:pt idx="4">
                  <c:v>0.51388888888888884</c:v>
                </c:pt>
                <c:pt idx="5">
                  <c:v>0.51388888888888884</c:v>
                </c:pt>
                <c:pt idx="6">
                  <c:v>0.51388888888888884</c:v>
                </c:pt>
                <c:pt idx="7">
                  <c:v>0.51388888888888884</c:v>
                </c:pt>
                <c:pt idx="8">
                  <c:v>0.51388888888888884</c:v>
                </c:pt>
                <c:pt idx="9">
                  <c:v>0.51388888888888884</c:v>
                </c:pt>
                <c:pt idx="10">
                  <c:v>0.51388888888888884</c:v>
                </c:pt>
                <c:pt idx="11">
                  <c:v>0.51388888888888884</c:v>
                </c:pt>
                <c:pt idx="12">
                  <c:v>0.51388888888888884</c:v>
                </c:pt>
                <c:pt idx="13">
                  <c:v>0.51388888888888884</c:v>
                </c:pt>
                <c:pt idx="14">
                  <c:v>0.51388888888888884</c:v>
                </c:pt>
                <c:pt idx="15">
                  <c:v>0.51388888888888884</c:v>
                </c:pt>
                <c:pt idx="16">
                  <c:v>0.51388888888888884</c:v>
                </c:pt>
                <c:pt idx="17">
                  <c:v>0.51388888888888884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72-47AD-840A-3F13179C6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6EF-47B0-B5E0-9CF4746E62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EF-47B0-B5E0-9CF4746E6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6EF-47B0-B5E0-9CF4746E62B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F-47B0-B5E0-9CF4746E6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LATCH</c:v>
                </c:pt>
                <c:pt idx="6">
                  <c:v>HOUSING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COVER</c:v>
                </c:pt>
                <c:pt idx="13">
                  <c:v>ADAPTER</c:v>
                </c:pt>
                <c:pt idx="14">
                  <c:v>ST/HO</c:v>
                </c:pt>
                <c:pt idx="15">
                  <c:v>STOPPER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2">
                  <c:v>4044</c:v>
                </c:pt>
                <c:pt idx="3">
                  <c:v>1276</c:v>
                </c:pt>
                <c:pt idx="4">
                  <c:v>113</c:v>
                </c:pt>
                <c:pt idx="5">
                  <c:v>2648</c:v>
                </c:pt>
                <c:pt idx="6">
                  <c:v>5226</c:v>
                </c:pt>
                <c:pt idx="7">
                  <c:v>5351</c:v>
                </c:pt>
                <c:pt idx="8">
                  <c:v>3910</c:v>
                </c:pt>
                <c:pt idx="9">
                  <c:v>2456</c:v>
                </c:pt>
                <c:pt idx="12">
                  <c:v>2340</c:v>
                </c:pt>
                <c:pt idx="13">
                  <c:v>674</c:v>
                </c:pt>
                <c:pt idx="14">
                  <c:v>4251</c:v>
                </c:pt>
                <c:pt idx="15">
                  <c:v>5570</c:v>
                </c:pt>
                <c:pt idx="16">
                  <c:v>43632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B-429B-B164-9FB71AAC0E5D}"/>
            </c:ext>
          </c:extLst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LATCH</c:v>
                </c:pt>
                <c:pt idx="6">
                  <c:v>HOUSING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COVER</c:v>
                </c:pt>
                <c:pt idx="13">
                  <c:v>ADAPTER</c:v>
                </c:pt>
                <c:pt idx="14">
                  <c:v>ST/HO</c:v>
                </c:pt>
                <c:pt idx="15">
                  <c:v>STOPPER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4044</c:v>
                </c:pt>
                <c:pt idx="3">
                  <c:v>1276</c:v>
                </c:pt>
                <c:pt idx="4">
                  <c:v>113</c:v>
                </c:pt>
                <c:pt idx="5">
                  <c:v>2648</c:v>
                </c:pt>
                <c:pt idx="6">
                  <c:v>5226</c:v>
                </c:pt>
                <c:pt idx="7">
                  <c:v>5351</c:v>
                </c:pt>
                <c:pt idx="8">
                  <c:v>3910</c:v>
                </c:pt>
                <c:pt idx="9">
                  <c:v>2456</c:v>
                </c:pt>
                <c:pt idx="10">
                  <c:v>1045</c:v>
                </c:pt>
                <c:pt idx="11">
                  <c:v>710</c:v>
                </c:pt>
                <c:pt idx="12">
                  <c:v>2340</c:v>
                </c:pt>
                <c:pt idx="13">
                  <c:v>674</c:v>
                </c:pt>
                <c:pt idx="14">
                  <c:v>4251</c:v>
                </c:pt>
                <c:pt idx="15">
                  <c:v>5570</c:v>
                </c:pt>
                <c:pt idx="16">
                  <c:v>43632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3B-429B-B164-9FB71AAC0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29%</c:v>
                </c:pt>
                <c:pt idx="4">
                  <c:v>8%</c:v>
                </c:pt>
                <c:pt idx="5">
                  <c:v>29%</c:v>
                </c:pt>
                <c:pt idx="6">
                  <c:v>58%</c:v>
                </c:pt>
                <c:pt idx="7">
                  <c:v>100%</c:v>
                </c:pt>
                <c:pt idx="8">
                  <c:v>79%</c:v>
                </c:pt>
                <c:pt idx="9">
                  <c:v>46%</c:v>
                </c:pt>
                <c:pt idx="10">
                  <c:v>0%</c:v>
                </c:pt>
                <c:pt idx="11">
                  <c:v>0%</c:v>
                </c:pt>
                <c:pt idx="12">
                  <c:v>54%</c:v>
                </c:pt>
                <c:pt idx="13">
                  <c:v>17%</c:v>
                </c:pt>
                <c:pt idx="14">
                  <c:v>100%</c:v>
                </c:pt>
                <c:pt idx="15">
                  <c:v>100%</c:v>
                </c:pt>
                <c:pt idx="16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LATCH</c:v>
                </c:pt>
                <c:pt idx="6">
                  <c:v>HOUSING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COVER</c:v>
                </c:pt>
                <c:pt idx="13">
                  <c:v>ADAPTER</c:v>
                </c:pt>
                <c:pt idx="14">
                  <c:v>ST/HO</c:v>
                </c:pt>
                <c:pt idx="15">
                  <c:v>STOPPER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0.29166666666666669</c:v>
                </c:pt>
                <c:pt idx="4">
                  <c:v>8.3333333333333329E-2</c:v>
                </c:pt>
                <c:pt idx="5">
                  <c:v>0.29166666666666669</c:v>
                </c:pt>
                <c:pt idx="6">
                  <c:v>0.58333333333333337</c:v>
                </c:pt>
                <c:pt idx="7">
                  <c:v>1</c:v>
                </c:pt>
                <c:pt idx="8">
                  <c:v>0.79166666666666663</c:v>
                </c:pt>
                <c:pt idx="9">
                  <c:v>0.45833333333333331</c:v>
                </c:pt>
                <c:pt idx="10">
                  <c:v>0</c:v>
                </c:pt>
                <c:pt idx="11">
                  <c:v>0</c:v>
                </c:pt>
                <c:pt idx="12">
                  <c:v>0.54166666666666663</c:v>
                </c:pt>
                <c:pt idx="13">
                  <c:v>0.16666666666666666</c:v>
                </c:pt>
                <c:pt idx="14">
                  <c:v>1</c:v>
                </c:pt>
                <c:pt idx="15">
                  <c:v>1</c:v>
                </c:pt>
                <c:pt idx="16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43-49EE-9ACF-AA5A4F9904A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43-49EE-9ACF-AA5A4F9904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LATCH</c:v>
                </c:pt>
                <c:pt idx="6">
                  <c:v>HOUSING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COVER</c:v>
                </c:pt>
                <c:pt idx="13">
                  <c:v>ADAPTER</c:v>
                </c:pt>
                <c:pt idx="14">
                  <c:v>ST/HO</c:v>
                </c:pt>
                <c:pt idx="15">
                  <c:v>STOPPER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0.51944444444444449</c:v>
                </c:pt>
                <c:pt idx="1">
                  <c:v>0.51944444444444449</c:v>
                </c:pt>
                <c:pt idx="2">
                  <c:v>0.51944444444444449</c:v>
                </c:pt>
                <c:pt idx="3">
                  <c:v>0.51944444444444449</c:v>
                </c:pt>
                <c:pt idx="4">
                  <c:v>0.51944444444444449</c:v>
                </c:pt>
                <c:pt idx="5">
                  <c:v>0.51944444444444449</c:v>
                </c:pt>
                <c:pt idx="6">
                  <c:v>0.51944444444444449</c:v>
                </c:pt>
                <c:pt idx="7">
                  <c:v>0.51944444444444449</c:v>
                </c:pt>
                <c:pt idx="8">
                  <c:v>0.51944444444444449</c:v>
                </c:pt>
                <c:pt idx="9">
                  <c:v>0.51944444444444449</c:v>
                </c:pt>
                <c:pt idx="10">
                  <c:v>0.51944444444444449</c:v>
                </c:pt>
                <c:pt idx="11">
                  <c:v>0.51944444444444449</c:v>
                </c:pt>
                <c:pt idx="12">
                  <c:v>0.51944444444444449</c:v>
                </c:pt>
                <c:pt idx="13">
                  <c:v>0.51944444444444449</c:v>
                </c:pt>
                <c:pt idx="14">
                  <c:v>0.51944444444444449</c:v>
                </c:pt>
                <c:pt idx="15">
                  <c:v>0.51944444444444449</c:v>
                </c:pt>
                <c:pt idx="16">
                  <c:v>0.51944444444444449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43-49EE-9ACF-AA5A4F990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LATCH</c:v>
                </c:pt>
                <c:pt idx="6">
                  <c:v>HOUSING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COVER</c:v>
                </c:pt>
                <c:pt idx="13">
                  <c:v>ADAPTER</c:v>
                </c:pt>
                <c:pt idx="14">
                  <c:v>ST/HO</c:v>
                </c:pt>
                <c:pt idx="15">
                  <c:v>STOPPER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2">
                  <c:v>4044</c:v>
                </c:pt>
                <c:pt idx="3">
                  <c:v>1276</c:v>
                </c:pt>
                <c:pt idx="4">
                  <c:v>113</c:v>
                </c:pt>
                <c:pt idx="5">
                  <c:v>2648</c:v>
                </c:pt>
                <c:pt idx="6">
                  <c:v>5226</c:v>
                </c:pt>
                <c:pt idx="7">
                  <c:v>5351</c:v>
                </c:pt>
                <c:pt idx="8">
                  <c:v>3910</c:v>
                </c:pt>
                <c:pt idx="9">
                  <c:v>2456</c:v>
                </c:pt>
                <c:pt idx="12">
                  <c:v>2340</c:v>
                </c:pt>
                <c:pt idx="13">
                  <c:v>674</c:v>
                </c:pt>
                <c:pt idx="14">
                  <c:v>4251</c:v>
                </c:pt>
                <c:pt idx="15">
                  <c:v>5570</c:v>
                </c:pt>
                <c:pt idx="16">
                  <c:v>43632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70-46EB-A9DE-145D4836BC31}"/>
            </c:ext>
          </c:extLst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LATCH</c:v>
                </c:pt>
                <c:pt idx="6">
                  <c:v>HOUSING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COVER</c:v>
                </c:pt>
                <c:pt idx="13">
                  <c:v>ADAPTER</c:v>
                </c:pt>
                <c:pt idx="14">
                  <c:v>ST/HO</c:v>
                </c:pt>
                <c:pt idx="15">
                  <c:v>STOPPER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4044</c:v>
                </c:pt>
                <c:pt idx="3">
                  <c:v>1276</c:v>
                </c:pt>
                <c:pt idx="4">
                  <c:v>113</c:v>
                </c:pt>
                <c:pt idx="5">
                  <c:v>2648</c:v>
                </c:pt>
                <c:pt idx="6">
                  <c:v>5226</c:v>
                </c:pt>
                <c:pt idx="7">
                  <c:v>5351</c:v>
                </c:pt>
                <c:pt idx="8">
                  <c:v>3910</c:v>
                </c:pt>
                <c:pt idx="9">
                  <c:v>2456</c:v>
                </c:pt>
                <c:pt idx="10">
                  <c:v>1045</c:v>
                </c:pt>
                <c:pt idx="11">
                  <c:v>710</c:v>
                </c:pt>
                <c:pt idx="12">
                  <c:v>2340</c:v>
                </c:pt>
                <c:pt idx="13">
                  <c:v>674</c:v>
                </c:pt>
                <c:pt idx="14">
                  <c:v>4251</c:v>
                </c:pt>
                <c:pt idx="15">
                  <c:v>5570</c:v>
                </c:pt>
                <c:pt idx="16">
                  <c:v>43632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70-46EB-A9DE-145D4836B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29%</c:v>
                </c:pt>
                <c:pt idx="4">
                  <c:v>8%</c:v>
                </c:pt>
                <c:pt idx="5">
                  <c:v>29%</c:v>
                </c:pt>
                <c:pt idx="6">
                  <c:v>58%</c:v>
                </c:pt>
                <c:pt idx="7">
                  <c:v>100%</c:v>
                </c:pt>
                <c:pt idx="8">
                  <c:v>79%</c:v>
                </c:pt>
                <c:pt idx="9">
                  <c:v>46%</c:v>
                </c:pt>
                <c:pt idx="10">
                  <c:v>0%</c:v>
                </c:pt>
                <c:pt idx="11">
                  <c:v>0%</c:v>
                </c:pt>
                <c:pt idx="12">
                  <c:v>54%</c:v>
                </c:pt>
                <c:pt idx="13">
                  <c:v>17%</c:v>
                </c:pt>
                <c:pt idx="14">
                  <c:v>100%</c:v>
                </c:pt>
                <c:pt idx="15">
                  <c:v>100%</c:v>
                </c:pt>
                <c:pt idx="16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LATCH</c:v>
                </c:pt>
                <c:pt idx="6">
                  <c:v>HOUSING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COVER</c:v>
                </c:pt>
                <c:pt idx="13">
                  <c:v>ADAPTER</c:v>
                </c:pt>
                <c:pt idx="14">
                  <c:v>ST/HO</c:v>
                </c:pt>
                <c:pt idx="15">
                  <c:v>STOPPER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0.29166666666666669</c:v>
                </c:pt>
                <c:pt idx="4">
                  <c:v>8.3333333333333329E-2</c:v>
                </c:pt>
                <c:pt idx="5">
                  <c:v>0.29166666666666669</c:v>
                </c:pt>
                <c:pt idx="6">
                  <c:v>0.58333333333333337</c:v>
                </c:pt>
                <c:pt idx="7">
                  <c:v>1</c:v>
                </c:pt>
                <c:pt idx="8">
                  <c:v>0.79166666666666663</c:v>
                </c:pt>
                <c:pt idx="9">
                  <c:v>0.45833333333333331</c:v>
                </c:pt>
                <c:pt idx="10">
                  <c:v>0</c:v>
                </c:pt>
                <c:pt idx="11">
                  <c:v>0</c:v>
                </c:pt>
                <c:pt idx="12">
                  <c:v>0.54166666666666663</c:v>
                </c:pt>
                <c:pt idx="13">
                  <c:v>0.16666666666666666</c:v>
                </c:pt>
                <c:pt idx="14">
                  <c:v>1</c:v>
                </c:pt>
                <c:pt idx="15">
                  <c:v>1</c:v>
                </c:pt>
                <c:pt idx="16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3-4811-B346-AAB3BA6C39F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73-4811-B346-AAB3BA6C39F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1">
                  <c:v>88P</c:v>
                </c:pt>
                <c:pt idx="2">
                  <c:v>COVER</c:v>
                </c:pt>
                <c:pt idx="3">
                  <c:v>SLIDER</c:v>
                </c:pt>
                <c:pt idx="4">
                  <c:v>LEAD GUIDE</c:v>
                </c:pt>
                <c:pt idx="5">
                  <c:v>LATCH</c:v>
                </c:pt>
                <c:pt idx="6">
                  <c:v>HOUSING</c:v>
                </c:pt>
                <c:pt idx="7">
                  <c:v>BASE</c:v>
                </c:pt>
                <c:pt idx="8">
                  <c:v>BASE</c:v>
                </c:pt>
                <c:pt idx="9">
                  <c:v>38P</c:v>
                </c:pt>
                <c:pt idx="10">
                  <c:v>288BASE</c:v>
                </c:pt>
                <c:pt idx="11">
                  <c:v>ACTUATOR</c:v>
                </c:pt>
                <c:pt idx="12">
                  <c:v>COVER</c:v>
                </c:pt>
                <c:pt idx="13">
                  <c:v>ADAPTER</c:v>
                </c:pt>
                <c:pt idx="14">
                  <c:v>ST/HO</c:v>
                </c:pt>
                <c:pt idx="15">
                  <c:v>STOPPER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0.51944444444444449</c:v>
                </c:pt>
                <c:pt idx="1">
                  <c:v>0.51944444444444449</c:v>
                </c:pt>
                <c:pt idx="2">
                  <c:v>0.51944444444444449</c:v>
                </c:pt>
                <c:pt idx="3">
                  <c:v>0.51944444444444449</c:v>
                </c:pt>
                <c:pt idx="4">
                  <c:v>0.51944444444444449</c:v>
                </c:pt>
                <c:pt idx="5">
                  <c:v>0.51944444444444449</c:v>
                </c:pt>
                <c:pt idx="6">
                  <c:v>0.51944444444444449</c:v>
                </c:pt>
                <c:pt idx="7">
                  <c:v>0.51944444444444449</c:v>
                </c:pt>
                <c:pt idx="8">
                  <c:v>0.51944444444444449</c:v>
                </c:pt>
                <c:pt idx="9">
                  <c:v>0.51944444444444449</c:v>
                </c:pt>
                <c:pt idx="10">
                  <c:v>0.51944444444444449</c:v>
                </c:pt>
                <c:pt idx="11">
                  <c:v>0.51944444444444449</c:v>
                </c:pt>
                <c:pt idx="12">
                  <c:v>0.51944444444444449</c:v>
                </c:pt>
                <c:pt idx="13">
                  <c:v>0.51944444444444449</c:v>
                </c:pt>
                <c:pt idx="14">
                  <c:v>0.51944444444444449</c:v>
                </c:pt>
                <c:pt idx="15">
                  <c:v>0.51944444444444449</c:v>
                </c:pt>
                <c:pt idx="16">
                  <c:v>0.51944444444444449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73-4811-B346-AAB3BA6C3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7C2-4D61-B109-BA891E6C44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C2-4D61-B109-BA891E6C4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C2-4D61-B109-BA891E6C440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C2-4D61-B109-BA891E6C4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288BASE</c:v>
                </c:pt>
                <c:pt idx="10">
                  <c:v>ACTUATOR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'27'!$L$6:$L$22</c:f>
              <c:numCache>
                <c:formatCode>_(* #,##0_);_(* \(#,##0\);_(* "-"_);_(@_)</c:formatCode>
                <c:ptCount val="17"/>
                <c:pt idx="2">
                  <c:v>6174</c:v>
                </c:pt>
                <c:pt idx="3">
                  <c:v>2512</c:v>
                </c:pt>
                <c:pt idx="4">
                  <c:v>5746</c:v>
                </c:pt>
                <c:pt idx="5">
                  <c:v>899</c:v>
                </c:pt>
                <c:pt idx="6">
                  <c:v>8720</c:v>
                </c:pt>
                <c:pt idx="7">
                  <c:v>4765</c:v>
                </c:pt>
                <c:pt idx="8">
                  <c:v>8590</c:v>
                </c:pt>
                <c:pt idx="11">
                  <c:v>5002</c:v>
                </c:pt>
                <c:pt idx="12">
                  <c:v>5181</c:v>
                </c:pt>
                <c:pt idx="13">
                  <c:v>366</c:v>
                </c:pt>
                <c:pt idx="14">
                  <c:v>2947</c:v>
                </c:pt>
                <c:pt idx="15">
                  <c:v>4999</c:v>
                </c:pt>
                <c:pt idx="16">
                  <c:v>44720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4-4DBE-9143-FB4BDDFCF42C}"/>
            </c:ext>
          </c:extLst>
        </c:ser>
        <c:ser>
          <c:idx val="1"/>
          <c:order val="1"/>
          <c:tx>
            <c:v>계획</c:v>
          </c:tx>
          <c:cat>
            <c:strRef>
              <c:f>'27'!$D$6:$D$22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288BASE</c:v>
                </c:pt>
                <c:pt idx="10">
                  <c:v>ACTUATOR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'27'!$J$6:$J$22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6174</c:v>
                </c:pt>
                <c:pt idx="3">
                  <c:v>2512</c:v>
                </c:pt>
                <c:pt idx="4">
                  <c:v>5746</c:v>
                </c:pt>
                <c:pt idx="5">
                  <c:v>899</c:v>
                </c:pt>
                <c:pt idx="6">
                  <c:v>8720</c:v>
                </c:pt>
                <c:pt idx="7">
                  <c:v>4765</c:v>
                </c:pt>
                <c:pt idx="8">
                  <c:v>8590</c:v>
                </c:pt>
                <c:pt idx="9">
                  <c:v>1045</c:v>
                </c:pt>
                <c:pt idx="10">
                  <c:v>710</c:v>
                </c:pt>
                <c:pt idx="11">
                  <c:v>5002</c:v>
                </c:pt>
                <c:pt idx="12">
                  <c:v>5181</c:v>
                </c:pt>
                <c:pt idx="13">
                  <c:v>366</c:v>
                </c:pt>
                <c:pt idx="14">
                  <c:v>2947</c:v>
                </c:pt>
                <c:pt idx="15">
                  <c:v>4999</c:v>
                </c:pt>
                <c:pt idx="16">
                  <c:v>44720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C4-4DBE-9143-FB4BDDFCF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54%</c:v>
                </c:pt>
                <c:pt idx="4">
                  <c:v>75%</c:v>
                </c:pt>
                <c:pt idx="5">
                  <c:v>21%</c:v>
                </c:pt>
                <c:pt idx="6">
                  <c:v>75%</c:v>
                </c:pt>
                <c:pt idx="7">
                  <c:v>100%</c:v>
                </c:pt>
                <c:pt idx="8">
                  <c:v>83%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29%</c:v>
                </c:pt>
                <c:pt idx="14">
                  <c:v>58%</c:v>
                </c:pt>
                <c:pt idx="15">
                  <c:v>100%</c:v>
                </c:pt>
                <c:pt idx="16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288BASE</c:v>
                </c:pt>
                <c:pt idx="10">
                  <c:v>ACTUATOR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'27'!$AD$6:$AD$22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0.54166666666666663</c:v>
                </c:pt>
                <c:pt idx="4">
                  <c:v>0.75</c:v>
                </c:pt>
                <c:pt idx="5">
                  <c:v>0.20833333333333334</c:v>
                </c:pt>
                <c:pt idx="6">
                  <c:v>0.75</c:v>
                </c:pt>
                <c:pt idx="7">
                  <c:v>1</c:v>
                </c:pt>
                <c:pt idx="8">
                  <c:v>0.83333333333333337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0.29166666666666669</c:v>
                </c:pt>
                <c:pt idx="14">
                  <c:v>0.58333333333333337</c:v>
                </c:pt>
                <c:pt idx="15">
                  <c:v>1</c:v>
                </c:pt>
                <c:pt idx="16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3-42A1-A9E2-07662BF1A91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F3-42A1-A9E2-07662BF1A9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288BASE</c:v>
                </c:pt>
                <c:pt idx="10">
                  <c:v>ACTUATOR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'27'!$AE$6:$AE$22</c:f>
              <c:numCache>
                <c:formatCode>0%</c:formatCode>
                <c:ptCount val="17"/>
                <c:pt idx="0">
                  <c:v>0.63611111111111107</c:v>
                </c:pt>
                <c:pt idx="1">
                  <c:v>0.63611111111111107</c:v>
                </c:pt>
                <c:pt idx="2">
                  <c:v>0.63611111111111107</c:v>
                </c:pt>
                <c:pt idx="3">
                  <c:v>0.63611111111111107</c:v>
                </c:pt>
                <c:pt idx="4">
                  <c:v>0.63611111111111107</c:v>
                </c:pt>
                <c:pt idx="5">
                  <c:v>0.63611111111111107</c:v>
                </c:pt>
                <c:pt idx="6">
                  <c:v>0.63611111111111107</c:v>
                </c:pt>
                <c:pt idx="7">
                  <c:v>0.63611111111111107</c:v>
                </c:pt>
                <c:pt idx="8">
                  <c:v>0.63611111111111107</c:v>
                </c:pt>
                <c:pt idx="9">
                  <c:v>0.63611111111111107</c:v>
                </c:pt>
                <c:pt idx="10">
                  <c:v>0.63611111111111107</c:v>
                </c:pt>
                <c:pt idx="11">
                  <c:v>0.63611111111111107</c:v>
                </c:pt>
                <c:pt idx="12">
                  <c:v>0.63611111111111107</c:v>
                </c:pt>
                <c:pt idx="13">
                  <c:v>0.63611111111111107</c:v>
                </c:pt>
                <c:pt idx="14">
                  <c:v>0.63611111111111107</c:v>
                </c:pt>
                <c:pt idx="15">
                  <c:v>0.63611111111111107</c:v>
                </c:pt>
                <c:pt idx="16">
                  <c:v>0.63611111111111107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F3-42A1-A9E2-07662BF1A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288BASE</c:v>
                </c:pt>
                <c:pt idx="10">
                  <c:v>ACTUATOR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'27'!$L$6:$L$22</c:f>
              <c:numCache>
                <c:formatCode>_(* #,##0_);_(* \(#,##0\);_(* "-"_);_(@_)</c:formatCode>
                <c:ptCount val="17"/>
                <c:pt idx="2">
                  <c:v>6174</c:v>
                </c:pt>
                <c:pt idx="3">
                  <c:v>2512</c:v>
                </c:pt>
                <c:pt idx="4">
                  <c:v>5746</c:v>
                </c:pt>
                <c:pt idx="5">
                  <c:v>899</c:v>
                </c:pt>
                <c:pt idx="6">
                  <c:v>8720</c:v>
                </c:pt>
                <c:pt idx="7">
                  <c:v>4765</c:v>
                </c:pt>
                <c:pt idx="8">
                  <c:v>8590</c:v>
                </c:pt>
                <c:pt idx="11">
                  <c:v>5002</c:v>
                </c:pt>
                <c:pt idx="12">
                  <c:v>5181</c:v>
                </c:pt>
                <c:pt idx="13">
                  <c:v>366</c:v>
                </c:pt>
                <c:pt idx="14">
                  <c:v>2947</c:v>
                </c:pt>
                <c:pt idx="15">
                  <c:v>4999</c:v>
                </c:pt>
                <c:pt idx="16">
                  <c:v>44720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1C-4BCD-A776-99294EA8B4E7}"/>
            </c:ext>
          </c:extLst>
        </c:ser>
        <c:ser>
          <c:idx val="1"/>
          <c:order val="1"/>
          <c:tx>
            <c:v>계획</c:v>
          </c:tx>
          <c:cat>
            <c:strRef>
              <c:f>'27'!$D$6:$D$22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288BASE</c:v>
                </c:pt>
                <c:pt idx="10">
                  <c:v>ACTUATOR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'27'!$J$6:$J$22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6174</c:v>
                </c:pt>
                <c:pt idx="3">
                  <c:v>2512</c:v>
                </c:pt>
                <c:pt idx="4">
                  <c:v>5746</c:v>
                </c:pt>
                <c:pt idx="5">
                  <c:v>899</c:v>
                </c:pt>
                <c:pt idx="6">
                  <c:v>8720</c:v>
                </c:pt>
                <c:pt idx="7">
                  <c:v>4765</c:v>
                </c:pt>
                <c:pt idx="8">
                  <c:v>8590</c:v>
                </c:pt>
                <c:pt idx="9">
                  <c:v>1045</c:v>
                </c:pt>
                <c:pt idx="10">
                  <c:v>710</c:v>
                </c:pt>
                <c:pt idx="11">
                  <c:v>5002</c:v>
                </c:pt>
                <c:pt idx="12">
                  <c:v>5181</c:v>
                </c:pt>
                <c:pt idx="13">
                  <c:v>366</c:v>
                </c:pt>
                <c:pt idx="14">
                  <c:v>2947</c:v>
                </c:pt>
                <c:pt idx="15">
                  <c:v>4999</c:v>
                </c:pt>
                <c:pt idx="16">
                  <c:v>44720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1C-4BCD-A776-99294EA8B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54%</c:v>
                </c:pt>
                <c:pt idx="4">
                  <c:v>75%</c:v>
                </c:pt>
                <c:pt idx="5">
                  <c:v>21%</c:v>
                </c:pt>
                <c:pt idx="6">
                  <c:v>75%</c:v>
                </c:pt>
                <c:pt idx="7">
                  <c:v>100%</c:v>
                </c:pt>
                <c:pt idx="8">
                  <c:v>83%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29%</c:v>
                </c:pt>
                <c:pt idx="14">
                  <c:v>58%</c:v>
                </c:pt>
                <c:pt idx="15">
                  <c:v>100%</c:v>
                </c:pt>
                <c:pt idx="16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288BASE</c:v>
                </c:pt>
                <c:pt idx="10">
                  <c:v>ACTUATOR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'27'!$AD$6:$AD$22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0.54166666666666663</c:v>
                </c:pt>
                <c:pt idx="4">
                  <c:v>0.75</c:v>
                </c:pt>
                <c:pt idx="5">
                  <c:v>0.20833333333333334</c:v>
                </c:pt>
                <c:pt idx="6">
                  <c:v>0.75</c:v>
                </c:pt>
                <c:pt idx="7">
                  <c:v>1</c:v>
                </c:pt>
                <c:pt idx="8">
                  <c:v>0.83333333333333337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0.29166666666666669</c:v>
                </c:pt>
                <c:pt idx="14">
                  <c:v>0.58333333333333337</c:v>
                </c:pt>
                <c:pt idx="15">
                  <c:v>1</c:v>
                </c:pt>
                <c:pt idx="16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6A-4864-A2B4-37BC0A68FC0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6A-4864-A2B4-37BC0A68FC0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HOUSING</c:v>
                </c:pt>
                <c:pt idx="5">
                  <c:v>BASE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288BASE</c:v>
                </c:pt>
                <c:pt idx="10">
                  <c:v>ACTUATOR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  <c:pt idx="15">
                  <c:v>STOPPER</c:v>
                </c:pt>
              </c:strCache>
            </c:strRef>
          </c:cat>
          <c:val>
            <c:numRef>
              <c:f>'27'!$AE$6:$AE$22</c:f>
              <c:numCache>
                <c:formatCode>0%</c:formatCode>
                <c:ptCount val="17"/>
                <c:pt idx="0">
                  <c:v>0.63611111111111107</c:v>
                </c:pt>
                <c:pt idx="1">
                  <c:v>0.63611111111111107</c:v>
                </c:pt>
                <c:pt idx="2">
                  <c:v>0.63611111111111107</c:v>
                </c:pt>
                <c:pt idx="3">
                  <c:v>0.63611111111111107</c:v>
                </c:pt>
                <c:pt idx="4">
                  <c:v>0.63611111111111107</c:v>
                </c:pt>
                <c:pt idx="5">
                  <c:v>0.63611111111111107</c:v>
                </c:pt>
                <c:pt idx="6">
                  <c:v>0.63611111111111107</c:v>
                </c:pt>
                <c:pt idx="7">
                  <c:v>0.63611111111111107</c:v>
                </c:pt>
                <c:pt idx="8">
                  <c:v>0.63611111111111107</c:v>
                </c:pt>
                <c:pt idx="9">
                  <c:v>0.63611111111111107</c:v>
                </c:pt>
                <c:pt idx="10">
                  <c:v>0.63611111111111107</c:v>
                </c:pt>
                <c:pt idx="11">
                  <c:v>0.63611111111111107</c:v>
                </c:pt>
                <c:pt idx="12">
                  <c:v>0.63611111111111107</c:v>
                </c:pt>
                <c:pt idx="13">
                  <c:v>0.63611111111111107</c:v>
                </c:pt>
                <c:pt idx="14">
                  <c:v>0.63611111111111107</c:v>
                </c:pt>
                <c:pt idx="15">
                  <c:v>0.63611111111111107</c:v>
                </c:pt>
                <c:pt idx="16">
                  <c:v>0.63611111111111107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6A-4864-A2B4-37BC0A68F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605-4EFB-B8FE-CEFE35C867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5-4EFB-B8FE-CEFE35C86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605-4EFB-B8FE-CEFE35C867C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05-4EFB-B8FE-CEFE35C86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288BASE</c:v>
                </c:pt>
                <c:pt idx="13">
                  <c:v>COVER</c:v>
                </c:pt>
                <c:pt idx="14">
                  <c:v>LEAD IN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'28'!$L$6:$L$23</c:f>
              <c:numCache>
                <c:formatCode>_(* #,##0_);_(* \(#,##0\);_(* "-"_);_(@_)</c:formatCode>
                <c:ptCount val="18"/>
                <c:pt idx="2">
                  <c:v>6474</c:v>
                </c:pt>
                <c:pt idx="3">
                  <c:v>3429</c:v>
                </c:pt>
                <c:pt idx="4">
                  <c:v>1422</c:v>
                </c:pt>
                <c:pt idx="5">
                  <c:v>648</c:v>
                </c:pt>
                <c:pt idx="6">
                  <c:v>430</c:v>
                </c:pt>
                <c:pt idx="7">
                  <c:v>480</c:v>
                </c:pt>
                <c:pt idx="8">
                  <c:v>6700</c:v>
                </c:pt>
                <c:pt idx="9">
                  <c:v>4725</c:v>
                </c:pt>
                <c:pt idx="10">
                  <c:v>3458</c:v>
                </c:pt>
                <c:pt idx="12">
                  <c:v>440</c:v>
                </c:pt>
                <c:pt idx="13">
                  <c:v>5386</c:v>
                </c:pt>
                <c:pt idx="14">
                  <c:v>6332</c:v>
                </c:pt>
                <c:pt idx="15">
                  <c:v>5119</c:v>
                </c:pt>
                <c:pt idx="16">
                  <c:v>4542</c:v>
                </c:pt>
                <c:pt idx="17">
                  <c:v>48568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4C-49EB-A29B-42CD4BD5421B}"/>
            </c:ext>
          </c:extLst>
        </c:ser>
        <c:ser>
          <c:idx val="1"/>
          <c:order val="1"/>
          <c:tx>
            <c:v>계획</c:v>
          </c:tx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288BASE</c:v>
                </c:pt>
                <c:pt idx="13">
                  <c:v>COVER</c:v>
                </c:pt>
                <c:pt idx="14">
                  <c:v>LEAD IN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6474</c:v>
                </c:pt>
                <c:pt idx="3">
                  <c:v>3429</c:v>
                </c:pt>
                <c:pt idx="4">
                  <c:v>5746</c:v>
                </c:pt>
                <c:pt idx="5">
                  <c:v>648</c:v>
                </c:pt>
                <c:pt idx="6">
                  <c:v>430</c:v>
                </c:pt>
                <c:pt idx="7">
                  <c:v>480</c:v>
                </c:pt>
                <c:pt idx="8">
                  <c:v>6700</c:v>
                </c:pt>
                <c:pt idx="9">
                  <c:v>4725</c:v>
                </c:pt>
                <c:pt idx="10">
                  <c:v>3458</c:v>
                </c:pt>
                <c:pt idx="11">
                  <c:v>1045</c:v>
                </c:pt>
                <c:pt idx="12">
                  <c:v>440</c:v>
                </c:pt>
                <c:pt idx="13">
                  <c:v>5386</c:v>
                </c:pt>
                <c:pt idx="14">
                  <c:v>6332</c:v>
                </c:pt>
                <c:pt idx="15">
                  <c:v>5119</c:v>
                </c:pt>
                <c:pt idx="16">
                  <c:v>4542</c:v>
                </c:pt>
                <c:pt idx="17">
                  <c:v>48568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4C-49EB-A29B-42CD4BD54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19%</c:v>
                </c:pt>
                <c:pt idx="5">
                  <c:v>17%</c:v>
                </c:pt>
                <c:pt idx="6">
                  <c:v>13%</c:v>
                </c:pt>
                <c:pt idx="7">
                  <c:v>13%</c:v>
                </c:pt>
                <c:pt idx="8">
                  <c:v>67%</c:v>
                </c:pt>
                <c:pt idx="9">
                  <c:v>100%</c:v>
                </c:pt>
                <c:pt idx="10">
                  <c:v>29%</c:v>
                </c:pt>
                <c:pt idx="11">
                  <c:v>0%</c:v>
                </c:pt>
                <c:pt idx="12">
                  <c:v>13%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96%</c:v>
                </c:pt>
                <c:pt idx="17">
                  <c:v>75%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288BASE</c:v>
                </c:pt>
                <c:pt idx="13">
                  <c:v>COVER</c:v>
                </c:pt>
                <c:pt idx="14">
                  <c:v>LEAD IN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0.1856073790462931</c:v>
                </c:pt>
                <c:pt idx="5">
                  <c:v>0.16666666666666666</c:v>
                </c:pt>
                <c:pt idx="6">
                  <c:v>0.125</c:v>
                </c:pt>
                <c:pt idx="7">
                  <c:v>0.125</c:v>
                </c:pt>
                <c:pt idx="8">
                  <c:v>0.66666666666666663</c:v>
                </c:pt>
                <c:pt idx="9">
                  <c:v>1</c:v>
                </c:pt>
                <c:pt idx="10">
                  <c:v>0.29166666666666669</c:v>
                </c:pt>
                <c:pt idx="11">
                  <c:v>0</c:v>
                </c:pt>
                <c:pt idx="12">
                  <c:v>0.125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0.95833333333333337</c:v>
                </c:pt>
                <c:pt idx="17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B7-4A13-B43F-93D217ECAE8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B7-4A13-B43F-93D217ECAE8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288BASE</c:v>
                </c:pt>
                <c:pt idx="13">
                  <c:v>COVER</c:v>
                </c:pt>
                <c:pt idx="14">
                  <c:v>LEAD IN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'28'!$AE$6:$AE$23</c:f>
              <c:numCache>
                <c:formatCode>0%</c:formatCode>
                <c:ptCount val="18"/>
                <c:pt idx="0">
                  <c:v>0.61237382526975281</c:v>
                </c:pt>
                <c:pt idx="1">
                  <c:v>0.61237382526975281</c:v>
                </c:pt>
                <c:pt idx="2">
                  <c:v>0.61237382526975281</c:v>
                </c:pt>
                <c:pt idx="3">
                  <c:v>0.61237382526975281</c:v>
                </c:pt>
                <c:pt idx="4">
                  <c:v>0.61237382526975281</c:v>
                </c:pt>
                <c:pt idx="5">
                  <c:v>0.61237382526975281</c:v>
                </c:pt>
                <c:pt idx="6">
                  <c:v>0.61237382526975281</c:v>
                </c:pt>
                <c:pt idx="7">
                  <c:v>0.61237382526975281</c:v>
                </c:pt>
                <c:pt idx="8">
                  <c:v>0.61237382526975281</c:v>
                </c:pt>
                <c:pt idx="9">
                  <c:v>0.61237382526975281</c:v>
                </c:pt>
                <c:pt idx="10">
                  <c:v>0.61237382526975281</c:v>
                </c:pt>
                <c:pt idx="11">
                  <c:v>0.61237382526975281</c:v>
                </c:pt>
                <c:pt idx="12">
                  <c:v>0.61237382526975281</c:v>
                </c:pt>
                <c:pt idx="13">
                  <c:v>0.61237382526975281</c:v>
                </c:pt>
                <c:pt idx="14">
                  <c:v>0.61237382526975281</c:v>
                </c:pt>
                <c:pt idx="15">
                  <c:v>0.61237382526975281</c:v>
                </c:pt>
                <c:pt idx="16">
                  <c:v>0.61237382526975281</c:v>
                </c:pt>
                <c:pt idx="17">
                  <c:v>0.61237382526975281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B7-4A13-B43F-93D217ECA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288BASE</c:v>
                </c:pt>
                <c:pt idx="13">
                  <c:v>COVER</c:v>
                </c:pt>
                <c:pt idx="14">
                  <c:v>LEAD IN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'28'!$L$6:$L$23</c:f>
              <c:numCache>
                <c:formatCode>_(* #,##0_);_(* \(#,##0\);_(* "-"_);_(@_)</c:formatCode>
                <c:ptCount val="18"/>
                <c:pt idx="2">
                  <c:v>6474</c:v>
                </c:pt>
                <c:pt idx="3">
                  <c:v>3429</c:v>
                </c:pt>
                <c:pt idx="4">
                  <c:v>1422</c:v>
                </c:pt>
                <c:pt idx="5">
                  <c:v>648</c:v>
                </c:pt>
                <c:pt idx="6">
                  <c:v>430</c:v>
                </c:pt>
                <c:pt idx="7">
                  <c:v>480</c:v>
                </c:pt>
                <c:pt idx="8">
                  <c:v>6700</c:v>
                </c:pt>
                <c:pt idx="9">
                  <c:v>4725</c:v>
                </c:pt>
                <c:pt idx="10">
                  <c:v>3458</c:v>
                </c:pt>
                <c:pt idx="12">
                  <c:v>440</c:v>
                </c:pt>
                <c:pt idx="13">
                  <c:v>5386</c:v>
                </c:pt>
                <c:pt idx="14">
                  <c:v>6332</c:v>
                </c:pt>
                <c:pt idx="15">
                  <c:v>5119</c:v>
                </c:pt>
                <c:pt idx="16">
                  <c:v>4542</c:v>
                </c:pt>
                <c:pt idx="17">
                  <c:v>48568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5C-46E1-8415-8BE0970C9AC5}"/>
            </c:ext>
          </c:extLst>
        </c:ser>
        <c:ser>
          <c:idx val="1"/>
          <c:order val="1"/>
          <c:tx>
            <c:v>계획</c:v>
          </c:tx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288BASE</c:v>
                </c:pt>
                <c:pt idx="13">
                  <c:v>COVER</c:v>
                </c:pt>
                <c:pt idx="14">
                  <c:v>LEAD IN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6474</c:v>
                </c:pt>
                <c:pt idx="3">
                  <c:v>3429</c:v>
                </c:pt>
                <c:pt idx="4">
                  <c:v>5746</c:v>
                </c:pt>
                <c:pt idx="5">
                  <c:v>648</c:v>
                </c:pt>
                <c:pt idx="6">
                  <c:v>430</c:v>
                </c:pt>
                <c:pt idx="7">
                  <c:v>480</c:v>
                </c:pt>
                <c:pt idx="8">
                  <c:v>6700</c:v>
                </c:pt>
                <c:pt idx="9">
                  <c:v>4725</c:v>
                </c:pt>
                <c:pt idx="10">
                  <c:v>3458</c:v>
                </c:pt>
                <c:pt idx="11">
                  <c:v>1045</c:v>
                </c:pt>
                <c:pt idx="12">
                  <c:v>440</c:v>
                </c:pt>
                <c:pt idx="13">
                  <c:v>5386</c:v>
                </c:pt>
                <c:pt idx="14">
                  <c:v>6332</c:v>
                </c:pt>
                <c:pt idx="15">
                  <c:v>5119</c:v>
                </c:pt>
                <c:pt idx="16">
                  <c:v>4542</c:v>
                </c:pt>
                <c:pt idx="17">
                  <c:v>48568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5C-46E1-8415-8BE0970C9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19%</c:v>
                </c:pt>
                <c:pt idx="5">
                  <c:v>17%</c:v>
                </c:pt>
                <c:pt idx="6">
                  <c:v>13%</c:v>
                </c:pt>
                <c:pt idx="7">
                  <c:v>13%</c:v>
                </c:pt>
                <c:pt idx="8">
                  <c:v>67%</c:v>
                </c:pt>
                <c:pt idx="9">
                  <c:v>100%</c:v>
                </c:pt>
                <c:pt idx="10">
                  <c:v>29%</c:v>
                </c:pt>
                <c:pt idx="11">
                  <c:v>0%</c:v>
                </c:pt>
                <c:pt idx="12">
                  <c:v>13%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96%</c:v>
                </c:pt>
                <c:pt idx="17">
                  <c:v>75%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288BASE</c:v>
                </c:pt>
                <c:pt idx="13">
                  <c:v>COVER</c:v>
                </c:pt>
                <c:pt idx="14">
                  <c:v>LEAD IN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0.1856073790462931</c:v>
                </c:pt>
                <c:pt idx="5">
                  <c:v>0.16666666666666666</c:v>
                </c:pt>
                <c:pt idx="6">
                  <c:v>0.125</c:v>
                </c:pt>
                <c:pt idx="7">
                  <c:v>0.125</c:v>
                </c:pt>
                <c:pt idx="8">
                  <c:v>0.66666666666666663</c:v>
                </c:pt>
                <c:pt idx="9">
                  <c:v>1</c:v>
                </c:pt>
                <c:pt idx="10">
                  <c:v>0.29166666666666669</c:v>
                </c:pt>
                <c:pt idx="11">
                  <c:v>0</c:v>
                </c:pt>
                <c:pt idx="12">
                  <c:v>0.125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0.95833333333333337</c:v>
                </c:pt>
                <c:pt idx="17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FE-4206-99A9-9C633702434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FE-4206-99A9-9C63370243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288BASE</c:v>
                </c:pt>
                <c:pt idx="13">
                  <c:v>COVER</c:v>
                </c:pt>
                <c:pt idx="14">
                  <c:v>LEAD IN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'28'!$AE$6:$AE$23</c:f>
              <c:numCache>
                <c:formatCode>0%</c:formatCode>
                <c:ptCount val="18"/>
                <c:pt idx="0">
                  <c:v>0.61237382526975281</c:v>
                </c:pt>
                <c:pt idx="1">
                  <c:v>0.61237382526975281</c:v>
                </c:pt>
                <c:pt idx="2">
                  <c:v>0.61237382526975281</c:v>
                </c:pt>
                <c:pt idx="3">
                  <c:v>0.61237382526975281</c:v>
                </c:pt>
                <c:pt idx="4">
                  <c:v>0.61237382526975281</c:v>
                </c:pt>
                <c:pt idx="5">
                  <c:v>0.61237382526975281</c:v>
                </c:pt>
                <c:pt idx="6">
                  <c:v>0.61237382526975281</c:v>
                </c:pt>
                <c:pt idx="7">
                  <c:v>0.61237382526975281</c:v>
                </c:pt>
                <c:pt idx="8">
                  <c:v>0.61237382526975281</c:v>
                </c:pt>
                <c:pt idx="9">
                  <c:v>0.61237382526975281</c:v>
                </c:pt>
                <c:pt idx="10">
                  <c:v>0.61237382526975281</c:v>
                </c:pt>
                <c:pt idx="11">
                  <c:v>0.61237382526975281</c:v>
                </c:pt>
                <c:pt idx="12">
                  <c:v>0.61237382526975281</c:v>
                </c:pt>
                <c:pt idx="13">
                  <c:v>0.61237382526975281</c:v>
                </c:pt>
                <c:pt idx="14">
                  <c:v>0.61237382526975281</c:v>
                </c:pt>
                <c:pt idx="15">
                  <c:v>0.61237382526975281</c:v>
                </c:pt>
                <c:pt idx="16">
                  <c:v>0.61237382526975281</c:v>
                </c:pt>
                <c:pt idx="17">
                  <c:v>0.61237382526975281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FE-4206-99A9-9C6337024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A3C-4837-AA43-161216C4AF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3C-4837-AA43-161216C4A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3C-4837-AA43-161216C4AF8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3C-4837-AA43-161216C4A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BODY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4784</c:v>
                </c:pt>
                <c:pt idx="3">
                  <c:v>1210</c:v>
                </c:pt>
                <c:pt idx="4">
                  <c:v>474</c:v>
                </c:pt>
                <c:pt idx="5">
                  <c:v>1044</c:v>
                </c:pt>
                <c:pt idx="7">
                  <c:v>1058</c:v>
                </c:pt>
                <c:pt idx="8">
                  <c:v>5104</c:v>
                </c:pt>
                <c:pt idx="11">
                  <c:v>4999</c:v>
                </c:pt>
                <c:pt idx="12">
                  <c:v>4085</c:v>
                </c:pt>
                <c:pt idx="13">
                  <c:v>4868</c:v>
                </c:pt>
                <c:pt idx="14">
                  <c:v>3108</c:v>
                </c:pt>
                <c:pt idx="15">
                  <c:v>76848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6D-4E1A-B683-977861DD4298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BODY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4784</c:v>
                </c:pt>
                <c:pt idx="3">
                  <c:v>1210</c:v>
                </c:pt>
                <c:pt idx="4">
                  <c:v>474</c:v>
                </c:pt>
                <c:pt idx="5">
                  <c:v>1044</c:v>
                </c:pt>
                <c:pt idx="6">
                  <c:v>6700</c:v>
                </c:pt>
                <c:pt idx="7">
                  <c:v>1058</c:v>
                </c:pt>
                <c:pt idx="8">
                  <c:v>5104</c:v>
                </c:pt>
                <c:pt idx="9">
                  <c:v>1045</c:v>
                </c:pt>
                <c:pt idx="10">
                  <c:v>440</c:v>
                </c:pt>
                <c:pt idx="11">
                  <c:v>4999</c:v>
                </c:pt>
                <c:pt idx="12">
                  <c:v>4085</c:v>
                </c:pt>
                <c:pt idx="13">
                  <c:v>4868</c:v>
                </c:pt>
                <c:pt idx="14">
                  <c:v>3108</c:v>
                </c:pt>
                <c:pt idx="15">
                  <c:v>76848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6D-4E1A-B683-977861DD4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17%</c:v>
                </c:pt>
                <c:pt idx="4">
                  <c:v>13%</c:v>
                </c:pt>
                <c:pt idx="5">
                  <c:v>29%</c:v>
                </c:pt>
                <c:pt idx="6">
                  <c:v>0%</c:v>
                </c:pt>
                <c:pt idx="7">
                  <c:v>29%</c:v>
                </c:pt>
                <c:pt idx="8">
                  <c:v>54%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88%</c:v>
                </c:pt>
                <c:pt idx="13">
                  <c:v>100%</c:v>
                </c:pt>
                <c:pt idx="14">
                  <c:v>79%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BODY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0.16666666666666666</c:v>
                </c:pt>
                <c:pt idx="4">
                  <c:v>0.125</c:v>
                </c:pt>
                <c:pt idx="5">
                  <c:v>0.29166666666666669</c:v>
                </c:pt>
                <c:pt idx="6">
                  <c:v>0</c:v>
                </c:pt>
                <c:pt idx="7">
                  <c:v>0.29166666666666669</c:v>
                </c:pt>
                <c:pt idx="8">
                  <c:v>0.54166666666666663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0.875</c:v>
                </c:pt>
                <c:pt idx="13">
                  <c:v>1</c:v>
                </c:pt>
                <c:pt idx="14">
                  <c:v>0.79166666666666663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1-4E7B-98A0-1456785FA5C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51-4E7B-98A0-1456785FA5C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BODY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0.46388888888888891</c:v>
                </c:pt>
                <c:pt idx="1">
                  <c:v>0.46388888888888891</c:v>
                </c:pt>
                <c:pt idx="2">
                  <c:v>0.46388888888888891</c:v>
                </c:pt>
                <c:pt idx="3">
                  <c:v>0.46388888888888891</c:v>
                </c:pt>
                <c:pt idx="4">
                  <c:v>0.46388888888888891</c:v>
                </c:pt>
                <c:pt idx="5">
                  <c:v>0.46388888888888891</c:v>
                </c:pt>
                <c:pt idx="6">
                  <c:v>0.46388888888888891</c:v>
                </c:pt>
                <c:pt idx="7">
                  <c:v>0.46388888888888891</c:v>
                </c:pt>
                <c:pt idx="8">
                  <c:v>0.46388888888888891</c:v>
                </c:pt>
                <c:pt idx="9">
                  <c:v>0.46388888888888891</c:v>
                </c:pt>
                <c:pt idx="10">
                  <c:v>0.46388888888888891</c:v>
                </c:pt>
                <c:pt idx="11">
                  <c:v>0.46388888888888891</c:v>
                </c:pt>
                <c:pt idx="12">
                  <c:v>0.46388888888888891</c:v>
                </c:pt>
                <c:pt idx="13">
                  <c:v>0.46388888888888891</c:v>
                </c:pt>
                <c:pt idx="14">
                  <c:v>0.46388888888888891</c:v>
                </c:pt>
                <c:pt idx="15">
                  <c:v>0.46388888888888891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51-4E7B-98A0-1456785FA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BODY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4784</c:v>
                </c:pt>
                <c:pt idx="3">
                  <c:v>1210</c:v>
                </c:pt>
                <c:pt idx="4">
                  <c:v>474</c:v>
                </c:pt>
                <c:pt idx="5">
                  <c:v>1044</c:v>
                </c:pt>
                <c:pt idx="7">
                  <c:v>1058</c:v>
                </c:pt>
                <c:pt idx="8">
                  <c:v>5104</c:v>
                </c:pt>
                <c:pt idx="11">
                  <c:v>4999</c:v>
                </c:pt>
                <c:pt idx="12">
                  <c:v>4085</c:v>
                </c:pt>
                <c:pt idx="13">
                  <c:v>4868</c:v>
                </c:pt>
                <c:pt idx="14">
                  <c:v>3108</c:v>
                </c:pt>
                <c:pt idx="15">
                  <c:v>76848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1-46EB-8D6D-4542F2C436A1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BODY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4784</c:v>
                </c:pt>
                <c:pt idx="3">
                  <c:v>1210</c:v>
                </c:pt>
                <c:pt idx="4">
                  <c:v>474</c:v>
                </c:pt>
                <c:pt idx="5">
                  <c:v>1044</c:v>
                </c:pt>
                <c:pt idx="6">
                  <c:v>6700</c:v>
                </c:pt>
                <c:pt idx="7">
                  <c:v>1058</c:v>
                </c:pt>
                <c:pt idx="8">
                  <c:v>5104</c:v>
                </c:pt>
                <c:pt idx="9">
                  <c:v>1045</c:v>
                </c:pt>
                <c:pt idx="10">
                  <c:v>440</c:v>
                </c:pt>
                <c:pt idx="11">
                  <c:v>4999</c:v>
                </c:pt>
                <c:pt idx="12">
                  <c:v>4085</c:v>
                </c:pt>
                <c:pt idx="13">
                  <c:v>4868</c:v>
                </c:pt>
                <c:pt idx="14">
                  <c:v>3108</c:v>
                </c:pt>
                <c:pt idx="15">
                  <c:v>76848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41-46EB-8D6D-4542F2C43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17%</c:v>
                </c:pt>
                <c:pt idx="4">
                  <c:v>13%</c:v>
                </c:pt>
                <c:pt idx="5">
                  <c:v>29%</c:v>
                </c:pt>
                <c:pt idx="6">
                  <c:v>0%</c:v>
                </c:pt>
                <c:pt idx="7">
                  <c:v>29%</c:v>
                </c:pt>
                <c:pt idx="8">
                  <c:v>54%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88%</c:v>
                </c:pt>
                <c:pt idx="13">
                  <c:v>100%</c:v>
                </c:pt>
                <c:pt idx="14">
                  <c:v>79%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BODY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0.16666666666666666</c:v>
                </c:pt>
                <c:pt idx="4">
                  <c:v>0.125</c:v>
                </c:pt>
                <c:pt idx="5">
                  <c:v>0.29166666666666669</c:v>
                </c:pt>
                <c:pt idx="6">
                  <c:v>0</c:v>
                </c:pt>
                <c:pt idx="7">
                  <c:v>0.29166666666666669</c:v>
                </c:pt>
                <c:pt idx="8">
                  <c:v>0.54166666666666663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0.875</c:v>
                </c:pt>
                <c:pt idx="13">
                  <c:v>1</c:v>
                </c:pt>
                <c:pt idx="14">
                  <c:v>0.79166666666666663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9-484C-883F-18CF61CDBAE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F9-484C-883F-18CF61CDBAE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COVER</c:v>
                </c:pt>
                <c:pt idx="5">
                  <c:v>BODY</c:v>
                </c:pt>
                <c:pt idx="6">
                  <c:v>STOPPER</c:v>
                </c:pt>
                <c:pt idx="7">
                  <c:v>BODY</c:v>
                </c:pt>
                <c:pt idx="8">
                  <c:v>BASE</c:v>
                </c:pt>
                <c:pt idx="9">
                  <c:v>288BASE</c:v>
                </c:pt>
                <c:pt idx="11">
                  <c:v>COVER</c:v>
                </c:pt>
                <c:pt idx="12">
                  <c:v>LEAD IN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0.46388888888888891</c:v>
                </c:pt>
                <c:pt idx="1">
                  <c:v>0.46388888888888891</c:v>
                </c:pt>
                <c:pt idx="2">
                  <c:v>0.46388888888888891</c:v>
                </c:pt>
                <c:pt idx="3">
                  <c:v>0.46388888888888891</c:v>
                </c:pt>
                <c:pt idx="4">
                  <c:v>0.46388888888888891</c:v>
                </c:pt>
                <c:pt idx="5">
                  <c:v>0.46388888888888891</c:v>
                </c:pt>
                <c:pt idx="6">
                  <c:v>0.46388888888888891</c:v>
                </c:pt>
                <c:pt idx="7">
                  <c:v>0.46388888888888891</c:v>
                </c:pt>
                <c:pt idx="8">
                  <c:v>0.46388888888888891</c:v>
                </c:pt>
                <c:pt idx="9">
                  <c:v>0.46388888888888891</c:v>
                </c:pt>
                <c:pt idx="10">
                  <c:v>0.46388888888888891</c:v>
                </c:pt>
                <c:pt idx="11">
                  <c:v>0.46388888888888891</c:v>
                </c:pt>
                <c:pt idx="12">
                  <c:v>0.46388888888888891</c:v>
                </c:pt>
                <c:pt idx="13">
                  <c:v>0.46388888888888891</c:v>
                </c:pt>
                <c:pt idx="14">
                  <c:v>0.46388888888888891</c:v>
                </c:pt>
                <c:pt idx="15">
                  <c:v>0.46388888888888891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F9-484C-883F-18CF61CDB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09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5FC-4800-BA85-B3C41727D3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0.43055555555555558</c:v>
                </c:pt>
                <c:pt idx="2">
                  <c:v>0.46944444444444439</c:v>
                </c:pt>
                <c:pt idx="3">
                  <c:v>0.43055555555555547</c:v>
                </c:pt>
                <c:pt idx="4">
                  <c:v>0.375</c:v>
                </c:pt>
                <c:pt idx="5">
                  <c:v>0.27777777777777773</c:v>
                </c:pt>
                <c:pt idx="6">
                  <c:v>0.45</c:v>
                </c:pt>
                <c:pt idx="7">
                  <c:v>0.16666666666666666</c:v>
                </c:pt>
                <c:pt idx="8">
                  <c:v>0.33718003261717366</c:v>
                </c:pt>
                <c:pt idx="9">
                  <c:v>0.36379166666666668</c:v>
                </c:pt>
                <c:pt idx="10">
                  <c:v>0.38611111111111113</c:v>
                </c:pt>
                <c:pt idx="11">
                  <c:v>0.18333333333333332</c:v>
                </c:pt>
                <c:pt idx="13">
                  <c:v>0.16944444444444445</c:v>
                </c:pt>
                <c:pt idx="14">
                  <c:v>0.18333333333333332</c:v>
                </c:pt>
                <c:pt idx="15">
                  <c:v>0.34166666666666667</c:v>
                </c:pt>
                <c:pt idx="16">
                  <c:v>0.31111111111111106</c:v>
                </c:pt>
                <c:pt idx="17">
                  <c:v>0.50555555555555554</c:v>
                </c:pt>
                <c:pt idx="18">
                  <c:v>0.54444444444444451</c:v>
                </c:pt>
                <c:pt idx="19">
                  <c:v>0.45</c:v>
                </c:pt>
                <c:pt idx="20">
                  <c:v>0.21666666666666667</c:v>
                </c:pt>
                <c:pt idx="22">
                  <c:v>0.54166666666666663</c:v>
                </c:pt>
                <c:pt idx="23">
                  <c:v>0.48333333333333334</c:v>
                </c:pt>
                <c:pt idx="24">
                  <c:v>0.51388888888888884</c:v>
                </c:pt>
                <c:pt idx="25">
                  <c:v>0.51944444444444449</c:v>
                </c:pt>
                <c:pt idx="26">
                  <c:v>0.63611111111111107</c:v>
                </c:pt>
                <c:pt idx="27">
                  <c:v>0.61237382526975281</c:v>
                </c:pt>
                <c:pt idx="29">
                  <c:v>0.46388888888888891</c:v>
                </c:pt>
                <c:pt idx="31">
                  <c:v>0.34544485081845305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FC-4800-BA85-B3C41727D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FC-4800-BA85-B3C41727D3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FC-4800-BA85-B3C41727D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9.xml"/><Relationship Id="rId1" Type="http://schemas.openxmlformats.org/officeDocument/2006/relationships/chart" Target="../charts/chart118.xml"/><Relationship Id="rId6" Type="http://schemas.openxmlformats.org/officeDocument/2006/relationships/chart" Target="../charts/chart122.xml"/><Relationship Id="rId5" Type="http://schemas.openxmlformats.org/officeDocument/2006/relationships/chart" Target="../charts/chart121.xml"/><Relationship Id="rId4" Type="http://schemas.openxmlformats.org/officeDocument/2006/relationships/chart" Target="../charts/chart120.xml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4.xml"/><Relationship Id="rId1" Type="http://schemas.openxmlformats.org/officeDocument/2006/relationships/chart" Target="../charts/chart123.xml"/><Relationship Id="rId6" Type="http://schemas.openxmlformats.org/officeDocument/2006/relationships/chart" Target="../charts/chart127.xml"/><Relationship Id="rId5" Type="http://schemas.openxmlformats.org/officeDocument/2006/relationships/chart" Target="../charts/chart126.xml"/><Relationship Id="rId4" Type="http://schemas.openxmlformats.org/officeDocument/2006/relationships/chart" Target="../charts/chart125.xml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9.xml"/><Relationship Id="rId1" Type="http://schemas.openxmlformats.org/officeDocument/2006/relationships/chart" Target="../charts/chart128.xml"/><Relationship Id="rId6" Type="http://schemas.openxmlformats.org/officeDocument/2006/relationships/chart" Target="../charts/chart132.xml"/><Relationship Id="rId5" Type="http://schemas.openxmlformats.org/officeDocument/2006/relationships/chart" Target="../charts/chart131.xml"/><Relationship Id="rId4" Type="http://schemas.openxmlformats.org/officeDocument/2006/relationships/chart" Target="../charts/chart1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DCBA5C-1978-46B2-A15C-D214088ED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7C57CA9-1470-4102-9EF2-5EAFB78DA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1C14D65-EEC9-4F30-B615-421679D60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37DCD3C-8525-4435-B725-B07E5F077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65739BC-A3A3-48B4-A568-C87DA02CC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B63F1C4-4E61-45D6-8F61-F157B32F7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39A76B6-9AB7-4077-8BF6-1EF87DBD7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8A6F1E1-5CF4-4957-9114-452B0033C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CF5BCA6-E87A-45A6-A4F0-FAE51B46E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5934BA2-5E92-4C85-B1BE-4A239DB1F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33AAA5A-9E7C-4523-9335-EF2FC8F80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07ED7FB-64A1-4BD8-BBF1-A6235108DA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8B02CC3-33CC-429D-8202-FB8C101FE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3F53B9F-9D0C-4B49-BADA-97D486C64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347C199-FF77-4F6C-9A40-E48C46E06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3BA214C-E514-4982-B8E7-CCEE90324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EB43029-63CA-46FC-B978-7FCD82748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BC7805B-6FA9-484C-B697-AD6FC69EC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A473A98-131E-499D-B239-65AED4D48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0476B3B-3B30-40AA-88F5-AB1BF494F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867BF59-C029-4C49-91F7-E7C3E68B39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7D60864-5D17-4554-8408-0D432F84D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958AAEE-FC47-4C46-9AC2-F95092932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8AA7BEF-71AC-47B4-A77D-192E095D0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DFAEB74-0DE7-46B2-9998-4D517D3FD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7E46B10-1216-4B9B-856C-8192D1D6D6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8AE9B9F-AA14-4E35-A488-B88B054D4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DBEA06B-DA05-4477-9412-00285DAD1A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97FCD57-7BC0-4962-BEFD-45E591B55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1CFDCEC-F634-4B46-9D2A-8C90E4544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3A57A89-A414-467C-9420-694BB7F29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C8E5056-23E1-4B8F-93FA-39E044426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4545A3A-0D9A-4502-B119-9ECB0E797C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4463807-7AF9-49E0-93BE-9A61A88C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A443F7B-6247-40C9-8AEB-B0C56FC7D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8D4BEC6-EB90-4DFA-8B7E-7FC9CCAE1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CF3CD24-5041-4BD8-BC49-97933E71F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2B704FB-832D-4C62-9354-E8D2B905F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6A7C6FB-76BA-4CAE-8F4D-C90D5B08C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FBE59D9-8D25-4636-BA17-3D4671BE6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ED2C725-8DC8-4A04-B190-79F70C433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205B6E2-6D74-44CE-97C9-6CE1741EA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3D66876-EDF4-46CF-9B9A-AD484A5EA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E7A5AB6-B3A2-44A5-B347-A9AC716C5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7C3DC85-E05D-4ABE-9ED1-B204C69D5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1E34A55-6412-4341-81FE-032EB6F5A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FBE4F04-E79C-4647-8B75-51F59BFF8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9453A4E-99AC-4BC1-8BD3-614C18A53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90EB38F-6A70-4B88-8340-D59D77641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8019844-36E7-417F-B9EE-0CFF9DE93D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B9B7951-F0DF-4933-94C9-486BC4084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0574C80-21D9-48EE-8544-A33A45492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9DD1035-30D1-4931-8204-1B64D5D14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D3C5805-C3E1-445E-874D-7E1062FD5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61C29FC-0FE2-4717-932B-D735CD88A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1DA481F-0057-45E5-8983-68AEC5DB8F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694C714-580C-4A8B-8601-9522ADDB9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D0983FB-550D-47C8-8574-08CC4602B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66AE3FE-B616-45F4-A5C2-3FD421270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7682D9D-615B-4D9E-8A1B-31A16C6D0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07F77D9-F1CB-43EC-81C1-D622ECE55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313F2C4-2F74-468F-A46C-5939F051D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4ABD48D-5AEE-4FB7-AA43-55771A547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89A1E4E-8BD2-4A1F-A306-73323AA1B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4EC6390-857E-4506-A6FF-5A2922BA5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9A9A58A-F6F2-45BB-8D53-30AA9EC27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AD3FBBE-025C-4541-AAF0-F09D24A44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FB8F3E9-4A31-434B-8155-323ED06A9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84A5041-8317-4424-ACFD-0FFF97033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AAB6EE0-57C4-4572-A6E2-CAE468C9D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331772C-BBD8-44F0-8D7E-B4BA05494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BEE8386-D6BC-4D4F-AC3C-E8CDE8EA2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ADA3A29-473A-4C5C-9E51-CDC085682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6BD5E50-7F9F-4ED6-BC1C-B3AC1CA5D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69AD1CB-4702-45CA-8246-CDA2F53E2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488114C-AB2B-4606-9B54-E0A34CAFB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CFA6CE1-5B55-4DF1-814F-539BF86DA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600DD2E-535E-4962-8F5E-39F64272F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2AF27A7-2FBF-47AB-B945-62AC50B4F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1C850F0-AA7B-4105-BA3A-05A724469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8CF370A-42D1-4F24-94FF-D7C9FFE29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0FEB9A7-5F34-4FEB-826A-A4101C4D1B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5DD29D3-0354-4D6B-BE17-064FDED91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7CD3F08-723A-40C2-9030-7444955AD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C29E526-C650-4384-8F8F-D4E165BF3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218365C-964E-4325-AEAC-FD6458BA99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5EFFB7E-BA84-42ED-BAA6-72F390DDE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EC54457-386D-4C19-8B33-A390EADB8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6EF7735-DF52-42A4-ACC8-0335B18AD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FF3ED59-7CE2-458A-A4EF-33D55207D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DA3D20C-63ED-4DD5-8D33-72B2D988A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1547D0A-FC6F-438D-B170-6EB22BBEC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D924D91-F8D1-477A-B668-45C328303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C0B6AC7-09E1-4B17-A5F1-F0932DC94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D20A3DE-E943-4475-8CC7-C4162A0A2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7784846-5540-4C4B-8F5B-63EBEB6B60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3DCE5C9-88D9-4B8E-AB0B-8DDC50B95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6B7E3F3-1D91-454F-8017-C6CF405A6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E740102-4372-4542-93D1-6753D48CE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83FAB59-40B7-4343-BE63-097E2576E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430C8BB-574B-41D9-901E-F1F4EB389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DAF4C44-0328-4072-A56A-B2FB47D55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F4077CB-40A3-4D4F-93BF-278216EB38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C1F955E-EAB8-4666-A3A3-814387AE1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52E2C36-4BCE-46F7-94CA-D0415CB85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87D6CD2-78DE-4D68-B19A-442BA16F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2DFFBC0-8ACA-45FB-AC03-4963D6153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1EB1C05-0FBA-454B-B303-3D9E422BC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BA09208-26AF-48AE-A9B2-2CFE4E0F9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703806E-9085-4488-989C-28CF739E4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AF21D8A-CE7B-4FBE-8A91-A91C43E51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702BAAF-CF7E-49CF-8BDF-CE203B3A9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F5CA0FD-38FA-48ED-9BB0-E676BA6FB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914BAA0-2EC5-402C-8DA1-FF3B421DF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1B20C0F-520D-4B21-B367-A0CADFC7B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8A76820-1087-4D4E-BDF6-60E6D4C47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EE431C8-2877-4593-A5C9-3386B8570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56577F7-A4E5-46E2-8625-B61107FE6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41</xdr:row>
      <xdr:rowOff>13607</xdr:rowOff>
    </xdr:from>
    <xdr:to>
      <xdr:col>29</xdr:col>
      <xdr:colOff>476250</xdr:colOff>
      <xdr:row>49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4D7AB93-FA28-4CFD-8C90-533CC7C6F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CC63A40-8683-458E-BCB2-FB57EC996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4015CAC-55C5-45DB-81A1-36249189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E2D086D-9650-4AC3-AB3A-EB8C52D6E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0C4B2F6-5E7B-4025-8997-EB0CE214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ED4AEC4-3A53-4F95-AFC9-A738527EE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2062870-E30A-4555-92F2-F2D5794EF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4D2140B-E2DC-4734-B5C0-F6A49EDD1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671A015-99C6-43BF-8C2F-1FCC68E57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32292EB-ADA4-4CE7-A4D8-17C3F6BA5B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0CE8A42-955F-4439-A2F5-6777CB86A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F77EC99-6298-4F4A-850E-A2B73BF02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667D31C-ED3F-4D4D-AFF4-3C9AB8967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57D9740-C7FF-4B6E-ABA2-E91B5466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94D01B7-B36F-4E11-943E-D0B689856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B179010-3DED-4814-9E95-B667D122B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BFBDC9F-1471-4FF5-89FB-A121DF63A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93E5CC8-845A-4826-A8FA-6C02DCBBD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315FF31-7485-46BC-8A20-B5B30194D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D47D40D-864A-49D0-A444-5671DC5CF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B3A21FA-5FF3-471A-AD09-82BE22C78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E31DE19-0881-4FB9-9919-16CC06117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49456B3-A8C7-4470-8C85-91459E981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72B9308-725C-47FC-8A3D-3C87D0115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9323356-2A78-4654-B5FE-2F32B483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3F8EF76-A7D8-48A4-BEF7-F52AB94B0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A6001D5-0299-433D-B2A6-033B7E279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2B6ABC5-1A7C-4DB1-BCD0-A84AD8E1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32DBF68-E72E-4ABB-809C-DAEF426EF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70FB927-53A9-4CC4-8345-5C8BDDF77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B9B58AF-CECF-4020-B53D-8AE198102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12FA2FE-8CA1-44D9-83EF-E8C023434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5241159-3095-4388-A9F3-F0DA8CEC6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DDCCC03-1CD6-4497-BB31-B086ABE94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6A5C4DB-DB68-49F2-974B-8FCDE6C1D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BF1CC98-9719-4E3F-894F-DECB5FD6C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10FDEAA-A9B1-4834-9DAE-439EEBA86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23A962D-BCA5-4DAD-BD46-B85E9EF5F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DCA2BFE-34BF-4E57-A2DB-D8C1A392D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E0EA1BA-EB0F-4F89-9F19-CEF1900E7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2D958B4-0CCD-465A-8AB4-A397DF690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3DB255E-EE06-48F6-ACD2-035B9ED96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9AD9A37-B840-4952-A7F4-B0B4B1D1C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A314552-7659-42EC-87BC-FE2EE95C5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7A86919-8BF1-4FDE-B5FE-B40D7EA14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342A860-E4F2-424A-8E7B-D864FF732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AB19434-986C-453E-B3E6-DCDC7C93E5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2532C26-44CA-459C-9A76-474EB9CD1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2DF505A-25AF-42AA-9D06-DFC6E559B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4D1A31F-D266-4D11-9153-B61BD2EDA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00179BA-7F32-4418-A65C-9121237B9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B647C35-B606-4CFE-81BA-A405F636D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B98DDA3-FFE6-4A06-8E4D-47FDD6CE2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6C7ED76-8CD5-4A36-B8FB-9F72E7189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3CD65B5-8602-4AD6-8B7D-732B61594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E82ACDD-AC3E-4609-B6FB-B1EE6FC9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A339D1C-ABA3-4FEE-902B-DAA42196F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C45E299-0C4A-4122-BE92-BC081BAB4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8EDFFFF-7BC1-4D4D-847F-9D7AAC54D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82D3A00-EE09-4020-96D9-F955437ED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D78FCB2-9181-476E-AB24-7487AAB57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8FF4489-3C48-44A0-B4C2-0C819F393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30C5944-D483-493F-8CA8-EA005DA8A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2A56D7E-B677-445C-BA63-1301F8FEB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J10" sqref="AJ10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3" width="5.5" style="68" bestFit="1" customWidth="1"/>
    <col min="34" max="16384" width="9" style="68"/>
  </cols>
  <sheetData>
    <row r="1" spans="1:33" ht="33.75" customHeight="1" thickBot="1">
      <c r="A1" s="359" t="s">
        <v>170</v>
      </c>
      <c r="B1" s="359"/>
      <c r="C1" s="359"/>
      <c r="D1" s="359"/>
      <c r="E1" s="359"/>
      <c r="F1" s="359"/>
      <c r="G1" s="359"/>
      <c r="H1" s="359"/>
    </row>
    <row r="2" spans="1:33" ht="21.75" customHeight="1" thickBot="1">
      <c r="A2" s="89" t="s">
        <v>59</v>
      </c>
      <c r="B2" s="91" t="s">
        <v>74</v>
      </c>
      <c r="C2" s="92" t="s">
        <v>75</v>
      </c>
      <c r="D2" s="92" t="s">
        <v>76</v>
      </c>
      <c r="E2" s="92" t="s">
        <v>77</v>
      </c>
      <c r="F2" s="92" t="s">
        <v>78</v>
      </c>
      <c r="G2" s="92" t="s">
        <v>79</v>
      </c>
      <c r="H2" s="92" t="s">
        <v>80</v>
      </c>
      <c r="I2" s="92" t="s">
        <v>81</v>
      </c>
      <c r="J2" s="92" t="s">
        <v>82</v>
      </c>
      <c r="K2" s="92" t="s">
        <v>83</v>
      </c>
      <c r="L2" s="92" t="s">
        <v>84</v>
      </c>
      <c r="M2" s="92" t="s">
        <v>85</v>
      </c>
      <c r="N2" s="92" t="s">
        <v>86</v>
      </c>
      <c r="O2" s="92" t="s">
        <v>87</v>
      </c>
      <c r="P2" s="92" t="s">
        <v>88</v>
      </c>
      <c r="Q2" s="92" t="s">
        <v>89</v>
      </c>
      <c r="R2" s="92" t="s">
        <v>90</v>
      </c>
      <c r="S2" s="92" t="s">
        <v>91</v>
      </c>
      <c r="T2" s="92" t="s">
        <v>92</v>
      </c>
      <c r="U2" s="92" t="s">
        <v>93</v>
      </c>
      <c r="V2" s="92" t="s">
        <v>94</v>
      </c>
      <c r="W2" s="92" t="s">
        <v>95</v>
      </c>
      <c r="X2" s="92" t="s">
        <v>96</v>
      </c>
      <c r="Y2" s="92" t="s">
        <v>97</v>
      </c>
      <c r="Z2" s="92" t="s">
        <v>98</v>
      </c>
      <c r="AA2" s="92" t="s">
        <v>99</v>
      </c>
      <c r="AB2" s="92" t="s">
        <v>100</v>
      </c>
      <c r="AC2" s="92" t="s">
        <v>101</v>
      </c>
      <c r="AD2" s="92" t="s">
        <v>102</v>
      </c>
      <c r="AE2" s="92" t="s">
        <v>103</v>
      </c>
      <c r="AF2" s="93" t="s">
        <v>104</v>
      </c>
      <c r="AG2" s="89" t="s">
        <v>106</v>
      </c>
    </row>
    <row r="3" spans="1:33" ht="21.75" customHeight="1">
      <c r="A3" s="109" t="s">
        <v>60</v>
      </c>
      <c r="B3" s="104"/>
      <c r="C3" s="104">
        <f>'02'!AD6</f>
        <v>0</v>
      </c>
      <c r="D3" s="97">
        <f>'03'!AD6</f>
        <v>0</v>
      </c>
      <c r="E3" s="97">
        <f>'04'!AD6</f>
        <v>0</v>
      </c>
      <c r="F3" s="97">
        <f>'05'!AD6</f>
        <v>0</v>
      </c>
      <c r="G3" s="97">
        <f>'06'!AD6</f>
        <v>0</v>
      </c>
      <c r="H3" s="97">
        <f>'07'!AD6</f>
        <v>0</v>
      </c>
      <c r="I3" s="97">
        <f>'08'!AD6</f>
        <v>0</v>
      </c>
      <c r="J3" s="97">
        <f>'09'!AD6</f>
        <v>0</v>
      </c>
      <c r="K3" s="97">
        <f>'10'!AD6</f>
        <v>0</v>
      </c>
      <c r="L3" s="97">
        <f>'11'!AD6</f>
        <v>0</v>
      </c>
      <c r="M3" s="97">
        <f>'12'!AD6</f>
        <v>0</v>
      </c>
      <c r="N3" s="115"/>
      <c r="O3" s="97">
        <f>'14'!AD6</f>
        <v>0</v>
      </c>
      <c r="P3" s="97">
        <f>'15'!AD6</f>
        <v>0</v>
      </c>
      <c r="Q3" s="97">
        <f>'16'!AD6</f>
        <v>0</v>
      </c>
      <c r="R3" s="97">
        <f>'17'!AD6</f>
        <v>0</v>
      </c>
      <c r="S3" s="97">
        <f>'18'!AD6</f>
        <v>0</v>
      </c>
      <c r="T3" s="97">
        <f>'19'!AD6</f>
        <v>0</v>
      </c>
      <c r="U3" s="97">
        <f>'20'!AD6</f>
        <v>0</v>
      </c>
      <c r="V3" s="97">
        <f>'21'!AD6</f>
        <v>0</v>
      </c>
      <c r="W3" s="115"/>
      <c r="X3" s="97">
        <f>'23'!AD6</f>
        <v>0</v>
      </c>
      <c r="Y3" s="97">
        <f>'24'!AD6</f>
        <v>0</v>
      </c>
      <c r="Z3" s="97">
        <f>'25'!AD6</f>
        <v>0</v>
      </c>
      <c r="AA3" s="97">
        <f>'26'!AD6</f>
        <v>0</v>
      </c>
      <c r="AB3" s="97">
        <f>'27'!AD6</f>
        <v>0</v>
      </c>
      <c r="AC3" s="97">
        <f>'28'!AD6</f>
        <v>0</v>
      </c>
      <c r="AD3" s="97"/>
      <c r="AE3" s="97">
        <f>'30'!AD6</f>
        <v>0</v>
      </c>
      <c r="AF3" s="98"/>
      <c r="AG3" s="100">
        <f>SUM(B3:AF3)/30</f>
        <v>0</v>
      </c>
    </row>
    <row r="4" spans="1:33" ht="21.75" customHeight="1">
      <c r="A4" s="110" t="s">
        <v>61</v>
      </c>
      <c r="B4" s="105"/>
      <c r="C4" s="105">
        <f>'02'!AD7</f>
        <v>0</v>
      </c>
      <c r="D4" s="74">
        <f>'03'!AD7</f>
        <v>0</v>
      </c>
      <c r="E4" s="74">
        <f>'04'!AD7</f>
        <v>0</v>
      </c>
      <c r="F4" s="74">
        <f>'05'!AD7</f>
        <v>0</v>
      </c>
      <c r="G4" s="74">
        <f>'06'!AD7</f>
        <v>0</v>
      </c>
      <c r="H4" s="74">
        <f>'07'!AD7</f>
        <v>0</v>
      </c>
      <c r="I4" s="74">
        <f>'08'!AD7</f>
        <v>0</v>
      </c>
      <c r="J4" s="74">
        <f>'09'!AD7</f>
        <v>0</v>
      </c>
      <c r="K4" s="74">
        <f>'10'!AD7</f>
        <v>0</v>
      </c>
      <c r="L4" s="74">
        <f>'11'!AD7</f>
        <v>0</v>
      </c>
      <c r="M4" s="74">
        <f>'12'!AD7</f>
        <v>0</v>
      </c>
      <c r="N4" s="74"/>
      <c r="O4" s="74">
        <f>'14'!AD7</f>
        <v>0</v>
      </c>
      <c r="P4" s="74">
        <f>'15'!AD7</f>
        <v>0</v>
      </c>
      <c r="Q4" s="74">
        <f>'16'!AD7</f>
        <v>0</v>
      </c>
      <c r="R4" s="74">
        <f>'17'!AD7</f>
        <v>0</v>
      </c>
      <c r="S4" s="74">
        <f>'18'!AD7</f>
        <v>0</v>
      </c>
      <c r="T4" s="74">
        <f>'19'!AD7</f>
        <v>0</v>
      </c>
      <c r="U4" s="74">
        <f>'20'!AD7</f>
        <v>0</v>
      </c>
      <c r="V4" s="74">
        <f>'21'!AD7</f>
        <v>0</v>
      </c>
      <c r="W4" s="74"/>
      <c r="X4" s="74">
        <f>'23'!AD7</f>
        <v>0</v>
      </c>
      <c r="Y4" s="74">
        <f>'24'!AD7</f>
        <v>0</v>
      </c>
      <c r="Z4" s="74">
        <f>'25'!AD7</f>
        <v>0</v>
      </c>
      <c r="AA4" s="74">
        <f>'26'!AD7</f>
        <v>0</v>
      </c>
      <c r="AB4" s="74">
        <f>'27'!AD7</f>
        <v>0</v>
      </c>
      <c r="AC4" s="74">
        <f>'28'!AD7</f>
        <v>0</v>
      </c>
      <c r="AD4" s="74"/>
      <c r="AE4" s="74">
        <f>'30'!AD7</f>
        <v>0</v>
      </c>
      <c r="AF4" s="75"/>
      <c r="AG4" s="76">
        <f t="shared" ref="AG4:AG18" si="0">SUM(B4:AF4)/30</f>
        <v>0</v>
      </c>
    </row>
    <row r="5" spans="1:33" ht="21.75" customHeight="1">
      <c r="A5" s="111" t="s">
        <v>62</v>
      </c>
      <c r="B5" s="106"/>
      <c r="C5" s="106">
        <f>'02'!AD8</f>
        <v>0.875</v>
      </c>
      <c r="D5" s="77">
        <f>'03'!AD8</f>
        <v>1</v>
      </c>
      <c r="E5" s="77">
        <f>'04'!AD8</f>
        <v>0.91666666666666663</v>
      </c>
      <c r="F5" s="77">
        <f>'05'!AD8</f>
        <v>0.875</v>
      </c>
      <c r="G5" s="77">
        <f>'06'!AD8</f>
        <v>0</v>
      </c>
      <c r="H5" s="77">
        <f>'07'!AD8</f>
        <v>0.91666666666666663</v>
      </c>
      <c r="I5" s="77">
        <f>'08'!AD8</f>
        <v>0.45833333333333331</v>
      </c>
      <c r="J5" s="77">
        <f>'09'!AD8</f>
        <v>1</v>
      </c>
      <c r="K5" s="77">
        <f>'10'!AD8</f>
        <v>0.83333333333333337</v>
      </c>
      <c r="L5" s="77">
        <f>'11'!AD8</f>
        <v>0.75</v>
      </c>
      <c r="M5" s="77">
        <f>'12'!AD8</f>
        <v>0.41666666666666669</v>
      </c>
      <c r="N5" s="77"/>
      <c r="O5" s="77">
        <f>'14'!AD8</f>
        <v>0.5</v>
      </c>
      <c r="P5" s="77">
        <f>'15'!AD8</f>
        <v>0.45833333333333331</v>
      </c>
      <c r="Q5" s="77">
        <f>'16'!AD8</f>
        <v>1</v>
      </c>
      <c r="R5" s="77">
        <f>'17'!AD8</f>
        <v>1</v>
      </c>
      <c r="S5" s="77">
        <f>'18'!AD8</f>
        <v>1</v>
      </c>
      <c r="T5" s="77">
        <f>'19'!AD8</f>
        <v>1</v>
      </c>
      <c r="U5" s="77">
        <f>'20'!AD8</f>
        <v>1</v>
      </c>
      <c r="V5" s="77">
        <f>'21'!AD8</f>
        <v>0.45833333333333331</v>
      </c>
      <c r="W5" s="116"/>
      <c r="X5" s="77">
        <f>'23'!AD8</f>
        <v>1</v>
      </c>
      <c r="Y5" s="77">
        <f>'24'!AD8</f>
        <v>1</v>
      </c>
      <c r="Z5" s="77">
        <f>'25'!AD8</f>
        <v>1</v>
      </c>
      <c r="AA5" s="77">
        <f>'26'!AD8</f>
        <v>1</v>
      </c>
      <c r="AB5" s="77">
        <f>'27'!AD8</f>
        <v>1</v>
      </c>
      <c r="AC5" s="77">
        <f>'28'!AD8</f>
        <v>1</v>
      </c>
      <c r="AD5" s="77"/>
      <c r="AE5" s="77">
        <f>'30'!AD8</f>
        <v>0.875</v>
      </c>
      <c r="AF5" s="78"/>
      <c r="AG5" s="79">
        <f t="shared" si="0"/>
        <v>0.71111111111111114</v>
      </c>
    </row>
    <row r="6" spans="1:33" ht="21.75" customHeight="1">
      <c r="A6" s="112" t="s">
        <v>63</v>
      </c>
      <c r="B6" s="107"/>
      <c r="C6" s="107">
        <f>'02'!AD9</f>
        <v>0.875</v>
      </c>
      <c r="D6" s="80">
        <f>'03'!AD9</f>
        <v>0.375</v>
      </c>
      <c r="E6" s="80">
        <f>'04'!AD9</f>
        <v>0</v>
      </c>
      <c r="F6" s="80">
        <f>'05'!AD9</f>
        <v>0</v>
      </c>
      <c r="G6" s="80">
        <f>'06'!AD9</f>
        <v>0.25</v>
      </c>
      <c r="H6" s="80">
        <f>'07'!AD9</f>
        <v>0.66666666666666663</v>
      </c>
      <c r="I6" s="80">
        <f>'08'!AD9</f>
        <v>0.375</v>
      </c>
      <c r="J6" s="80">
        <f>'09'!AD9</f>
        <v>0.75</v>
      </c>
      <c r="K6" s="80">
        <f>'10'!AD9</f>
        <v>0.29166666666666669</v>
      </c>
      <c r="L6" s="80">
        <f>'11'!AD9</f>
        <v>0.75</v>
      </c>
      <c r="M6" s="80">
        <f>'12'!AD9</f>
        <v>0.16666666666666666</v>
      </c>
      <c r="N6" s="80"/>
      <c r="O6" s="80">
        <f>'14'!AD9</f>
        <v>0.375</v>
      </c>
      <c r="P6" s="80">
        <f>'15'!AD9</f>
        <v>0.45833333333333331</v>
      </c>
      <c r="Q6" s="80">
        <f>'16'!AD9</f>
        <v>0.875</v>
      </c>
      <c r="R6" s="80">
        <f>'17'!AD9</f>
        <v>0.16666666666666666</v>
      </c>
      <c r="S6" s="80">
        <f>'18'!AD9</f>
        <v>0.875</v>
      </c>
      <c r="T6" s="80">
        <f>'19'!AD9</f>
        <v>0.58333333333333337</v>
      </c>
      <c r="U6" s="80">
        <f>'20'!AD9</f>
        <v>0.33333333333333331</v>
      </c>
      <c r="V6" s="80">
        <f>'21'!AD9</f>
        <v>0.33333333333333331</v>
      </c>
      <c r="W6" s="80"/>
      <c r="X6" s="80">
        <f>'23'!AD9+'23'!AD10</f>
        <v>0.875</v>
      </c>
      <c r="Y6" s="80">
        <f>'24'!AD9+'24'!AD10</f>
        <v>0.91666666666666674</v>
      </c>
      <c r="Z6" s="80">
        <f>'25'!AD9</f>
        <v>0.625</v>
      </c>
      <c r="AA6" s="80">
        <f>'26'!AD9</f>
        <v>0.29166666666666669</v>
      </c>
      <c r="AB6" s="80">
        <f>'27'!AD9</f>
        <v>0.54166666666666663</v>
      </c>
      <c r="AC6" s="80">
        <f>'28'!AD9</f>
        <v>0.79166666666666663</v>
      </c>
      <c r="AD6" s="80"/>
      <c r="AE6" s="80">
        <f>'30'!AD9</f>
        <v>0.16666666666666666</v>
      </c>
      <c r="AF6" s="81"/>
      <c r="AG6" s="82">
        <f t="shared" si="0"/>
        <v>0.42361111111111099</v>
      </c>
    </row>
    <row r="7" spans="1:33" ht="21.75" customHeight="1">
      <c r="A7" s="112" t="s">
        <v>64</v>
      </c>
      <c r="B7" s="107"/>
      <c r="C7" s="107">
        <f>'02'!AD10</f>
        <v>0.875</v>
      </c>
      <c r="D7" s="80">
        <f>'03'!AD10</f>
        <v>1</v>
      </c>
      <c r="E7" s="80">
        <f>'04'!AD10</f>
        <v>1</v>
      </c>
      <c r="F7" s="80">
        <f>'05'!AD10</f>
        <v>0.70833333333333337</v>
      </c>
      <c r="G7" s="80">
        <f>'06'!AD10</f>
        <v>8.3333333333333329E-2</v>
      </c>
      <c r="H7" s="80">
        <f>'07'!AD10</f>
        <v>0</v>
      </c>
      <c r="I7" s="80">
        <f>'08'!AD10</f>
        <v>0</v>
      </c>
      <c r="J7" s="80">
        <f>'09'!AD10</f>
        <v>0</v>
      </c>
      <c r="K7" s="80">
        <f>'10'!AD10</f>
        <v>0.75</v>
      </c>
      <c r="L7" s="80">
        <f>'11'!AD10</f>
        <v>1</v>
      </c>
      <c r="M7" s="80">
        <f>'12'!AD10</f>
        <v>0.41666666666666669</v>
      </c>
      <c r="N7" s="80"/>
      <c r="O7" s="80">
        <f>'14'!AD10</f>
        <v>0</v>
      </c>
      <c r="P7" s="80">
        <f>'15'!AD10</f>
        <v>0</v>
      </c>
      <c r="Q7" s="80">
        <f>'16'!AD10</f>
        <v>0.75</v>
      </c>
      <c r="R7" s="80">
        <f>'17'!AD10</f>
        <v>0.54166666666666663</v>
      </c>
      <c r="S7" s="80">
        <f>'18'!AD10</f>
        <v>1</v>
      </c>
      <c r="T7" s="80">
        <f>'19'!AD10</f>
        <v>1</v>
      </c>
      <c r="U7" s="80">
        <f>'20'!AD10</f>
        <v>1</v>
      </c>
      <c r="V7" s="80">
        <f>'21'!AD10</f>
        <v>0.45833333333333331</v>
      </c>
      <c r="W7" s="80"/>
      <c r="X7" s="80">
        <f>'23'!AD11</f>
        <v>1</v>
      </c>
      <c r="Y7" s="80">
        <f>'24'!AD11+'24'!AD12+'24'!AD13</f>
        <v>0.70833333333333337</v>
      </c>
      <c r="Z7" s="80">
        <f>'25'!AD10+'25'!AD11+'25'!AD12</f>
        <v>0.5</v>
      </c>
      <c r="AA7" s="80">
        <f>'26'!AD10+'26'!AD11+'26'!AD12</f>
        <v>0.95833333333333337</v>
      </c>
      <c r="AB7" s="80">
        <f>'27'!AD10</f>
        <v>0.75</v>
      </c>
      <c r="AC7" s="80">
        <f>'28'!AD10+'28'!AD11+'28'!AD12+'28'!AD13</f>
        <v>0.60227404571295973</v>
      </c>
      <c r="AD7" s="80"/>
      <c r="AE7" s="80">
        <f>'30'!AD10+'30'!AD11</f>
        <v>0.41666666666666669</v>
      </c>
      <c r="AF7" s="81"/>
      <c r="AG7" s="82">
        <f t="shared" si="0"/>
        <v>0.51729802374598755</v>
      </c>
    </row>
    <row r="8" spans="1:33" ht="21.75" customHeight="1">
      <c r="A8" s="112" t="s">
        <v>65</v>
      </c>
      <c r="B8" s="107"/>
      <c r="C8" s="107">
        <f>'02'!AD11</f>
        <v>0</v>
      </c>
      <c r="D8" s="80">
        <f>'03'!AD11</f>
        <v>0.16666666666666666</v>
      </c>
      <c r="E8" s="80">
        <f>'04'!AD11</f>
        <v>0.33333333333333331</v>
      </c>
      <c r="F8" s="80">
        <f>'05'!AD11</f>
        <v>0.16666666666666666</v>
      </c>
      <c r="G8" s="80">
        <f>'06'!AD11</f>
        <v>0.33333333333333331</v>
      </c>
      <c r="H8" s="80">
        <f>'07'!AD11</f>
        <v>1</v>
      </c>
      <c r="I8" s="80">
        <f>'08'!AD11</f>
        <v>0.45833333333333331</v>
      </c>
      <c r="J8" s="80">
        <f>'09'!AD11</f>
        <v>0.91666666666666663</v>
      </c>
      <c r="K8" s="80">
        <f>'10'!AD11</f>
        <v>0</v>
      </c>
      <c r="L8" s="80">
        <f>'11'!AD11</f>
        <v>0.375</v>
      </c>
      <c r="M8" s="80">
        <f>'12'!AD11</f>
        <v>0.16666666666666666</v>
      </c>
      <c r="N8" s="80"/>
      <c r="O8" s="80">
        <f>'14'!AD11</f>
        <v>0.16666666666666666</v>
      </c>
      <c r="P8" s="80">
        <f>'15'!AD11</f>
        <v>0.41666666666666669</v>
      </c>
      <c r="Q8" s="80">
        <f>'16'!AD11</f>
        <v>0.58333333333333337</v>
      </c>
      <c r="R8" s="80">
        <f>'17'!AD11</f>
        <v>0.58333333333333337</v>
      </c>
      <c r="S8" s="80">
        <f>'18'!AD11</f>
        <v>0.95833333333333337</v>
      </c>
      <c r="T8" s="80">
        <f>'19'!AD11</f>
        <v>1</v>
      </c>
      <c r="U8" s="80">
        <f>'20'!AD11</f>
        <v>0.70833333333333337</v>
      </c>
      <c r="V8" s="80">
        <f>'21'!AD11</f>
        <v>0.45833333333333331</v>
      </c>
      <c r="W8" s="80"/>
      <c r="X8" s="80">
        <f>'23'!AD12</f>
        <v>1</v>
      </c>
      <c r="Y8" s="80">
        <f>'24'!AD14</f>
        <v>1</v>
      </c>
      <c r="Z8" s="80">
        <f>'25'!AD13</f>
        <v>1</v>
      </c>
      <c r="AA8" s="80">
        <f>'26'!AD13</f>
        <v>1</v>
      </c>
      <c r="AB8" s="80">
        <f>'27'!AD11+'27'!AD12</f>
        <v>0.95833333333333337</v>
      </c>
      <c r="AC8" s="80">
        <f>'28'!AD14</f>
        <v>0.66666666666666663</v>
      </c>
      <c r="AD8" s="80"/>
      <c r="AE8" s="80">
        <f>'30'!AD12</f>
        <v>0</v>
      </c>
      <c r="AF8" s="81"/>
      <c r="AG8" s="82">
        <f t="shared" si="0"/>
        <v>0.48055555555555551</v>
      </c>
    </row>
    <row r="9" spans="1:33" ht="21.75" customHeight="1">
      <c r="A9" s="112" t="s">
        <v>66</v>
      </c>
      <c r="B9" s="107"/>
      <c r="C9" s="107">
        <f>'02'!AD12</f>
        <v>0</v>
      </c>
      <c r="D9" s="80">
        <f>'03'!AD12</f>
        <v>0.75</v>
      </c>
      <c r="E9" s="80">
        <f>'04'!AD12</f>
        <v>0.25</v>
      </c>
      <c r="F9" s="80">
        <f>'05'!AD12</f>
        <v>0</v>
      </c>
      <c r="G9" s="80">
        <f>'06'!AD12</f>
        <v>0.58333333333333337</v>
      </c>
      <c r="H9" s="80">
        <f>'07'!AD12</f>
        <v>1</v>
      </c>
      <c r="I9" s="80">
        <f>'08'!AD12</f>
        <v>0.29166666666666669</v>
      </c>
      <c r="J9" s="80">
        <f>'09'!AD12</f>
        <v>0</v>
      </c>
      <c r="K9" s="80">
        <f>'10'!AD12</f>
        <v>0.83333333333333337</v>
      </c>
      <c r="L9" s="80">
        <f>'11'!AD12</f>
        <v>0.33333333333333331</v>
      </c>
      <c r="M9" s="80">
        <f>'12'!AD12</f>
        <v>0.20833333333333334</v>
      </c>
      <c r="N9" s="80"/>
      <c r="O9" s="80">
        <f>'14'!AD12</f>
        <v>0.5</v>
      </c>
      <c r="P9" s="80">
        <f>'15'!AD12</f>
        <v>0.41666666666666669</v>
      </c>
      <c r="Q9" s="80">
        <f>'16'!AD12</f>
        <v>0.70833333333333337</v>
      </c>
      <c r="R9" s="80">
        <f>'17'!AD12</f>
        <v>0.79166666666666663</v>
      </c>
      <c r="S9" s="80">
        <f>'18'!AD12</f>
        <v>0.79166666666666663</v>
      </c>
      <c r="T9" s="80">
        <f>'19'!AD12</f>
        <v>1</v>
      </c>
      <c r="U9" s="80">
        <f>'20'!AD12</f>
        <v>0.45833333333333331</v>
      </c>
      <c r="V9" s="80">
        <f>'21'!AD12</f>
        <v>0.45833333333333331</v>
      </c>
      <c r="W9" s="80"/>
      <c r="X9" s="80">
        <f>'23'!AD13</f>
        <v>0.58333333333333337</v>
      </c>
      <c r="Y9" s="80">
        <f>'24'!AD15</f>
        <v>0.875</v>
      </c>
      <c r="Z9" s="80">
        <f>'25'!AD14</f>
        <v>0.66666666666666663</v>
      </c>
      <c r="AA9" s="80">
        <f>'26'!AD14</f>
        <v>0.79166666666666663</v>
      </c>
      <c r="AB9" s="80">
        <f>'27'!AD13</f>
        <v>1</v>
      </c>
      <c r="AC9" s="80">
        <f>'28'!AD15</f>
        <v>1</v>
      </c>
      <c r="AD9" s="80"/>
      <c r="AE9" s="80">
        <f>'30'!AD13</f>
        <v>0.29166666666666669</v>
      </c>
      <c r="AF9" s="81"/>
      <c r="AG9" s="82">
        <f t="shared" si="0"/>
        <v>0.4861111111111111</v>
      </c>
    </row>
    <row r="10" spans="1:33" ht="21.75" customHeight="1">
      <c r="A10" s="112" t="s">
        <v>67</v>
      </c>
      <c r="B10" s="107"/>
      <c r="C10" s="107">
        <f>'02'!AD13</f>
        <v>0.33333333333333331</v>
      </c>
      <c r="D10" s="80">
        <f>'03'!AD13</f>
        <v>0.41666666666666669</v>
      </c>
      <c r="E10" s="80">
        <f>'04'!AD13+'04'!AD14</f>
        <v>0.875</v>
      </c>
      <c r="F10" s="80">
        <f>'05'!AD13</f>
        <v>0.95833333333333337</v>
      </c>
      <c r="G10" s="80">
        <f>'06'!AD13+'06'!AD14</f>
        <v>0.91666666666666674</v>
      </c>
      <c r="H10" s="80">
        <f>'07'!AD13</f>
        <v>0.5</v>
      </c>
      <c r="I10" s="80">
        <f>'08'!AD13</f>
        <v>0</v>
      </c>
      <c r="J10" s="80">
        <f>'09'!AD13</f>
        <v>0</v>
      </c>
      <c r="K10" s="80">
        <f>'10'!AD13</f>
        <v>0</v>
      </c>
      <c r="L10" s="80">
        <f>'11'!AD13</f>
        <v>0.625</v>
      </c>
      <c r="M10" s="80">
        <f>'12'!AD13</f>
        <v>0.5</v>
      </c>
      <c r="N10" s="80"/>
      <c r="O10" s="80">
        <f>'14'!AD13</f>
        <v>0</v>
      </c>
      <c r="P10" s="80">
        <f>'15'!AD13</f>
        <v>0</v>
      </c>
      <c r="Q10" s="80">
        <f>'16'!AD13</f>
        <v>0.20833333333333334</v>
      </c>
      <c r="R10" s="80">
        <f>'17'!AD13</f>
        <v>0.16666666666666666</v>
      </c>
      <c r="S10" s="80">
        <f>'18'!AD13</f>
        <v>0.79166666666666663</v>
      </c>
      <c r="T10" s="80">
        <f>'19'!AD13+'19'!AD14</f>
        <v>0.79166666666666674</v>
      </c>
      <c r="U10" s="80">
        <f>'20'!AD13+'20'!AD14+'20'!AD15</f>
        <v>0.875</v>
      </c>
      <c r="V10" s="80">
        <f>'21'!AD13+'21'!AD14</f>
        <v>0.41666666666666669</v>
      </c>
      <c r="W10" s="80"/>
      <c r="X10" s="80">
        <f>'23'!AD14+'23'!AD15</f>
        <v>0.41666666666666663</v>
      </c>
      <c r="Y10" s="80">
        <f>'24'!AD16</f>
        <v>0</v>
      </c>
      <c r="Z10" s="80">
        <f>'25'!AD15</f>
        <v>0.58333333333333337</v>
      </c>
      <c r="AA10" s="80">
        <f>'26'!AD15</f>
        <v>0.45833333333333331</v>
      </c>
      <c r="AB10" s="80">
        <f>'27'!AD14</f>
        <v>0.83333333333333337</v>
      </c>
      <c r="AC10" s="80">
        <f>'28'!AD16</f>
        <v>0.29166666666666669</v>
      </c>
      <c r="AD10" s="80"/>
      <c r="AE10" s="80">
        <f>'30'!AD14</f>
        <v>0.54166666666666663</v>
      </c>
      <c r="AF10" s="81"/>
      <c r="AG10" s="82">
        <f t="shared" si="0"/>
        <v>0.38333333333333336</v>
      </c>
    </row>
    <row r="11" spans="1:33" ht="21.75" customHeight="1">
      <c r="A11" s="119" t="s">
        <v>68</v>
      </c>
      <c r="B11" s="120"/>
      <c r="C11" s="120">
        <f>'02'!AD14</f>
        <v>0</v>
      </c>
      <c r="D11" s="121">
        <f>'03'!AD14</f>
        <v>0.33333333333333331</v>
      </c>
      <c r="E11" s="121">
        <f>'04'!AD15</f>
        <v>0.29166666666666669</v>
      </c>
      <c r="F11" s="121">
        <f>'05'!AD14</f>
        <v>0.58333333333333337</v>
      </c>
      <c r="G11" s="121">
        <f>'06'!AD15</f>
        <v>0</v>
      </c>
      <c r="H11" s="121">
        <f>'07'!AD14</f>
        <v>0</v>
      </c>
      <c r="I11" s="121">
        <f>'08'!AD14</f>
        <v>0</v>
      </c>
      <c r="J11" s="121">
        <f>'09'!AD14</f>
        <v>0</v>
      </c>
      <c r="K11" s="121">
        <f>'10'!AD14</f>
        <v>0</v>
      </c>
      <c r="L11" s="121">
        <f>'11'!AD14</f>
        <v>0</v>
      </c>
      <c r="M11" s="121">
        <f>'12'!AD14</f>
        <v>0</v>
      </c>
      <c r="N11" s="121"/>
      <c r="O11" s="121">
        <f>'14'!AD14</f>
        <v>0</v>
      </c>
      <c r="P11" s="121">
        <f>'15'!AD14</f>
        <v>0</v>
      </c>
      <c r="Q11" s="121">
        <f>'16'!AD14</f>
        <v>0</v>
      </c>
      <c r="R11" s="121">
        <f>'17'!AD14</f>
        <v>0</v>
      </c>
      <c r="S11" s="121">
        <f>'18'!AD14</f>
        <v>0</v>
      </c>
      <c r="T11" s="121">
        <f>'19'!AD15</f>
        <v>0</v>
      </c>
      <c r="U11" s="121">
        <f>'20'!AD16</f>
        <v>0</v>
      </c>
      <c r="V11" s="121">
        <f>'21'!AD15</f>
        <v>0</v>
      </c>
      <c r="W11" s="121"/>
      <c r="X11" s="121">
        <f>'23'!AD16</f>
        <v>0</v>
      </c>
      <c r="Y11" s="121">
        <f>'24'!AD17</f>
        <v>0</v>
      </c>
      <c r="Z11" s="121">
        <f>'25'!AD16</f>
        <v>0</v>
      </c>
      <c r="AA11" s="121">
        <f>'26'!AD16</f>
        <v>0</v>
      </c>
      <c r="AB11" s="121">
        <f>'27'!AD15</f>
        <v>0</v>
      </c>
      <c r="AC11" s="121">
        <f>'28'!AD17</f>
        <v>0</v>
      </c>
      <c r="AD11" s="121"/>
      <c r="AE11" s="121">
        <f>'30'!AD15</f>
        <v>0</v>
      </c>
      <c r="AF11" s="122"/>
      <c r="AG11" s="123">
        <f t="shared" si="0"/>
        <v>4.027777777777778E-2</v>
      </c>
    </row>
    <row r="12" spans="1:33" ht="21.75" customHeight="1">
      <c r="A12" s="111" t="s">
        <v>69</v>
      </c>
      <c r="B12" s="106"/>
      <c r="C12" s="106">
        <f>'02'!AD15</f>
        <v>0</v>
      </c>
      <c r="D12" s="77">
        <f>'03'!AD15</f>
        <v>0</v>
      </c>
      <c r="E12" s="77">
        <f>'04'!AD16</f>
        <v>0</v>
      </c>
      <c r="F12" s="77">
        <f>'05'!AD15</f>
        <v>0</v>
      </c>
      <c r="G12" s="77">
        <f>'06'!AD16</f>
        <v>0</v>
      </c>
      <c r="H12" s="77">
        <f>'07'!AD15</f>
        <v>0</v>
      </c>
      <c r="I12" s="77">
        <f>'08'!AD15</f>
        <v>0</v>
      </c>
      <c r="J12" s="77">
        <f>'09'!AD15</f>
        <v>0</v>
      </c>
      <c r="K12" s="77">
        <f>'10'!AD15</f>
        <v>0</v>
      </c>
      <c r="L12" s="77">
        <f>'11'!AD15</f>
        <v>0</v>
      </c>
      <c r="M12" s="77">
        <f>'12'!AD15</f>
        <v>0</v>
      </c>
      <c r="N12" s="77"/>
      <c r="O12" s="77">
        <f>'14'!AD15</f>
        <v>0</v>
      </c>
      <c r="P12" s="77">
        <f>'15'!AD15</f>
        <v>0</v>
      </c>
      <c r="Q12" s="77">
        <f>'16'!AD15</f>
        <v>0</v>
      </c>
      <c r="R12" s="77">
        <f>'17'!AD15</f>
        <v>0</v>
      </c>
      <c r="S12" s="77">
        <f>'18'!AD15</f>
        <v>0</v>
      </c>
      <c r="T12" s="77">
        <f>'19'!AD16</f>
        <v>0.33333333333333331</v>
      </c>
      <c r="U12" s="77">
        <f>'20'!AD17</f>
        <v>0</v>
      </c>
      <c r="V12" s="77">
        <f>'21'!AD16</f>
        <v>0</v>
      </c>
      <c r="W12" s="77"/>
      <c r="X12" s="77">
        <f>'23'!AD17+'23'!AD18</f>
        <v>0.45833333333333337</v>
      </c>
      <c r="Y12" s="77">
        <f>'24'!AD18</f>
        <v>0</v>
      </c>
      <c r="Z12" s="77">
        <f>'25'!AD17+'25'!AD18</f>
        <v>0.375</v>
      </c>
      <c r="AA12" s="77">
        <f>'26'!AD17</f>
        <v>0</v>
      </c>
      <c r="AB12" s="77">
        <f>'27'!AD16</f>
        <v>0</v>
      </c>
      <c r="AC12" s="77">
        <f>'28'!AD18</f>
        <v>0.125</v>
      </c>
      <c r="AD12" s="77"/>
      <c r="AE12" s="77">
        <f>'30'!AD16</f>
        <v>0</v>
      </c>
      <c r="AF12" s="78"/>
      <c r="AG12" s="79">
        <f t="shared" si="0"/>
        <v>4.3055555555555555E-2</v>
      </c>
    </row>
    <row r="13" spans="1:33" ht="21.75" customHeight="1">
      <c r="A13" s="111" t="s">
        <v>70</v>
      </c>
      <c r="B13" s="106"/>
      <c r="C13" s="106">
        <f>'02'!AD16</f>
        <v>0</v>
      </c>
      <c r="D13" s="77">
        <f>'03'!AD16</f>
        <v>0</v>
      </c>
      <c r="E13" s="77">
        <f>'04'!AD17</f>
        <v>0</v>
      </c>
      <c r="F13" s="77">
        <f>'05'!AD16</f>
        <v>0</v>
      </c>
      <c r="G13" s="77">
        <f>'06'!AD17</f>
        <v>0</v>
      </c>
      <c r="H13" s="77">
        <f>'07'!AD16</f>
        <v>0</v>
      </c>
      <c r="I13" s="77">
        <f>'08'!AD16</f>
        <v>0</v>
      </c>
      <c r="J13" s="77">
        <f>'09'!AD16</f>
        <v>0</v>
      </c>
      <c r="K13" s="77">
        <f>'10'!AD16</f>
        <v>0</v>
      </c>
      <c r="L13" s="77">
        <f>'11'!AD16</f>
        <v>0</v>
      </c>
      <c r="M13" s="77">
        <f>'12'!AD16</f>
        <v>0</v>
      </c>
      <c r="N13" s="77"/>
      <c r="O13" s="77">
        <f>'14'!AD16</f>
        <v>0</v>
      </c>
      <c r="P13" s="77">
        <f>'15'!AD16</f>
        <v>0</v>
      </c>
      <c r="Q13" s="77">
        <f>'16'!AD16</f>
        <v>0</v>
      </c>
      <c r="R13" s="77">
        <f>'17'!AD16</f>
        <v>0</v>
      </c>
      <c r="S13" s="77">
        <f>'18'!AD16</f>
        <v>0</v>
      </c>
      <c r="T13" s="77">
        <f>'19'!AD17</f>
        <v>0</v>
      </c>
      <c r="U13" s="77">
        <f>'20'!AD18</f>
        <v>0</v>
      </c>
      <c r="V13" s="77">
        <f>'21'!AD17</f>
        <v>0</v>
      </c>
      <c r="W13" s="77"/>
      <c r="X13" s="77">
        <f>'23'!AD19</f>
        <v>0</v>
      </c>
      <c r="Y13" s="77">
        <f>'24'!AD19</f>
        <v>0</v>
      </c>
      <c r="Z13" s="77">
        <f>'25'!AD19</f>
        <v>0</v>
      </c>
      <c r="AA13" s="77">
        <f>'26'!AD18</f>
        <v>0.54166666666666663</v>
      </c>
      <c r="AB13" s="77">
        <f>'27'!AD17</f>
        <v>1</v>
      </c>
      <c r="AC13" s="77">
        <f>'28'!AD19</f>
        <v>1</v>
      </c>
      <c r="AD13" s="77"/>
      <c r="AE13" s="77">
        <f>'30'!AD17</f>
        <v>1</v>
      </c>
      <c r="AF13" s="78"/>
      <c r="AG13" s="79">
        <f t="shared" si="0"/>
        <v>0.11805555555555555</v>
      </c>
    </row>
    <row r="14" spans="1:33" ht="21.75" customHeight="1">
      <c r="A14" s="111" t="s">
        <v>71</v>
      </c>
      <c r="B14" s="106"/>
      <c r="C14" s="106">
        <f>'02'!AD17</f>
        <v>1</v>
      </c>
      <c r="D14" s="77">
        <f>'03'!AD17</f>
        <v>1</v>
      </c>
      <c r="E14" s="77">
        <f>'04'!AD18</f>
        <v>1</v>
      </c>
      <c r="F14" s="77">
        <f>'05'!AD17</f>
        <v>1</v>
      </c>
      <c r="G14" s="77">
        <f>'06'!AD18</f>
        <v>1</v>
      </c>
      <c r="H14" s="77">
        <f>'07'!AD17</f>
        <v>0.79166666666666663</v>
      </c>
      <c r="I14" s="77">
        <f>'08'!AD17</f>
        <v>0</v>
      </c>
      <c r="J14" s="77">
        <f>'09'!AD17</f>
        <v>0.39103382259093811</v>
      </c>
      <c r="K14" s="77">
        <f>'10'!AD17</f>
        <v>0.74854166666666666</v>
      </c>
      <c r="L14" s="77">
        <f>'11'!AD17</f>
        <v>0</v>
      </c>
      <c r="M14" s="77">
        <f>'12'!AD17</f>
        <v>0</v>
      </c>
      <c r="N14" s="77"/>
      <c r="O14" s="77">
        <f>'14'!AD17</f>
        <v>0</v>
      </c>
      <c r="P14" s="77">
        <f>'15'!AD17</f>
        <v>0</v>
      </c>
      <c r="Q14" s="77">
        <f>'16'!AD17</f>
        <v>0</v>
      </c>
      <c r="R14" s="77">
        <f>'17'!AD17</f>
        <v>0</v>
      </c>
      <c r="S14" s="77">
        <f>'18'!AD17</f>
        <v>0.58333333333333337</v>
      </c>
      <c r="T14" s="77">
        <f>'19'!AD18+'19'!AD19</f>
        <v>0.875</v>
      </c>
      <c r="U14" s="77">
        <f>'20'!AD19</f>
        <v>0.45833333333333331</v>
      </c>
      <c r="V14" s="77">
        <f>'21'!AD18</f>
        <v>0</v>
      </c>
      <c r="W14" s="77"/>
      <c r="X14" s="77">
        <f>'23'!AD20</f>
        <v>0.95833333333333337</v>
      </c>
      <c r="Y14" s="77">
        <f>'24'!AD20</f>
        <v>0.75</v>
      </c>
      <c r="Z14" s="77">
        <f>'25'!AD20</f>
        <v>0.95833333333333337</v>
      </c>
      <c r="AA14" s="77">
        <f>'26'!AD19</f>
        <v>0.16666666666666666</v>
      </c>
      <c r="AB14" s="77">
        <f>'27'!AD18</f>
        <v>1</v>
      </c>
      <c r="AC14" s="77">
        <f>'28'!AD20</f>
        <v>1</v>
      </c>
      <c r="AD14" s="77"/>
      <c r="AE14" s="77">
        <f>'30'!AD18</f>
        <v>0.875</v>
      </c>
      <c r="AF14" s="78"/>
      <c r="AG14" s="79">
        <f t="shared" si="0"/>
        <v>0.48520807186414244</v>
      </c>
    </row>
    <row r="15" spans="1:33" ht="21.75" customHeight="1">
      <c r="A15" s="112" t="s">
        <v>72</v>
      </c>
      <c r="B15" s="107"/>
      <c r="C15" s="107">
        <f>'02'!AD18</f>
        <v>0.70833333333333337</v>
      </c>
      <c r="D15" s="80">
        <f>'03'!AD18</f>
        <v>1</v>
      </c>
      <c r="E15" s="80">
        <f>'04'!AD19</f>
        <v>1</v>
      </c>
      <c r="F15" s="80">
        <f>'05'!AD18</f>
        <v>1</v>
      </c>
      <c r="G15" s="80">
        <f>'06'!AD19</f>
        <v>1</v>
      </c>
      <c r="H15" s="80">
        <f>'07'!AD18</f>
        <v>1</v>
      </c>
      <c r="I15" s="80">
        <f>'08'!AD18</f>
        <v>0.45833333333333331</v>
      </c>
      <c r="J15" s="80">
        <f>'09'!AD18</f>
        <v>1</v>
      </c>
      <c r="K15" s="80">
        <f>'10'!AD18</f>
        <v>1</v>
      </c>
      <c r="L15" s="80">
        <f>'11'!AD18</f>
        <v>1</v>
      </c>
      <c r="M15" s="80">
        <f>'12'!AD18</f>
        <v>0.45833333333333331</v>
      </c>
      <c r="N15" s="80"/>
      <c r="O15" s="80">
        <f>'14'!AD18</f>
        <v>0.5</v>
      </c>
      <c r="P15" s="80">
        <f>'15'!AD18</f>
        <v>0.5</v>
      </c>
      <c r="Q15" s="80">
        <f>'16'!AD18</f>
        <v>0</v>
      </c>
      <c r="R15" s="80">
        <f>'17'!AD18</f>
        <v>0.41666666666666669</v>
      </c>
      <c r="S15" s="80">
        <f>'18'!AD18</f>
        <v>0.58333333333333337</v>
      </c>
      <c r="T15" s="80">
        <f>'19'!AD20+'19'!AD21</f>
        <v>0.625</v>
      </c>
      <c r="U15" s="80">
        <f>'20'!AD20+'20'!AD21</f>
        <v>0.91666666666666663</v>
      </c>
      <c r="V15" s="80">
        <f>'21'!AD19</f>
        <v>0.20833333333333334</v>
      </c>
      <c r="W15" s="80"/>
      <c r="X15" s="80">
        <f>'23'!AD21</f>
        <v>0.83333333333333337</v>
      </c>
      <c r="Y15" s="80">
        <f>'24'!AD21</f>
        <v>1</v>
      </c>
      <c r="Z15" s="80">
        <f>'25'!AD21</f>
        <v>1</v>
      </c>
      <c r="AA15" s="80">
        <f>'26'!AD20</f>
        <v>1</v>
      </c>
      <c r="AB15" s="80">
        <f>'27'!AD19+'27'!AD20</f>
        <v>0.875</v>
      </c>
      <c r="AC15" s="80">
        <f>'28'!AD21</f>
        <v>1</v>
      </c>
      <c r="AD15" s="80"/>
      <c r="AE15" s="80">
        <f>'30'!AD19</f>
        <v>1</v>
      </c>
      <c r="AF15" s="81"/>
      <c r="AG15" s="82">
        <f t="shared" si="0"/>
        <v>0.66944444444444451</v>
      </c>
    </row>
    <row r="16" spans="1:33" ht="21.75" customHeight="1">
      <c r="A16" s="112" t="s">
        <v>73</v>
      </c>
      <c r="B16" s="107"/>
      <c r="C16" s="107">
        <f>'02'!AD19</f>
        <v>0.875</v>
      </c>
      <c r="D16" s="80">
        <f>'03'!AD19</f>
        <v>0</v>
      </c>
      <c r="E16" s="80">
        <f>'04'!AD20</f>
        <v>0.58333333333333337</v>
      </c>
      <c r="F16" s="80">
        <f>'05'!AD19</f>
        <v>0.33333333333333331</v>
      </c>
      <c r="G16" s="80">
        <f>'06'!AD20</f>
        <v>0</v>
      </c>
      <c r="H16" s="80">
        <f>'07'!AD19</f>
        <v>0.875</v>
      </c>
      <c r="I16" s="80">
        <f>'08'!AD19</f>
        <v>0.45833333333333331</v>
      </c>
      <c r="J16" s="80">
        <f>'09'!AD19</f>
        <v>1</v>
      </c>
      <c r="K16" s="80">
        <f>'10'!AD19</f>
        <v>1</v>
      </c>
      <c r="L16" s="80">
        <f>'11'!AD19+'11'!AD20</f>
        <v>0.95833333333333337</v>
      </c>
      <c r="M16" s="80">
        <f>'12'!AD19</f>
        <v>0.41666666666666669</v>
      </c>
      <c r="N16" s="80"/>
      <c r="O16" s="80">
        <f>'14'!AD19</f>
        <v>0.5</v>
      </c>
      <c r="P16" s="80">
        <f>'15'!AD19</f>
        <v>0.5</v>
      </c>
      <c r="Q16" s="80">
        <f>'16'!AD19</f>
        <v>1</v>
      </c>
      <c r="R16" s="80">
        <f>'17'!AD19</f>
        <v>1</v>
      </c>
      <c r="S16" s="80">
        <f>'18'!AD19</f>
        <v>1</v>
      </c>
      <c r="T16" s="80">
        <f>'19'!AD22+'19'!AD23</f>
        <v>0.95833333333333326</v>
      </c>
      <c r="U16" s="80">
        <f>'20'!AD22</f>
        <v>1</v>
      </c>
      <c r="V16" s="80">
        <f>'21'!AD20</f>
        <v>0.45833333333333331</v>
      </c>
      <c r="W16" s="80"/>
      <c r="X16" s="80">
        <f>'23'!AD22</f>
        <v>1</v>
      </c>
      <c r="Y16" s="80">
        <f>'24'!AD22</f>
        <v>1</v>
      </c>
      <c r="Z16" s="80">
        <f>'25'!AD22</f>
        <v>1</v>
      </c>
      <c r="AA16" s="80">
        <f>'26'!AD21</f>
        <v>1</v>
      </c>
      <c r="AB16" s="80">
        <f>'27'!AD21</f>
        <v>1</v>
      </c>
      <c r="AC16" s="80">
        <f>'28'!AD22</f>
        <v>0.95833333333333337</v>
      </c>
      <c r="AD16" s="80"/>
      <c r="AE16" s="80">
        <f>'30'!AD20</f>
        <v>0.79166666666666663</v>
      </c>
      <c r="AF16" s="81"/>
      <c r="AG16" s="82">
        <f t="shared" si="0"/>
        <v>0.65555555555555556</v>
      </c>
    </row>
    <row r="17" spans="1:33" ht="21.75" customHeight="1" thickBot="1">
      <c r="A17" s="113" t="s">
        <v>111</v>
      </c>
      <c r="B17" s="108"/>
      <c r="C17" s="108">
        <f>'02'!AD20</f>
        <v>0.91666666666666663</v>
      </c>
      <c r="D17" s="83">
        <f>'03'!AD20</f>
        <v>1</v>
      </c>
      <c r="E17" s="83">
        <f>'04'!AD21</f>
        <v>0.20833333333333334</v>
      </c>
      <c r="F17" s="83">
        <f>'05'!AD20</f>
        <v>0</v>
      </c>
      <c r="G17" s="83">
        <f>'06'!AD21</f>
        <v>0</v>
      </c>
      <c r="H17" s="83">
        <f>'07'!AD20</f>
        <v>0</v>
      </c>
      <c r="I17" s="83">
        <f>'08'!AD20</f>
        <v>0</v>
      </c>
      <c r="J17" s="83">
        <f>'09'!AD20</f>
        <v>0</v>
      </c>
      <c r="K17" s="83">
        <f>'10'!AD20</f>
        <v>0</v>
      </c>
      <c r="L17" s="83">
        <f>'11'!AD21</f>
        <v>0</v>
      </c>
      <c r="M17" s="83">
        <f>'12'!AD20</f>
        <v>0</v>
      </c>
      <c r="N17" s="83"/>
      <c r="O17" s="83">
        <f>'14'!AD20</f>
        <v>0</v>
      </c>
      <c r="P17" s="83">
        <f>'15'!AD20</f>
        <v>0</v>
      </c>
      <c r="Q17" s="83">
        <f>'16'!AD20</f>
        <v>0</v>
      </c>
      <c r="R17" s="83">
        <f>'17'!AD20</f>
        <v>0</v>
      </c>
      <c r="S17" s="83">
        <f>'18'!AD20</f>
        <v>0</v>
      </c>
      <c r="T17" s="83">
        <f>'19'!AD24</f>
        <v>0</v>
      </c>
      <c r="U17" s="83">
        <f>'20'!AD23</f>
        <v>0</v>
      </c>
      <c r="V17" s="83">
        <f>'21'!AD21</f>
        <v>0</v>
      </c>
      <c r="W17" s="83"/>
      <c r="X17" s="83">
        <f>'23'!AD23</f>
        <v>0</v>
      </c>
      <c r="Y17" s="83">
        <f>'24'!AD23</f>
        <v>0</v>
      </c>
      <c r="Z17" s="83">
        <f>'25'!AD23</f>
        <v>0</v>
      </c>
      <c r="AA17" s="83">
        <f>'26'!AD22</f>
        <v>0.58333333333333337</v>
      </c>
      <c r="AB17" s="83">
        <f>'27'!AD22</f>
        <v>0.58333333333333337</v>
      </c>
      <c r="AC17" s="83">
        <f>'28'!AD23</f>
        <v>0.75</v>
      </c>
      <c r="AD17" s="83"/>
      <c r="AE17" s="83">
        <f>'30'!AD21</f>
        <v>1</v>
      </c>
      <c r="AF17" s="84"/>
      <c r="AG17" s="85">
        <f t="shared" si="0"/>
        <v>0.16805555555555557</v>
      </c>
    </row>
    <row r="18" spans="1:33" s="86" customFormat="1" ht="21.75" customHeight="1">
      <c r="A18" s="90" t="s">
        <v>105</v>
      </c>
      <c r="B18" s="94"/>
      <c r="C18" s="94">
        <f>'02'!AD21</f>
        <v>0.43055555555555558</v>
      </c>
      <c r="D18" s="95">
        <f>'03'!AD21</f>
        <v>0.46944444444444439</v>
      </c>
      <c r="E18" s="95">
        <f>'04'!AD22</f>
        <v>0.43055555555555547</v>
      </c>
      <c r="F18" s="95">
        <f>'05'!AD21</f>
        <v>0.375</v>
      </c>
      <c r="G18" s="95">
        <f>'06'!AD22</f>
        <v>0.27777777777777773</v>
      </c>
      <c r="H18" s="95">
        <f>'07'!AD21</f>
        <v>0.45</v>
      </c>
      <c r="I18" s="95">
        <f>'08'!AD21</f>
        <v>0.16666666666666666</v>
      </c>
      <c r="J18" s="95">
        <f>'09'!AD21</f>
        <v>0.33718003261717366</v>
      </c>
      <c r="K18" s="95">
        <f>'10'!AD21</f>
        <v>0.36379166666666668</v>
      </c>
      <c r="L18" s="95">
        <f>'11'!AD22</f>
        <v>0.38611111111111113</v>
      </c>
      <c r="M18" s="95">
        <f>'12'!AD21</f>
        <v>0.18333333333333332</v>
      </c>
      <c r="N18" s="95"/>
      <c r="O18" s="95">
        <f>'14'!AD21</f>
        <v>0.16944444444444445</v>
      </c>
      <c r="P18" s="95">
        <f>'15'!AD21</f>
        <v>0.18333333333333332</v>
      </c>
      <c r="Q18" s="95">
        <f>'16'!AD21</f>
        <v>0.34166666666666667</v>
      </c>
      <c r="R18" s="95">
        <f>'17'!AD21</f>
        <v>0.31111111111111106</v>
      </c>
      <c r="S18" s="95">
        <f>'18'!AD21</f>
        <v>0.50555555555555554</v>
      </c>
      <c r="T18" s="95">
        <f>'19'!AD25</f>
        <v>0.54444444444444451</v>
      </c>
      <c r="U18" s="95">
        <f>'20'!AD24</f>
        <v>0.45</v>
      </c>
      <c r="V18" s="95">
        <f>'21'!AD22</f>
        <v>0.21666666666666667</v>
      </c>
      <c r="W18" s="95"/>
      <c r="X18" s="95">
        <f>'23'!AD24</f>
        <v>0.54166666666666663</v>
      </c>
      <c r="Y18" s="95">
        <f>'24'!AD24</f>
        <v>0.48333333333333334</v>
      </c>
      <c r="Z18" s="95">
        <f>'25'!AD24</f>
        <v>0.51388888888888884</v>
      </c>
      <c r="AA18" s="95">
        <f>'26'!AD23</f>
        <v>0.51944444444444449</v>
      </c>
      <c r="AB18" s="95">
        <f>'27'!AD23</f>
        <v>0.63611111111111107</v>
      </c>
      <c r="AC18" s="95">
        <f>'28'!AD24</f>
        <v>0.61237382526975281</v>
      </c>
      <c r="AD18" s="95"/>
      <c r="AE18" s="95">
        <f>'30'!AD22</f>
        <v>0.46388888888888891</v>
      </c>
      <c r="AF18" s="96"/>
      <c r="AG18" s="99">
        <f t="shared" si="0"/>
        <v>0.34544485081845305</v>
      </c>
    </row>
    <row r="19" spans="1:33" ht="21.75" customHeight="1" thickBot="1">
      <c r="A19" s="69" t="s">
        <v>109</v>
      </c>
      <c r="B19" s="70">
        <v>0.7</v>
      </c>
      <c r="C19" s="71">
        <v>0.7</v>
      </c>
      <c r="D19" s="71">
        <v>0.7</v>
      </c>
      <c r="E19" s="71">
        <v>0.7</v>
      </c>
      <c r="F19" s="71">
        <v>0.7</v>
      </c>
      <c r="G19" s="71">
        <v>0.7</v>
      </c>
      <c r="H19" s="71">
        <v>0.7</v>
      </c>
      <c r="I19" s="71">
        <v>0.7</v>
      </c>
      <c r="J19" s="71">
        <v>0.7</v>
      </c>
      <c r="K19" s="71">
        <v>0.7</v>
      </c>
      <c r="L19" s="71">
        <v>0.7</v>
      </c>
      <c r="M19" s="71">
        <v>0.7</v>
      </c>
      <c r="N19" s="71">
        <v>0.7</v>
      </c>
      <c r="O19" s="71">
        <v>0.7</v>
      </c>
      <c r="P19" s="71">
        <v>0.7</v>
      </c>
      <c r="Q19" s="71">
        <v>0.7</v>
      </c>
      <c r="R19" s="71">
        <v>0.7</v>
      </c>
      <c r="S19" s="71">
        <v>0.7</v>
      </c>
      <c r="T19" s="71">
        <v>0.7</v>
      </c>
      <c r="U19" s="71">
        <v>0.7</v>
      </c>
      <c r="V19" s="71">
        <v>0.7</v>
      </c>
      <c r="W19" s="71">
        <v>0.7</v>
      </c>
      <c r="X19" s="71">
        <v>0.7</v>
      </c>
      <c r="Y19" s="71">
        <v>0.7</v>
      </c>
      <c r="Z19" s="71">
        <v>0.7</v>
      </c>
      <c r="AA19" s="71">
        <v>0.7</v>
      </c>
      <c r="AB19" s="71">
        <v>0.7</v>
      </c>
      <c r="AC19" s="71">
        <v>0.7</v>
      </c>
      <c r="AD19" s="71">
        <v>0.7</v>
      </c>
      <c r="AE19" s="71">
        <v>0.7</v>
      </c>
      <c r="AF19" s="72">
        <v>0.7</v>
      </c>
      <c r="AG19" s="73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FAFB-95C4-472B-A6D6-7B5115CC4766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169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25" t="s">
        <v>17</v>
      </c>
      <c r="L5" s="125" t="s">
        <v>18</v>
      </c>
      <c r="M5" s="125" t="s">
        <v>19</v>
      </c>
      <c r="N5" s="12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0.43055555555555558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0.43055555555555558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138</v>
      </c>
      <c r="F8" s="30" t="s">
        <v>123</v>
      </c>
      <c r="G8" s="33">
        <v>1</v>
      </c>
      <c r="H8" s="35">
        <v>24</v>
      </c>
      <c r="I8" s="7">
        <v>40000</v>
      </c>
      <c r="J8" s="14">
        <v>4627</v>
      </c>
      <c r="K8" s="15">
        <f>L8+2529+4548+3870+3984+5602+3423+5313+4646</f>
        <v>38542</v>
      </c>
      <c r="L8" s="15">
        <f>3025+1602</f>
        <v>4627</v>
      </c>
      <c r="M8" s="15">
        <f t="shared" si="1"/>
        <v>4627</v>
      </c>
      <c r="N8" s="15">
        <v>0</v>
      </c>
      <c r="O8" s="58">
        <f t="shared" si="2"/>
        <v>0</v>
      </c>
      <c r="P8" s="39">
        <f t="shared" si="3"/>
        <v>21</v>
      </c>
      <c r="Q8" s="40">
        <f t="shared" si="4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0.875</v>
      </c>
      <c r="AD8" s="10">
        <f t="shared" si="7"/>
        <v>0.875</v>
      </c>
      <c r="AE8" s="36">
        <f t="shared" si="8"/>
        <v>0.43055555555555558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159</v>
      </c>
      <c r="F9" s="30" t="s">
        <v>127</v>
      </c>
      <c r="G9" s="33">
        <v>1</v>
      </c>
      <c r="H9" s="35">
        <v>24</v>
      </c>
      <c r="I9" s="7">
        <v>15000</v>
      </c>
      <c r="J9" s="14">
        <v>3875</v>
      </c>
      <c r="K9" s="15">
        <f>L9+1014+1697+4367+5989</f>
        <v>16942</v>
      </c>
      <c r="L9" s="15">
        <f>1361+2514</f>
        <v>3875</v>
      </c>
      <c r="M9" s="15">
        <f t="shared" si="1"/>
        <v>3875</v>
      </c>
      <c r="N9" s="15">
        <v>0</v>
      </c>
      <c r="O9" s="58">
        <f t="shared" si="2"/>
        <v>0</v>
      </c>
      <c r="P9" s="39">
        <f t="shared" si="3"/>
        <v>21</v>
      </c>
      <c r="Q9" s="40">
        <f t="shared" si="4"/>
        <v>3</v>
      </c>
      <c r="R9" s="7"/>
      <c r="S9" s="6"/>
      <c r="T9" s="16"/>
      <c r="U9" s="16"/>
      <c r="V9" s="17"/>
      <c r="W9" s="5">
        <v>3</v>
      </c>
      <c r="X9" s="16"/>
      <c r="Y9" s="16"/>
      <c r="Z9" s="16"/>
      <c r="AA9" s="18"/>
      <c r="AB9" s="8">
        <f t="shared" si="5"/>
        <v>1</v>
      </c>
      <c r="AC9" s="9">
        <f t="shared" si="6"/>
        <v>0.875</v>
      </c>
      <c r="AD9" s="10">
        <f t="shared" si="7"/>
        <v>0.875</v>
      </c>
      <c r="AE9" s="36">
        <f t="shared" si="8"/>
        <v>0.43055555555555558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154</v>
      </c>
      <c r="E10" s="53" t="s">
        <v>160</v>
      </c>
      <c r="F10" s="30" t="s">
        <v>127</v>
      </c>
      <c r="G10" s="33">
        <v>2</v>
      </c>
      <c r="H10" s="35">
        <v>24</v>
      </c>
      <c r="I10" s="7">
        <v>50000</v>
      </c>
      <c r="J10" s="5">
        <v>9750</v>
      </c>
      <c r="K10" s="15">
        <f>L10</f>
        <v>9750</v>
      </c>
      <c r="L10" s="15">
        <f>1697*2+3178*2</f>
        <v>9750</v>
      </c>
      <c r="M10" s="15">
        <f t="shared" si="1"/>
        <v>9750</v>
      </c>
      <c r="N10" s="15">
        <v>0</v>
      </c>
      <c r="O10" s="58">
        <f t="shared" si="2"/>
        <v>0</v>
      </c>
      <c r="P10" s="39">
        <f t="shared" si="3"/>
        <v>21</v>
      </c>
      <c r="Q10" s="40">
        <f t="shared" si="4"/>
        <v>3</v>
      </c>
      <c r="R10" s="7"/>
      <c r="S10" s="6"/>
      <c r="T10" s="16">
        <v>3</v>
      </c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0.875</v>
      </c>
      <c r="AD10" s="10">
        <f>AC10*AB10*(1-O10)</f>
        <v>0.875</v>
      </c>
      <c r="AE10" s="36">
        <f t="shared" si="8"/>
        <v>0.43055555555555558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124</v>
      </c>
      <c r="D11" s="52" t="s">
        <v>148</v>
      </c>
      <c r="E11" s="53" t="s">
        <v>155</v>
      </c>
      <c r="F11" s="30" t="s">
        <v>130</v>
      </c>
      <c r="G11" s="33">
        <v>1</v>
      </c>
      <c r="H11" s="35">
        <v>24</v>
      </c>
      <c r="I11" s="7">
        <v>1200</v>
      </c>
      <c r="J11" s="14">
        <v>1200</v>
      </c>
      <c r="K11" s="15">
        <f>L11+1200</f>
        <v>1200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ref="AD11" si="10">AC11*AB11*(1-O11)</f>
        <v>0</v>
      </c>
      <c r="AE11" s="36">
        <f t="shared" si="8"/>
        <v>0.43055555555555558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2343</v>
      </c>
      <c r="K12" s="15">
        <f>L12</f>
        <v>0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si="7"/>
        <v>0</v>
      </c>
      <c r="AE12" s="36">
        <f t="shared" si="8"/>
        <v>0.43055555555555558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133</v>
      </c>
      <c r="D13" s="52" t="s">
        <v>128</v>
      </c>
      <c r="E13" s="53" t="s">
        <v>167</v>
      </c>
      <c r="F13" s="30" t="s">
        <v>129</v>
      </c>
      <c r="G13" s="33">
        <v>1</v>
      </c>
      <c r="H13" s="35">
        <v>24</v>
      </c>
      <c r="I13" s="7">
        <v>1000</v>
      </c>
      <c r="J13" s="14">
        <v>1117</v>
      </c>
      <c r="K13" s="15">
        <f>L13</f>
        <v>1117</v>
      </c>
      <c r="L13" s="15">
        <f>797+320</f>
        <v>1117</v>
      </c>
      <c r="M13" s="15">
        <f t="shared" si="1"/>
        <v>1117</v>
      </c>
      <c r="N13" s="15">
        <v>0</v>
      </c>
      <c r="O13" s="58">
        <f t="shared" si="2"/>
        <v>0</v>
      </c>
      <c r="P13" s="39">
        <f t="shared" si="3"/>
        <v>8</v>
      </c>
      <c r="Q13" s="40">
        <f t="shared" si="4"/>
        <v>16</v>
      </c>
      <c r="R13" s="7"/>
      <c r="S13" s="6"/>
      <c r="T13" s="16"/>
      <c r="U13" s="16"/>
      <c r="V13" s="17"/>
      <c r="W13" s="5">
        <v>16</v>
      </c>
      <c r="X13" s="16"/>
      <c r="Y13" s="16"/>
      <c r="Z13" s="16"/>
      <c r="AA13" s="18"/>
      <c r="AB13" s="8">
        <f t="shared" si="5"/>
        <v>1</v>
      </c>
      <c r="AC13" s="9">
        <f t="shared" si="6"/>
        <v>0.33333333333333331</v>
      </c>
      <c r="AD13" s="10">
        <f t="shared" si="7"/>
        <v>0.33333333333333331</v>
      </c>
      <c r="AE13" s="36">
        <f t="shared" si="8"/>
        <v>0.43055555555555558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133</v>
      </c>
      <c r="D14" s="52" t="s">
        <v>149</v>
      </c>
      <c r="E14" s="53"/>
      <c r="F14" s="30" t="s">
        <v>144</v>
      </c>
      <c r="G14" s="12" t="s">
        <v>161</v>
      </c>
      <c r="H14" s="13">
        <v>28</v>
      </c>
      <c r="I14" s="7">
        <v>3000</v>
      </c>
      <c r="J14" s="5">
        <v>2946</v>
      </c>
      <c r="K14" s="15">
        <f>L14+2946</f>
        <v>2946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0.43055555555555558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0.43055555555555558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0.43055555555555558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124</v>
      </c>
      <c r="D17" s="52" t="s">
        <v>171</v>
      </c>
      <c r="E17" s="53" t="s">
        <v>172</v>
      </c>
      <c r="F17" s="30" t="s">
        <v>151</v>
      </c>
      <c r="G17" s="33">
        <v>1</v>
      </c>
      <c r="H17" s="35">
        <v>20</v>
      </c>
      <c r="I17" s="7">
        <v>25000</v>
      </c>
      <c r="J17" s="14">
        <v>5072</v>
      </c>
      <c r="K17" s="15">
        <f>L17</f>
        <v>5072</v>
      </c>
      <c r="L17" s="15">
        <f>2022+3050</f>
        <v>5072</v>
      </c>
      <c r="M17" s="15">
        <f t="shared" si="1"/>
        <v>5072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0.43055555555555558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125</v>
      </c>
      <c r="E18" s="53" t="s">
        <v>165</v>
      </c>
      <c r="F18" s="30" t="s">
        <v>127</v>
      </c>
      <c r="G18" s="33">
        <v>1</v>
      </c>
      <c r="H18" s="35">
        <v>24</v>
      </c>
      <c r="I18" s="7">
        <v>45500</v>
      </c>
      <c r="J18" s="5">
        <v>3412</v>
      </c>
      <c r="K18" s="15">
        <f>L18+5168+5602+5615+5497</f>
        <v>25294</v>
      </c>
      <c r="L18" s="15">
        <f>499+2913</f>
        <v>3412</v>
      </c>
      <c r="M18" s="15">
        <f t="shared" si="1"/>
        <v>3412</v>
      </c>
      <c r="N18" s="15">
        <v>0</v>
      </c>
      <c r="O18" s="58">
        <f t="shared" si="2"/>
        <v>0</v>
      </c>
      <c r="P18" s="39">
        <f t="shared" si="3"/>
        <v>17</v>
      </c>
      <c r="Q18" s="40">
        <f t="shared" si="4"/>
        <v>7</v>
      </c>
      <c r="R18" s="7"/>
      <c r="S18" s="6">
        <v>7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0.70833333333333337</v>
      </c>
      <c r="AD18" s="10">
        <f>AC18*AB18*(1-O18)</f>
        <v>0.70833333333333337</v>
      </c>
      <c r="AE18" s="36">
        <f t="shared" si="8"/>
        <v>0.43055555555555558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117</v>
      </c>
      <c r="E19" s="53" t="s">
        <v>166</v>
      </c>
      <c r="F19" s="30" t="s">
        <v>121</v>
      </c>
      <c r="G19" s="33">
        <v>1</v>
      </c>
      <c r="H19" s="35">
        <v>24</v>
      </c>
      <c r="I19" s="7">
        <v>45000</v>
      </c>
      <c r="J19" s="14">
        <v>4262</v>
      </c>
      <c r="K19" s="15">
        <f>L19+4853+5291+4951+5173</f>
        <v>24530</v>
      </c>
      <c r="L19" s="15">
        <f>2051+2211</f>
        <v>4262</v>
      </c>
      <c r="M19" s="15">
        <f t="shared" si="1"/>
        <v>4262</v>
      </c>
      <c r="N19" s="15">
        <v>0</v>
      </c>
      <c r="O19" s="58">
        <f t="shared" si="2"/>
        <v>0</v>
      </c>
      <c r="P19" s="39">
        <f t="shared" si="3"/>
        <v>21</v>
      </c>
      <c r="Q19" s="40">
        <f t="shared" si="4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0.875</v>
      </c>
      <c r="AD19" s="10">
        <f t="shared" ref="AD19:AD20" si="11">AC19*AB19*(1-O19)</f>
        <v>0.875</v>
      </c>
      <c r="AE19" s="36">
        <f t="shared" si="8"/>
        <v>0.43055555555555558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54642</v>
      </c>
      <c r="K20" s="15">
        <f>L20</f>
        <v>54642</v>
      </c>
      <c r="L20" s="15">
        <f>6938*3+11276*3</f>
        <v>54642</v>
      </c>
      <c r="M20" s="15">
        <f t="shared" si="1"/>
        <v>54642</v>
      </c>
      <c r="N20" s="15">
        <v>0</v>
      </c>
      <c r="O20" s="58">
        <f t="shared" si="2"/>
        <v>0</v>
      </c>
      <c r="P20" s="39">
        <f t="shared" si="3"/>
        <v>22</v>
      </c>
      <c r="Q20" s="40">
        <f t="shared" si="4"/>
        <v>2</v>
      </c>
      <c r="R20" s="7"/>
      <c r="S20" s="6"/>
      <c r="T20" s="16">
        <v>2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0.91666666666666663</v>
      </c>
      <c r="AD20" s="10">
        <f t="shared" si="11"/>
        <v>0.91666666666666663</v>
      </c>
      <c r="AE20" s="36">
        <f t="shared" si="8"/>
        <v>0.43055555555555558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615700</v>
      </c>
      <c r="J21" s="19">
        <f t="shared" si="12"/>
        <v>107243</v>
      </c>
      <c r="K21" s="20">
        <f t="shared" si="12"/>
        <v>236807</v>
      </c>
      <c r="L21" s="21">
        <f t="shared" si="12"/>
        <v>86757</v>
      </c>
      <c r="M21" s="20">
        <f t="shared" si="12"/>
        <v>86757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155</v>
      </c>
      <c r="Q21" s="43">
        <f t="shared" si="13"/>
        <v>205</v>
      </c>
      <c r="R21" s="23">
        <f t="shared" si="13"/>
        <v>48</v>
      </c>
      <c r="S21" s="24">
        <f t="shared" si="13"/>
        <v>37</v>
      </c>
      <c r="T21" s="24">
        <f t="shared" si="13"/>
        <v>5</v>
      </c>
      <c r="U21" s="24">
        <f t="shared" si="13"/>
        <v>0</v>
      </c>
      <c r="V21" s="25">
        <f t="shared" si="13"/>
        <v>24</v>
      </c>
      <c r="W21" s="26">
        <f t="shared" si="13"/>
        <v>91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0.53333333333333333</v>
      </c>
      <c r="AC21" s="4">
        <f>SUM(AC6:AC20)/15</f>
        <v>0.43055555555555558</v>
      </c>
      <c r="AD21" s="4">
        <f>SUM(AD6:AD20)/15</f>
        <v>0.43055555555555558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140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141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126" t="s">
        <v>46</v>
      </c>
      <c r="D50" s="126" t="s">
        <v>47</v>
      </c>
      <c r="E50" s="126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126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124</v>
      </c>
      <c r="B51" s="420"/>
      <c r="C51" s="128" t="s">
        <v>136</v>
      </c>
      <c r="D51" s="128" t="s">
        <v>122</v>
      </c>
      <c r="E51" s="128" t="s">
        <v>138</v>
      </c>
      <c r="F51" s="421" t="s">
        <v>126</v>
      </c>
      <c r="G51" s="422"/>
      <c r="H51" s="422"/>
      <c r="I51" s="422"/>
      <c r="J51" s="422"/>
      <c r="K51" s="422"/>
      <c r="L51" s="422"/>
      <c r="M51" s="423"/>
      <c r="N51" s="127" t="s">
        <v>114</v>
      </c>
      <c r="O51" s="132" t="s">
        <v>145</v>
      </c>
      <c r="P51" s="433" t="s">
        <v>117</v>
      </c>
      <c r="Q51" s="434"/>
      <c r="R51" s="420" t="s">
        <v>166</v>
      </c>
      <c r="S51" s="420"/>
      <c r="T51" s="420"/>
      <c r="U51" s="420"/>
      <c r="V51" s="410" t="s">
        <v>126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124</v>
      </c>
      <c r="B52" s="420"/>
      <c r="C52" s="128" t="s">
        <v>131</v>
      </c>
      <c r="D52" s="128" t="s">
        <v>154</v>
      </c>
      <c r="E52" s="128" t="s">
        <v>160</v>
      </c>
      <c r="F52" s="421" t="s">
        <v>120</v>
      </c>
      <c r="G52" s="422"/>
      <c r="H52" s="422"/>
      <c r="I52" s="422"/>
      <c r="J52" s="422"/>
      <c r="K52" s="422"/>
      <c r="L52" s="422"/>
      <c r="M52" s="423"/>
      <c r="N52" s="127" t="s">
        <v>124</v>
      </c>
      <c r="O52" s="132" t="s">
        <v>139</v>
      </c>
      <c r="P52" s="433" t="s">
        <v>117</v>
      </c>
      <c r="Q52" s="434"/>
      <c r="R52" s="420" t="s">
        <v>168</v>
      </c>
      <c r="S52" s="420"/>
      <c r="T52" s="420"/>
      <c r="U52" s="420"/>
      <c r="V52" s="410" t="s">
        <v>153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133</v>
      </c>
      <c r="B53" s="420"/>
      <c r="C53" s="128" t="s">
        <v>143</v>
      </c>
      <c r="D53" s="128" t="s">
        <v>173</v>
      </c>
      <c r="E53" s="128" t="s">
        <v>174</v>
      </c>
      <c r="F53" s="421" t="s">
        <v>120</v>
      </c>
      <c r="G53" s="422"/>
      <c r="H53" s="422"/>
      <c r="I53" s="422"/>
      <c r="J53" s="422"/>
      <c r="K53" s="422"/>
      <c r="L53" s="422"/>
      <c r="M53" s="423"/>
      <c r="N53" s="127" t="s">
        <v>124</v>
      </c>
      <c r="O53" s="132" t="s">
        <v>184</v>
      </c>
      <c r="P53" s="433" t="s">
        <v>185</v>
      </c>
      <c r="Q53" s="434"/>
      <c r="R53" s="420" t="s">
        <v>186</v>
      </c>
      <c r="S53" s="420"/>
      <c r="T53" s="420"/>
      <c r="U53" s="420"/>
      <c r="V53" s="410" t="s">
        <v>187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128" t="s">
        <v>135</v>
      </c>
      <c r="D54" s="128" t="s">
        <v>171</v>
      </c>
      <c r="E54" s="136" t="s">
        <v>172</v>
      </c>
      <c r="F54" s="421" t="s">
        <v>120</v>
      </c>
      <c r="G54" s="422"/>
      <c r="H54" s="422"/>
      <c r="I54" s="422"/>
      <c r="J54" s="422"/>
      <c r="K54" s="422"/>
      <c r="L54" s="422"/>
      <c r="M54" s="423"/>
      <c r="N54" s="127" t="s">
        <v>114</v>
      </c>
      <c r="O54" s="132" t="s">
        <v>188</v>
      </c>
      <c r="P54" s="433" t="s">
        <v>117</v>
      </c>
      <c r="Q54" s="434"/>
      <c r="R54" s="420" t="s">
        <v>189</v>
      </c>
      <c r="S54" s="420"/>
      <c r="T54" s="420"/>
      <c r="U54" s="420"/>
      <c r="V54" s="410" t="s">
        <v>187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175</v>
      </c>
      <c r="B55" s="420"/>
      <c r="C55" s="128" t="s">
        <v>176</v>
      </c>
      <c r="D55" s="128" t="s">
        <v>177</v>
      </c>
      <c r="E55" s="128" t="s">
        <v>178</v>
      </c>
      <c r="F55" s="421" t="s">
        <v>179</v>
      </c>
      <c r="G55" s="422"/>
      <c r="H55" s="422"/>
      <c r="I55" s="422"/>
      <c r="J55" s="422"/>
      <c r="K55" s="422"/>
      <c r="L55" s="422"/>
      <c r="M55" s="423"/>
      <c r="N55" s="127"/>
      <c r="O55" s="132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175</v>
      </c>
      <c r="B56" s="420"/>
      <c r="C56" s="128" t="s">
        <v>180</v>
      </c>
      <c r="D56" s="128" t="s">
        <v>181</v>
      </c>
      <c r="E56" s="128" t="s">
        <v>182</v>
      </c>
      <c r="F56" s="421" t="s">
        <v>183</v>
      </c>
      <c r="G56" s="422"/>
      <c r="H56" s="422"/>
      <c r="I56" s="422"/>
      <c r="J56" s="422"/>
      <c r="K56" s="422"/>
      <c r="L56" s="422"/>
      <c r="M56" s="423"/>
      <c r="N56" s="127"/>
      <c r="O56" s="132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128"/>
      <c r="D57" s="128"/>
      <c r="E57" s="128"/>
      <c r="F57" s="421"/>
      <c r="G57" s="422"/>
      <c r="H57" s="422"/>
      <c r="I57" s="422"/>
      <c r="J57" s="422"/>
      <c r="K57" s="422"/>
      <c r="L57" s="422"/>
      <c r="M57" s="423"/>
      <c r="N57" s="127"/>
      <c r="O57" s="132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128"/>
      <c r="D58" s="128"/>
      <c r="E58" s="128"/>
      <c r="F58" s="421"/>
      <c r="G58" s="422"/>
      <c r="H58" s="422"/>
      <c r="I58" s="422"/>
      <c r="J58" s="422"/>
      <c r="K58" s="422"/>
      <c r="L58" s="422"/>
      <c r="M58" s="423"/>
      <c r="N58" s="127"/>
      <c r="O58" s="132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28"/>
      <c r="D59" s="128"/>
      <c r="E59" s="128"/>
      <c r="F59" s="421"/>
      <c r="G59" s="422"/>
      <c r="H59" s="422"/>
      <c r="I59" s="422"/>
      <c r="J59" s="422"/>
      <c r="K59" s="422"/>
      <c r="L59" s="422"/>
      <c r="M59" s="423"/>
      <c r="N59" s="127"/>
      <c r="O59" s="132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129"/>
      <c r="D60" s="129"/>
      <c r="E60" s="129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142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130" t="s">
        <v>2</v>
      </c>
      <c r="D62" s="130" t="s">
        <v>37</v>
      </c>
      <c r="E62" s="130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130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/>
      <c r="D63" s="134"/>
      <c r="E63" s="131"/>
      <c r="F63" s="408"/>
      <c r="G63" s="400"/>
      <c r="H63" s="400"/>
      <c r="I63" s="400"/>
      <c r="J63" s="400"/>
      <c r="K63" s="400"/>
      <c r="L63" s="400"/>
      <c r="M63" s="51"/>
      <c r="N63" s="411"/>
      <c r="O63" s="411"/>
      <c r="P63" s="409"/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134"/>
      <c r="E64" s="131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134"/>
      <c r="E65" s="131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134"/>
      <c r="E66" s="131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134"/>
      <c r="E67" s="131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134"/>
      <c r="E68" s="131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134"/>
      <c r="E69" s="131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134"/>
      <c r="E70" s="131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146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133" t="s">
        <v>2</v>
      </c>
      <c r="D72" s="133" t="s">
        <v>37</v>
      </c>
      <c r="E72" s="133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135" t="s">
        <v>114</v>
      </c>
      <c r="D73" s="135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134"/>
      <c r="D74" s="134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134"/>
      <c r="D75" s="134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134"/>
      <c r="D76" s="134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134"/>
      <c r="D77" s="134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134"/>
      <c r="D78" s="134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134"/>
      <c r="D79" s="134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134"/>
      <c r="D80" s="134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134"/>
      <c r="D81" s="134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147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521A-1244-46E0-A6E7-235CBF171305}">
  <dimension ref="A1:AF86"/>
  <sheetViews>
    <sheetView zoomScale="72" zoomScaleNormal="72" zoomScaleSheetLayoutView="70" workbookViewId="0">
      <selection activeCell="F78" sqref="F78:J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190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37" t="s">
        <v>17</v>
      </c>
      <c r="L5" s="137" t="s">
        <v>18</v>
      </c>
      <c r="M5" s="137" t="s">
        <v>19</v>
      </c>
      <c r="N5" s="13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0.46944444444444439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0.46944444444444439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138</v>
      </c>
      <c r="F8" s="30" t="s">
        <v>123</v>
      </c>
      <c r="G8" s="33">
        <v>1</v>
      </c>
      <c r="H8" s="35">
        <v>24</v>
      </c>
      <c r="I8" s="7">
        <v>40000</v>
      </c>
      <c r="J8" s="14">
        <v>5788</v>
      </c>
      <c r="K8" s="15">
        <f>L8+2529+4548+3870+3984+5602+3423+5313+4646+4627</f>
        <v>44330</v>
      </c>
      <c r="L8" s="15">
        <f>2793+2995</f>
        <v>5788</v>
      </c>
      <c r="M8" s="15">
        <f t="shared" si="1"/>
        <v>5788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0.46944444444444439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1593</v>
      </c>
      <c r="K9" s="15">
        <f>L9</f>
        <v>1593</v>
      </c>
      <c r="L9" s="15">
        <f>249+1344</f>
        <v>1593</v>
      </c>
      <c r="M9" s="15">
        <f t="shared" si="1"/>
        <v>1593</v>
      </c>
      <c r="N9" s="15">
        <v>0</v>
      </c>
      <c r="O9" s="58">
        <f t="shared" si="2"/>
        <v>0</v>
      </c>
      <c r="P9" s="39">
        <f t="shared" si="3"/>
        <v>9</v>
      </c>
      <c r="Q9" s="40">
        <f t="shared" si="4"/>
        <v>15</v>
      </c>
      <c r="R9" s="7"/>
      <c r="S9" s="6">
        <v>15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0.375</v>
      </c>
      <c r="AD9" s="10">
        <f t="shared" si="7"/>
        <v>0.375</v>
      </c>
      <c r="AE9" s="36">
        <f t="shared" si="8"/>
        <v>0.46944444444444439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154</v>
      </c>
      <c r="E10" s="53" t="s">
        <v>160</v>
      </c>
      <c r="F10" s="30" t="s">
        <v>127</v>
      </c>
      <c r="G10" s="33">
        <v>2</v>
      </c>
      <c r="H10" s="35">
        <v>24</v>
      </c>
      <c r="I10" s="7">
        <v>50000</v>
      </c>
      <c r="J10" s="5">
        <v>12190</v>
      </c>
      <c r="K10" s="15">
        <f>L10+9750</f>
        <v>21940</v>
      </c>
      <c r="L10" s="15">
        <f>2943*2+3152*2</f>
        <v>12190</v>
      </c>
      <c r="M10" s="15">
        <f t="shared" si="1"/>
        <v>12190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0.46944444444444439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124</v>
      </c>
      <c r="D11" s="52" t="s">
        <v>192</v>
      </c>
      <c r="E11" s="53" t="s">
        <v>193</v>
      </c>
      <c r="F11" s="30" t="s">
        <v>194</v>
      </c>
      <c r="G11" s="33">
        <v>1</v>
      </c>
      <c r="H11" s="35">
        <v>24</v>
      </c>
      <c r="I11" s="7">
        <v>1200</v>
      </c>
      <c r="J11" s="14">
        <v>559</v>
      </c>
      <c r="K11" s="15">
        <f>L11</f>
        <v>559</v>
      </c>
      <c r="L11" s="15">
        <v>559</v>
      </c>
      <c r="M11" s="15">
        <f t="shared" si="1"/>
        <v>559</v>
      </c>
      <c r="N11" s="15">
        <v>0</v>
      </c>
      <c r="O11" s="58">
        <f t="shared" si="2"/>
        <v>0</v>
      </c>
      <c r="P11" s="39">
        <f t="shared" si="3"/>
        <v>4</v>
      </c>
      <c r="Q11" s="40">
        <f t="shared" si="4"/>
        <v>20</v>
      </c>
      <c r="R11" s="7"/>
      <c r="S11" s="6">
        <v>20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0.16666666666666666</v>
      </c>
      <c r="AD11" s="10">
        <f t="shared" ref="AD11" si="10">AC11*AB11*(1-O11)</f>
        <v>0.16666666666666666</v>
      </c>
      <c r="AE11" s="36">
        <f t="shared" si="8"/>
        <v>0.46944444444444439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3015</v>
      </c>
      <c r="K12" s="15">
        <f>L12</f>
        <v>3015</v>
      </c>
      <c r="L12" s="15">
        <f>840+2175</f>
        <v>3015</v>
      </c>
      <c r="M12" s="15">
        <f t="shared" si="1"/>
        <v>3015</v>
      </c>
      <c r="N12" s="15">
        <v>0</v>
      </c>
      <c r="O12" s="58">
        <f t="shared" si="2"/>
        <v>0</v>
      </c>
      <c r="P12" s="39">
        <f t="shared" si="3"/>
        <v>18</v>
      </c>
      <c r="Q12" s="40">
        <f t="shared" si="4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0.75</v>
      </c>
      <c r="AD12" s="10">
        <f t="shared" si="7"/>
        <v>0.75</v>
      </c>
      <c r="AE12" s="36">
        <f t="shared" si="8"/>
        <v>0.46944444444444439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124</v>
      </c>
      <c r="D13" s="52" t="s">
        <v>128</v>
      </c>
      <c r="E13" s="53" t="s">
        <v>195</v>
      </c>
      <c r="F13" s="30" t="s">
        <v>127</v>
      </c>
      <c r="G13" s="33">
        <v>1</v>
      </c>
      <c r="H13" s="35">
        <v>24</v>
      </c>
      <c r="I13" s="7">
        <v>2000</v>
      </c>
      <c r="J13" s="14">
        <v>1524</v>
      </c>
      <c r="K13" s="15">
        <f>L13</f>
        <v>1524</v>
      </c>
      <c r="L13" s="15">
        <f>1524</f>
        <v>1524</v>
      </c>
      <c r="M13" s="15">
        <f t="shared" si="1"/>
        <v>1524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si="7"/>
        <v>0.41666666666666669</v>
      </c>
      <c r="AE13" s="36">
        <f t="shared" si="8"/>
        <v>0.46944444444444439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620</v>
      </c>
      <c r="K14" s="15">
        <f>L14</f>
        <v>620</v>
      </c>
      <c r="L14" s="15">
        <f>620</f>
        <v>620</v>
      </c>
      <c r="M14" s="15">
        <f t="shared" si="1"/>
        <v>620</v>
      </c>
      <c r="N14" s="15">
        <v>0</v>
      </c>
      <c r="O14" s="58">
        <f t="shared" si="2"/>
        <v>0</v>
      </c>
      <c r="P14" s="39">
        <f t="shared" si="3"/>
        <v>8</v>
      </c>
      <c r="Q14" s="40">
        <f t="shared" si="4"/>
        <v>16</v>
      </c>
      <c r="R14" s="7"/>
      <c r="S14" s="6">
        <v>16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0.33333333333333331</v>
      </c>
      <c r="AD14" s="10">
        <f t="shared" si="7"/>
        <v>0.33333333333333331</v>
      </c>
      <c r="AE14" s="36">
        <f t="shared" si="8"/>
        <v>0.46944444444444439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0.46944444444444439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0.46944444444444439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124</v>
      </c>
      <c r="D17" s="52" t="s">
        <v>171</v>
      </c>
      <c r="E17" s="53" t="s">
        <v>172</v>
      </c>
      <c r="F17" s="30" t="s">
        <v>151</v>
      </c>
      <c r="G17" s="33">
        <v>1</v>
      </c>
      <c r="H17" s="35">
        <v>20</v>
      </c>
      <c r="I17" s="7">
        <v>25000</v>
      </c>
      <c r="J17" s="14">
        <v>5864</v>
      </c>
      <c r="K17" s="15">
        <f>L17+5072</f>
        <v>10936</v>
      </c>
      <c r="L17" s="15">
        <f>3044+2820</f>
        <v>5864</v>
      </c>
      <c r="M17" s="15">
        <f t="shared" si="1"/>
        <v>5864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0.46944444444444439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125</v>
      </c>
      <c r="E18" s="53" t="s">
        <v>165</v>
      </c>
      <c r="F18" s="30" t="s">
        <v>127</v>
      </c>
      <c r="G18" s="33">
        <v>1</v>
      </c>
      <c r="H18" s="35">
        <v>24</v>
      </c>
      <c r="I18" s="7">
        <v>45500</v>
      </c>
      <c r="J18" s="5">
        <v>5557</v>
      </c>
      <c r="K18" s="15">
        <f>L18+5168+5602+5615+5497+3412</f>
        <v>30851</v>
      </c>
      <c r="L18" s="15">
        <f>2871+2686</f>
        <v>5557</v>
      </c>
      <c r="M18" s="15">
        <f t="shared" si="1"/>
        <v>5557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0.46944444444444439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117</v>
      </c>
      <c r="E19" s="53" t="s">
        <v>166</v>
      </c>
      <c r="F19" s="30" t="s">
        <v>121</v>
      </c>
      <c r="G19" s="33">
        <v>1</v>
      </c>
      <c r="H19" s="35">
        <v>24</v>
      </c>
      <c r="I19" s="7">
        <v>45000</v>
      </c>
      <c r="J19" s="14">
        <v>4262</v>
      </c>
      <c r="K19" s="15">
        <f>L19+4853+5291+4951+5173+4262</f>
        <v>24530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ref="AD19:AD20" si="11">AC19*AB19*(1-O19)</f>
        <v>0</v>
      </c>
      <c r="AE19" s="36">
        <f t="shared" si="8"/>
        <v>0.46944444444444439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62589</v>
      </c>
      <c r="K20" s="15">
        <f>L20+54642</f>
        <v>117231</v>
      </c>
      <c r="L20" s="15">
        <f>9688*3+11175*3</f>
        <v>62589</v>
      </c>
      <c r="M20" s="15">
        <f t="shared" si="1"/>
        <v>62589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11"/>
        <v>1</v>
      </c>
      <c r="AE20" s="36">
        <f t="shared" si="8"/>
        <v>0.46944444444444439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650700</v>
      </c>
      <c r="J21" s="19">
        <f t="shared" si="12"/>
        <v>117558</v>
      </c>
      <c r="K21" s="20">
        <f t="shared" si="12"/>
        <v>313901</v>
      </c>
      <c r="L21" s="21">
        <f t="shared" si="12"/>
        <v>99299</v>
      </c>
      <c r="M21" s="20">
        <f t="shared" si="12"/>
        <v>99299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169</v>
      </c>
      <c r="Q21" s="43">
        <f t="shared" si="13"/>
        <v>191</v>
      </c>
      <c r="R21" s="23">
        <f t="shared" si="13"/>
        <v>48</v>
      </c>
      <c r="S21" s="24">
        <f t="shared" si="13"/>
        <v>81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38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0.66666666666666663</v>
      </c>
      <c r="AC21" s="4">
        <f>SUM(AC6:AC20)/15</f>
        <v>0.46944444444444439</v>
      </c>
      <c r="AD21" s="4">
        <f>SUM(AD6:AD20)/15</f>
        <v>0.46944444444444439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198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205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138" t="s">
        <v>46</v>
      </c>
      <c r="D50" s="138" t="s">
        <v>47</v>
      </c>
      <c r="E50" s="138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138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124</v>
      </c>
      <c r="B51" s="420"/>
      <c r="C51" s="140" t="s">
        <v>184</v>
      </c>
      <c r="D51" s="140" t="s">
        <v>148</v>
      </c>
      <c r="E51" s="140" t="s">
        <v>191</v>
      </c>
      <c r="F51" s="421" t="s">
        <v>199</v>
      </c>
      <c r="G51" s="422"/>
      <c r="H51" s="422"/>
      <c r="I51" s="422"/>
      <c r="J51" s="422"/>
      <c r="K51" s="422"/>
      <c r="L51" s="422"/>
      <c r="M51" s="423"/>
      <c r="N51" s="139" t="s">
        <v>114</v>
      </c>
      <c r="O51" s="144" t="s">
        <v>145</v>
      </c>
      <c r="P51" s="433" t="s">
        <v>117</v>
      </c>
      <c r="Q51" s="434"/>
      <c r="R51" s="420" t="s">
        <v>166</v>
      </c>
      <c r="S51" s="420"/>
      <c r="T51" s="420"/>
      <c r="U51" s="420"/>
      <c r="V51" s="410" t="s">
        <v>126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124</v>
      </c>
      <c r="B52" s="420"/>
      <c r="C52" s="140" t="s">
        <v>200</v>
      </c>
      <c r="D52" s="140" t="s">
        <v>192</v>
      </c>
      <c r="E52" s="140" t="s">
        <v>193</v>
      </c>
      <c r="F52" s="421" t="s">
        <v>201</v>
      </c>
      <c r="G52" s="422"/>
      <c r="H52" s="422"/>
      <c r="I52" s="422"/>
      <c r="J52" s="422"/>
      <c r="K52" s="422"/>
      <c r="L52" s="422"/>
      <c r="M52" s="423"/>
      <c r="N52" s="139" t="s">
        <v>124</v>
      </c>
      <c r="O52" s="144" t="s">
        <v>139</v>
      </c>
      <c r="P52" s="433" t="s">
        <v>117</v>
      </c>
      <c r="Q52" s="434"/>
      <c r="R52" s="420" t="s">
        <v>168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124</v>
      </c>
      <c r="B53" s="420"/>
      <c r="C53" s="140" t="s">
        <v>139</v>
      </c>
      <c r="D53" s="140" t="s">
        <v>117</v>
      </c>
      <c r="E53" s="140" t="s">
        <v>168</v>
      </c>
      <c r="F53" s="421" t="s">
        <v>202</v>
      </c>
      <c r="G53" s="422"/>
      <c r="H53" s="422"/>
      <c r="I53" s="422"/>
      <c r="J53" s="422"/>
      <c r="K53" s="422"/>
      <c r="L53" s="422"/>
      <c r="M53" s="423"/>
      <c r="N53" s="139" t="s">
        <v>124</v>
      </c>
      <c r="O53" s="144" t="s">
        <v>184</v>
      </c>
      <c r="P53" s="433" t="s">
        <v>148</v>
      </c>
      <c r="Q53" s="434"/>
      <c r="R53" s="420" t="s">
        <v>186</v>
      </c>
      <c r="S53" s="420"/>
      <c r="T53" s="420"/>
      <c r="U53" s="420"/>
      <c r="V53" s="410" t="s">
        <v>126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140" t="s">
        <v>143</v>
      </c>
      <c r="D54" s="140" t="s">
        <v>128</v>
      </c>
      <c r="E54" s="140" t="s">
        <v>195</v>
      </c>
      <c r="F54" s="421" t="s">
        <v>120</v>
      </c>
      <c r="G54" s="422"/>
      <c r="H54" s="422"/>
      <c r="I54" s="422"/>
      <c r="J54" s="422"/>
      <c r="K54" s="422"/>
      <c r="L54" s="422"/>
      <c r="M54" s="423"/>
      <c r="N54" s="139" t="s">
        <v>124</v>
      </c>
      <c r="O54" s="144" t="s">
        <v>143</v>
      </c>
      <c r="P54" s="433" t="s">
        <v>154</v>
      </c>
      <c r="Q54" s="434"/>
      <c r="R54" s="420" t="s">
        <v>206</v>
      </c>
      <c r="S54" s="420"/>
      <c r="T54" s="420"/>
      <c r="U54" s="420"/>
      <c r="V54" s="410" t="s">
        <v>120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140" t="s">
        <v>188</v>
      </c>
      <c r="D55" s="140" t="s">
        <v>117</v>
      </c>
      <c r="E55" s="140" t="s">
        <v>189</v>
      </c>
      <c r="F55" s="421" t="s">
        <v>203</v>
      </c>
      <c r="G55" s="422"/>
      <c r="H55" s="422"/>
      <c r="I55" s="422"/>
      <c r="J55" s="422"/>
      <c r="K55" s="422"/>
      <c r="L55" s="422"/>
      <c r="M55" s="423"/>
      <c r="N55" s="139" t="s">
        <v>124</v>
      </c>
      <c r="O55" s="144" t="s">
        <v>200</v>
      </c>
      <c r="P55" s="433" t="s">
        <v>192</v>
      </c>
      <c r="Q55" s="434"/>
      <c r="R55" s="420" t="s">
        <v>193</v>
      </c>
      <c r="S55" s="420"/>
      <c r="T55" s="420"/>
      <c r="U55" s="420"/>
      <c r="V55" s="410" t="s">
        <v>126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114</v>
      </c>
      <c r="B56" s="420"/>
      <c r="C56" s="140" t="s">
        <v>145</v>
      </c>
      <c r="D56" s="140" t="s">
        <v>117</v>
      </c>
      <c r="E56" s="140" t="s">
        <v>166</v>
      </c>
      <c r="F56" s="421" t="s">
        <v>204</v>
      </c>
      <c r="G56" s="422"/>
      <c r="H56" s="422"/>
      <c r="I56" s="422"/>
      <c r="J56" s="422"/>
      <c r="K56" s="422"/>
      <c r="L56" s="422"/>
      <c r="M56" s="423"/>
      <c r="N56" s="139"/>
      <c r="O56" s="144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140"/>
      <c r="D57" s="140"/>
      <c r="E57" s="140"/>
      <c r="F57" s="421"/>
      <c r="G57" s="422"/>
      <c r="H57" s="422"/>
      <c r="I57" s="422"/>
      <c r="J57" s="422"/>
      <c r="K57" s="422"/>
      <c r="L57" s="422"/>
      <c r="M57" s="423"/>
      <c r="N57" s="139"/>
      <c r="O57" s="144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140"/>
      <c r="D58" s="140"/>
      <c r="E58" s="140"/>
      <c r="F58" s="421"/>
      <c r="G58" s="422"/>
      <c r="H58" s="422"/>
      <c r="I58" s="422"/>
      <c r="J58" s="422"/>
      <c r="K58" s="422"/>
      <c r="L58" s="422"/>
      <c r="M58" s="423"/>
      <c r="N58" s="139"/>
      <c r="O58" s="144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40"/>
      <c r="D59" s="140"/>
      <c r="E59" s="140"/>
      <c r="F59" s="421"/>
      <c r="G59" s="422"/>
      <c r="H59" s="422"/>
      <c r="I59" s="422"/>
      <c r="J59" s="422"/>
      <c r="K59" s="422"/>
      <c r="L59" s="422"/>
      <c r="M59" s="423"/>
      <c r="N59" s="139"/>
      <c r="O59" s="144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141"/>
      <c r="D60" s="141"/>
      <c r="E60" s="141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207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142" t="s">
        <v>2</v>
      </c>
      <c r="D62" s="142" t="s">
        <v>37</v>
      </c>
      <c r="E62" s="142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142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/>
      <c r="D63" s="146"/>
      <c r="E63" s="143"/>
      <c r="F63" s="408"/>
      <c r="G63" s="400"/>
      <c r="H63" s="400"/>
      <c r="I63" s="400"/>
      <c r="J63" s="400"/>
      <c r="K63" s="400"/>
      <c r="L63" s="400"/>
      <c r="M63" s="51"/>
      <c r="N63" s="411"/>
      <c r="O63" s="411"/>
      <c r="P63" s="409"/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146"/>
      <c r="E64" s="143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146"/>
      <c r="E65" s="143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146"/>
      <c r="E66" s="143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146"/>
      <c r="E67" s="143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146"/>
      <c r="E68" s="143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146"/>
      <c r="E69" s="143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146"/>
      <c r="E70" s="143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208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145" t="s">
        <v>2</v>
      </c>
      <c r="D72" s="145" t="s">
        <v>37</v>
      </c>
      <c r="E72" s="145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147" t="s">
        <v>114</v>
      </c>
      <c r="D73" s="147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146"/>
      <c r="D74" s="146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146"/>
      <c r="D75" s="146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146"/>
      <c r="D76" s="146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146"/>
      <c r="D77" s="146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146"/>
      <c r="D78" s="146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146"/>
      <c r="D79" s="146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146"/>
      <c r="D80" s="146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146"/>
      <c r="D81" s="146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209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CCCE-7304-48AD-B6A7-FBEE7BBA3CFE}"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210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48" t="s">
        <v>17</v>
      </c>
      <c r="L5" s="148" t="s">
        <v>18</v>
      </c>
      <c r="M5" s="148" t="s">
        <v>19</v>
      </c>
      <c r="N5" s="14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18" si="7">AC6*AB6*(1-O6)</f>
        <v>0</v>
      </c>
      <c r="AE6" s="36">
        <f t="shared" ref="AE6:AE21" si="8">$AD$22</f>
        <v>0.43055555555555547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0.43055555555555547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138</v>
      </c>
      <c r="F8" s="30" t="s">
        <v>123</v>
      </c>
      <c r="G8" s="33">
        <v>1</v>
      </c>
      <c r="H8" s="35">
        <v>24</v>
      </c>
      <c r="I8" s="7">
        <v>40000</v>
      </c>
      <c r="J8" s="14">
        <v>4762</v>
      </c>
      <c r="K8" s="15">
        <f>L8+2529+4548+3870+3984+5602+3423+5313+4646+4627+5788</f>
        <v>49092</v>
      </c>
      <c r="L8" s="15">
        <f>1861+2901</f>
        <v>4762</v>
      </c>
      <c r="M8" s="15">
        <f t="shared" si="1"/>
        <v>4762</v>
      </c>
      <c r="N8" s="15">
        <v>0</v>
      </c>
      <c r="O8" s="58">
        <f t="shared" si="2"/>
        <v>0</v>
      </c>
      <c r="P8" s="39">
        <f t="shared" si="3"/>
        <v>22</v>
      </c>
      <c r="Q8" s="40">
        <f t="shared" si="4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0.91666666666666663</v>
      </c>
      <c r="AD8" s="10">
        <f t="shared" si="7"/>
        <v>0.91666666666666663</v>
      </c>
      <c r="AE8" s="36">
        <f t="shared" si="8"/>
        <v>0.43055555555555547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1593</v>
      </c>
      <c r="K9" s="15">
        <f>L9+1593</f>
        <v>1593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0.43055555555555547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154</v>
      </c>
      <c r="E10" s="53" t="s">
        <v>160</v>
      </c>
      <c r="F10" s="30" t="s">
        <v>127</v>
      </c>
      <c r="G10" s="33">
        <v>2</v>
      </c>
      <c r="H10" s="35">
        <v>24</v>
      </c>
      <c r="I10" s="7">
        <v>50000</v>
      </c>
      <c r="J10" s="5">
        <v>11998</v>
      </c>
      <c r="K10" s="15">
        <f>L10+9750+12190</f>
        <v>33938</v>
      </c>
      <c r="L10" s="15">
        <f>2943*2+3056*2</f>
        <v>11998</v>
      </c>
      <c r="M10" s="15">
        <f t="shared" si="1"/>
        <v>11998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0.43055555555555547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124</v>
      </c>
      <c r="D11" s="52" t="s">
        <v>192</v>
      </c>
      <c r="E11" s="53" t="s">
        <v>193</v>
      </c>
      <c r="F11" s="30" t="s">
        <v>194</v>
      </c>
      <c r="G11" s="33">
        <v>1</v>
      </c>
      <c r="H11" s="35">
        <v>24</v>
      </c>
      <c r="I11" s="7">
        <v>1200</v>
      </c>
      <c r="J11" s="14">
        <v>1238</v>
      </c>
      <c r="K11" s="15">
        <f>L11+559</f>
        <v>1797</v>
      </c>
      <c r="L11" s="15">
        <v>1238</v>
      </c>
      <c r="M11" s="15">
        <f t="shared" si="1"/>
        <v>1238</v>
      </c>
      <c r="N11" s="15">
        <v>0</v>
      </c>
      <c r="O11" s="58">
        <f t="shared" si="2"/>
        <v>0</v>
      </c>
      <c r="P11" s="39">
        <f t="shared" si="3"/>
        <v>8</v>
      </c>
      <c r="Q11" s="40">
        <f t="shared" si="4"/>
        <v>16</v>
      </c>
      <c r="R11" s="7"/>
      <c r="S11" s="6"/>
      <c r="T11" s="16"/>
      <c r="U11" s="16"/>
      <c r="V11" s="17"/>
      <c r="W11" s="5">
        <v>16</v>
      </c>
      <c r="X11" s="16"/>
      <c r="Y11" s="16"/>
      <c r="Z11" s="16"/>
      <c r="AA11" s="18"/>
      <c r="AB11" s="8">
        <f t="shared" si="5"/>
        <v>1</v>
      </c>
      <c r="AC11" s="9">
        <f t="shared" si="6"/>
        <v>0.33333333333333331</v>
      </c>
      <c r="AD11" s="10">
        <f t="shared" ref="AD11" si="10">AC11*AB11*(1-O11)</f>
        <v>0.33333333333333331</v>
      </c>
      <c r="AE11" s="36">
        <f t="shared" si="8"/>
        <v>0.43055555555555547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1279</v>
      </c>
      <c r="K12" s="15">
        <f>L12+3015</f>
        <v>4294</v>
      </c>
      <c r="L12" s="15">
        <f>323+956</f>
        <v>1279</v>
      </c>
      <c r="M12" s="15">
        <f t="shared" si="1"/>
        <v>1279</v>
      </c>
      <c r="N12" s="15">
        <v>0</v>
      </c>
      <c r="O12" s="58">
        <f t="shared" si="2"/>
        <v>0</v>
      </c>
      <c r="P12" s="39">
        <f t="shared" si="3"/>
        <v>6</v>
      </c>
      <c r="Q12" s="40">
        <f t="shared" si="4"/>
        <v>18</v>
      </c>
      <c r="R12" s="7"/>
      <c r="S12" s="6">
        <v>18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0.25</v>
      </c>
      <c r="AD12" s="10">
        <f t="shared" si="7"/>
        <v>0.25</v>
      </c>
      <c r="AE12" s="36">
        <f t="shared" si="8"/>
        <v>0.43055555555555547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124</v>
      </c>
      <c r="D13" s="52" t="s">
        <v>154</v>
      </c>
      <c r="E13" s="53" t="s">
        <v>206</v>
      </c>
      <c r="F13" s="30" t="s">
        <v>127</v>
      </c>
      <c r="G13" s="33">
        <v>1</v>
      </c>
      <c r="H13" s="35">
        <v>24</v>
      </c>
      <c r="I13" s="7">
        <v>2000</v>
      </c>
      <c r="J13" s="14">
        <v>2456</v>
      </c>
      <c r="K13" s="15">
        <f>L13</f>
        <v>2456</v>
      </c>
      <c r="L13" s="15">
        <f>1228*2</f>
        <v>2456</v>
      </c>
      <c r="M13" s="15">
        <f t="shared" si="1"/>
        <v>2456</v>
      </c>
      <c r="N13" s="15">
        <v>0</v>
      </c>
      <c r="O13" s="58">
        <f t="shared" si="2"/>
        <v>0</v>
      </c>
      <c r="P13" s="39">
        <f t="shared" si="3"/>
        <v>6</v>
      </c>
      <c r="Q13" s="40">
        <f t="shared" si="4"/>
        <v>18</v>
      </c>
      <c r="R13" s="7"/>
      <c r="S13" s="6"/>
      <c r="T13" s="16"/>
      <c r="U13" s="16"/>
      <c r="V13" s="17"/>
      <c r="W13" s="5">
        <v>18</v>
      </c>
      <c r="X13" s="16"/>
      <c r="Y13" s="16"/>
      <c r="Z13" s="16"/>
      <c r="AA13" s="18"/>
      <c r="AB13" s="8">
        <f t="shared" si="5"/>
        <v>1</v>
      </c>
      <c r="AC13" s="9">
        <f t="shared" si="6"/>
        <v>0.25</v>
      </c>
      <c r="AD13" s="10">
        <f t="shared" si="7"/>
        <v>0.25</v>
      </c>
      <c r="AE13" s="36">
        <f t="shared" si="8"/>
        <v>0.43055555555555547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124</v>
      </c>
      <c r="D14" s="52" t="s">
        <v>117</v>
      </c>
      <c r="E14" s="53" t="s">
        <v>211</v>
      </c>
      <c r="F14" s="30" t="s">
        <v>212</v>
      </c>
      <c r="G14" s="33">
        <v>1</v>
      </c>
      <c r="H14" s="35">
        <v>24</v>
      </c>
      <c r="I14" s="7">
        <v>2000</v>
      </c>
      <c r="J14" s="14">
        <v>2788</v>
      </c>
      <c r="K14" s="15">
        <f>L14</f>
        <v>2788</v>
      </c>
      <c r="L14" s="15">
        <f>1977+811</f>
        <v>2788</v>
      </c>
      <c r="M14" s="15">
        <f t="shared" ref="M14" si="11">L14-N14</f>
        <v>2788</v>
      </c>
      <c r="N14" s="15">
        <v>0</v>
      </c>
      <c r="O14" s="58">
        <f t="shared" ref="O14" si="12">IF(L14=0,"0",N14/L14)</f>
        <v>0</v>
      </c>
      <c r="P14" s="39">
        <f t="shared" ref="P14" si="13">IF(L14=0,"0",(24-Q14))</f>
        <v>15</v>
      </c>
      <c r="Q14" s="40">
        <f t="shared" ref="Q14" si="14">SUM(R14:AA14)</f>
        <v>9</v>
      </c>
      <c r="R14" s="7"/>
      <c r="S14" s="6"/>
      <c r="T14" s="16"/>
      <c r="U14" s="16"/>
      <c r="V14" s="17"/>
      <c r="W14" s="5">
        <v>9</v>
      </c>
      <c r="X14" s="16"/>
      <c r="Y14" s="16"/>
      <c r="Z14" s="16"/>
      <c r="AA14" s="18"/>
      <c r="AB14" s="8">
        <f t="shared" ref="AB14" si="15">IF(J14=0,"0",(L14/J14))</f>
        <v>1</v>
      </c>
      <c r="AC14" s="9">
        <f t="shared" ref="AC14" si="16">IF(P14=0,"0",(P14/24))</f>
        <v>0.625</v>
      </c>
      <c r="AD14" s="10">
        <f t="shared" ref="AD14" si="17">AC14*AB14*(1-O14)</f>
        <v>0.625</v>
      </c>
      <c r="AE14" s="36">
        <f t="shared" si="8"/>
        <v>0.43055555555555547</v>
      </c>
      <c r="AF14" s="87">
        <f t="shared" ref="AF14" si="18">A14</f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196</v>
      </c>
      <c r="E15" s="53" t="s">
        <v>189</v>
      </c>
      <c r="F15" s="30" t="s">
        <v>197</v>
      </c>
      <c r="G15" s="12">
        <v>1</v>
      </c>
      <c r="H15" s="13">
        <v>28</v>
      </c>
      <c r="I15" s="7">
        <v>2000</v>
      </c>
      <c r="J15" s="5">
        <v>500</v>
      </c>
      <c r="K15" s="15">
        <f>L15+620</f>
        <v>1120</v>
      </c>
      <c r="L15" s="15">
        <v>500</v>
      </c>
      <c r="M15" s="15">
        <f t="shared" si="1"/>
        <v>500</v>
      </c>
      <c r="N15" s="15">
        <v>0</v>
      </c>
      <c r="O15" s="58">
        <f t="shared" si="2"/>
        <v>0</v>
      </c>
      <c r="P15" s="39">
        <f t="shared" si="3"/>
        <v>7</v>
      </c>
      <c r="Q15" s="40">
        <f t="shared" si="4"/>
        <v>17</v>
      </c>
      <c r="R15" s="7"/>
      <c r="S15" s="6">
        <v>5</v>
      </c>
      <c r="T15" s="16"/>
      <c r="U15" s="16"/>
      <c r="V15" s="17">
        <v>12</v>
      </c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0.29166666666666669</v>
      </c>
      <c r="AD15" s="10">
        <f t="shared" si="7"/>
        <v>0.29166666666666669</v>
      </c>
      <c r="AE15" s="36">
        <f t="shared" si="8"/>
        <v>0.43055555555555547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156</v>
      </c>
      <c r="D16" s="52"/>
      <c r="E16" s="53" t="s">
        <v>157</v>
      </c>
      <c r="F16" s="12" t="s">
        <v>158</v>
      </c>
      <c r="G16" s="12">
        <v>8</v>
      </c>
      <c r="H16" s="13">
        <v>24</v>
      </c>
      <c r="I16" s="31">
        <v>10000</v>
      </c>
      <c r="J16" s="14">
        <v>7008</v>
      </c>
      <c r="K16" s="15">
        <f>L16+17192+7008</f>
        <v>24200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0.43055555555555547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124</v>
      </c>
      <c r="D17" s="52" t="s">
        <v>128</v>
      </c>
      <c r="E17" s="53" t="s">
        <v>150</v>
      </c>
      <c r="F17" s="30" t="s">
        <v>129</v>
      </c>
      <c r="G17" s="12">
        <v>1</v>
      </c>
      <c r="H17" s="13">
        <v>28</v>
      </c>
      <c r="I17" s="7">
        <v>9000</v>
      </c>
      <c r="J17" s="14">
        <v>4928</v>
      </c>
      <c r="K17" s="15">
        <f>L17+5027+5503+5566+4928</f>
        <v>21024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0.43055555555555547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124</v>
      </c>
      <c r="D18" s="52" t="s">
        <v>171</v>
      </c>
      <c r="E18" s="53" t="s">
        <v>172</v>
      </c>
      <c r="F18" s="30" t="s">
        <v>151</v>
      </c>
      <c r="G18" s="33">
        <v>1</v>
      </c>
      <c r="H18" s="35">
        <v>20</v>
      </c>
      <c r="I18" s="7">
        <v>25000</v>
      </c>
      <c r="J18" s="14">
        <v>5178</v>
      </c>
      <c r="K18" s="15">
        <f>L18+5072+5864</f>
        <v>16114</v>
      </c>
      <c r="L18" s="15">
        <f>2918+2260</f>
        <v>5178</v>
      </c>
      <c r="M18" s="15">
        <f t="shared" si="1"/>
        <v>5178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0.43055555555555547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125</v>
      </c>
      <c r="E19" s="53" t="s">
        <v>165</v>
      </c>
      <c r="F19" s="30" t="s">
        <v>127</v>
      </c>
      <c r="G19" s="33">
        <v>1</v>
      </c>
      <c r="H19" s="35">
        <v>24</v>
      </c>
      <c r="I19" s="7">
        <v>45500</v>
      </c>
      <c r="J19" s="5">
        <v>5582</v>
      </c>
      <c r="K19" s="15">
        <f>L19+5168+5602+5615+5497+3412+5557</f>
        <v>36433</v>
      </c>
      <c r="L19" s="15">
        <f>2769+2813</f>
        <v>5582</v>
      </c>
      <c r="M19" s="15">
        <f t="shared" si="1"/>
        <v>5582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0.43055555555555547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114</v>
      </c>
      <c r="D20" s="52" t="s">
        <v>117</v>
      </c>
      <c r="E20" s="53" t="s">
        <v>166</v>
      </c>
      <c r="F20" s="30" t="s">
        <v>121</v>
      </c>
      <c r="G20" s="33">
        <v>1</v>
      </c>
      <c r="H20" s="35">
        <v>24</v>
      </c>
      <c r="I20" s="7">
        <v>45000</v>
      </c>
      <c r="J20" s="14">
        <v>2713</v>
      </c>
      <c r="K20" s="15">
        <f>L20+4853+5291+4951+5173+4262</f>
        <v>27243</v>
      </c>
      <c r="L20" s="15">
        <f>2713</f>
        <v>2713</v>
      </c>
      <c r="M20" s="15">
        <f t="shared" si="1"/>
        <v>2713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>
        <v>10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ref="AD20:AD21" si="19">AC20*AB20*(1-O20)</f>
        <v>0.58333333333333337</v>
      </c>
      <c r="AE20" s="36">
        <f t="shared" si="8"/>
        <v>0.43055555555555547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152</v>
      </c>
      <c r="F21" s="12" t="s">
        <v>116</v>
      </c>
      <c r="G21" s="12">
        <v>3</v>
      </c>
      <c r="H21" s="35">
        <v>20</v>
      </c>
      <c r="I21" s="7">
        <v>300000</v>
      </c>
      <c r="J21" s="14">
        <v>25017</v>
      </c>
      <c r="K21" s="15">
        <f>L21+54642+62589</f>
        <v>142248</v>
      </c>
      <c r="L21" s="15">
        <f>8339*3</f>
        <v>25017</v>
      </c>
      <c r="M21" s="15">
        <f t="shared" si="1"/>
        <v>25017</v>
      </c>
      <c r="N21" s="15">
        <v>0</v>
      </c>
      <c r="O21" s="58">
        <f t="shared" si="2"/>
        <v>0</v>
      </c>
      <c r="P21" s="39">
        <f t="shared" si="3"/>
        <v>5</v>
      </c>
      <c r="Q21" s="40">
        <f t="shared" si="4"/>
        <v>19</v>
      </c>
      <c r="R21" s="7"/>
      <c r="S21" s="6">
        <v>19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0.20833333333333334</v>
      </c>
      <c r="AD21" s="10">
        <f t="shared" si="19"/>
        <v>0.20833333333333334</v>
      </c>
      <c r="AE21" s="36">
        <f t="shared" si="8"/>
        <v>0.43055555555555547</v>
      </c>
      <c r="AF21" s="87">
        <f t="shared" si="9"/>
        <v>15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20">SUM(I6:I21)</f>
        <v>652700</v>
      </c>
      <c r="J22" s="19">
        <f t="shared" si="20"/>
        <v>79101</v>
      </c>
      <c r="K22" s="20">
        <f t="shared" si="20"/>
        <v>375888</v>
      </c>
      <c r="L22" s="21">
        <f t="shared" si="20"/>
        <v>63511</v>
      </c>
      <c r="M22" s="20">
        <f t="shared" si="20"/>
        <v>63511</v>
      </c>
      <c r="N22" s="21">
        <f t="shared" si="20"/>
        <v>0</v>
      </c>
      <c r="O22" s="41">
        <f t="shared" si="2"/>
        <v>0</v>
      </c>
      <c r="P22" s="42">
        <f t="shared" ref="P22:AA22" si="21">SUM(P6:P21)</f>
        <v>155</v>
      </c>
      <c r="Q22" s="43">
        <f t="shared" si="21"/>
        <v>229</v>
      </c>
      <c r="R22" s="23">
        <f t="shared" si="21"/>
        <v>48</v>
      </c>
      <c r="S22" s="24">
        <f t="shared" si="21"/>
        <v>78</v>
      </c>
      <c r="T22" s="24">
        <f t="shared" si="21"/>
        <v>0</v>
      </c>
      <c r="U22" s="24">
        <f t="shared" si="21"/>
        <v>0</v>
      </c>
      <c r="V22" s="25">
        <f t="shared" si="21"/>
        <v>36</v>
      </c>
      <c r="W22" s="26">
        <f t="shared" si="21"/>
        <v>67</v>
      </c>
      <c r="X22" s="27">
        <f t="shared" si="21"/>
        <v>0</v>
      </c>
      <c r="Y22" s="27">
        <f t="shared" si="21"/>
        <v>0</v>
      </c>
      <c r="Z22" s="27">
        <f t="shared" si="21"/>
        <v>0</v>
      </c>
      <c r="AA22" s="27">
        <f t="shared" si="21"/>
        <v>0</v>
      </c>
      <c r="AB22" s="28">
        <f>SUM(AB6:AB21)/15</f>
        <v>0.73333333333333328</v>
      </c>
      <c r="AC22" s="4">
        <f>SUM(AC6:AC21)/15</f>
        <v>0.43055555555555547</v>
      </c>
      <c r="AD22" s="4">
        <f>SUM(AD6:AD21)/15</f>
        <v>0.43055555555555547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213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216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149" t="s">
        <v>46</v>
      </c>
      <c r="D51" s="149" t="s">
        <v>47</v>
      </c>
      <c r="E51" s="149" t="s">
        <v>108</v>
      </c>
      <c r="F51" s="448" t="s">
        <v>107</v>
      </c>
      <c r="G51" s="448"/>
      <c r="H51" s="448"/>
      <c r="I51" s="448"/>
      <c r="J51" s="448"/>
      <c r="K51" s="448"/>
      <c r="L51" s="448"/>
      <c r="M51" s="449"/>
      <c r="N51" s="67" t="s">
        <v>112</v>
      </c>
      <c r="O51" s="149" t="s">
        <v>46</v>
      </c>
      <c r="P51" s="450" t="s">
        <v>47</v>
      </c>
      <c r="Q51" s="451"/>
      <c r="R51" s="450" t="s">
        <v>38</v>
      </c>
      <c r="S51" s="452"/>
      <c r="T51" s="452"/>
      <c r="U51" s="451"/>
      <c r="V51" s="450" t="s">
        <v>48</v>
      </c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19" t="s">
        <v>124</v>
      </c>
      <c r="B52" s="420"/>
      <c r="C52" s="151" t="s">
        <v>184</v>
      </c>
      <c r="D52" s="151" t="s">
        <v>148</v>
      </c>
      <c r="E52" s="151" t="s">
        <v>191</v>
      </c>
      <c r="F52" s="421" t="s">
        <v>214</v>
      </c>
      <c r="G52" s="422"/>
      <c r="H52" s="422"/>
      <c r="I52" s="422"/>
      <c r="J52" s="422"/>
      <c r="K52" s="422"/>
      <c r="L52" s="422"/>
      <c r="M52" s="423"/>
      <c r="N52" s="150" t="s">
        <v>133</v>
      </c>
      <c r="O52" s="155" t="s">
        <v>131</v>
      </c>
      <c r="P52" s="433" t="s">
        <v>217</v>
      </c>
      <c r="Q52" s="434"/>
      <c r="R52" s="420" t="s">
        <v>218</v>
      </c>
      <c r="S52" s="420"/>
      <c r="T52" s="420"/>
      <c r="U52" s="420"/>
      <c r="V52" s="410" t="s">
        <v>120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124</v>
      </c>
      <c r="B53" s="420"/>
      <c r="C53" s="151" t="s">
        <v>200</v>
      </c>
      <c r="D53" s="151" t="s">
        <v>192</v>
      </c>
      <c r="E53" s="151" t="s">
        <v>193</v>
      </c>
      <c r="F53" s="421" t="s">
        <v>126</v>
      </c>
      <c r="G53" s="422"/>
      <c r="H53" s="422"/>
      <c r="I53" s="422"/>
      <c r="J53" s="422"/>
      <c r="K53" s="422"/>
      <c r="L53" s="422"/>
      <c r="M53" s="423"/>
      <c r="N53" s="150" t="s">
        <v>124</v>
      </c>
      <c r="O53" s="155" t="s">
        <v>139</v>
      </c>
      <c r="P53" s="433" t="s">
        <v>117</v>
      </c>
      <c r="Q53" s="434"/>
      <c r="R53" s="420" t="s">
        <v>168</v>
      </c>
      <c r="S53" s="420"/>
      <c r="T53" s="420"/>
      <c r="U53" s="420"/>
      <c r="V53" s="410" t="s">
        <v>126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151" t="s">
        <v>139</v>
      </c>
      <c r="D54" s="151" t="s">
        <v>117</v>
      </c>
      <c r="E54" s="151" t="s">
        <v>168</v>
      </c>
      <c r="F54" s="421" t="s">
        <v>215</v>
      </c>
      <c r="G54" s="422"/>
      <c r="H54" s="422"/>
      <c r="I54" s="422"/>
      <c r="J54" s="422"/>
      <c r="K54" s="422"/>
      <c r="L54" s="422"/>
      <c r="M54" s="423"/>
      <c r="N54" s="150" t="s">
        <v>124</v>
      </c>
      <c r="O54" s="155" t="s">
        <v>184</v>
      </c>
      <c r="P54" s="433" t="s">
        <v>148</v>
      </c>
      <c r="Q54" s="434"/>
      <c r="R54" s="420" t="s">
        <v>186</v>
      </c>
      <c r="S54" s="420"/>
      <c r="T54" s="420"/>
      <c r="U54" s="420"/>
      <c r="V54" s="410" t="s">
        <v>126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124</v>
      </c>
      <c r="B55" s="420"/>
      <c r="C55" s="151" t="s">
        <v>143</v>
      </c>
      <c r="D55" s="151" t="s">
        <v>154</v>
      </c>
      <c r="E55" s="151" t="s">
        <v>206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150" t="s">
        <v>114</v>
      </c>
      <c r="O55" s="155" t="s">
        <v>143</v>
      </c>
      <c r="P55" s="433" t="s">
        <v>219</v>
      </c>
      <c r="Q55" s="434"/>
      <c r="R55" s="420" t="s">
        <v>220</v>
      </c>
      <c r="S55" s="420"/>
      <c r="T55" s="420"/>
      <c r="U55" s="420"/>
      <c r="V55" s="410" t="s">
        <v>120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124</v>
      </c>
      <c r="B56" s="420"/>
      <c r="C56" s="151" t="s">
        <v>143</v>
      </c>
      <c r="D56" s="151" t="s">
        <v>117</v>
      </c>
      <c r="E56" s="151" t="s">
        <v>211</v>
      </c>
      <c r="F56" s="421" t="s">
        <v>120</v>
      </c>
      <c r="G56" s="422"/>
      <c r="H56" s="422"/>
      <c r="I56" s="422"/>
      <c r="J56" s="422"/>
      <c r="K56" s="422"/>
      <c r="L56" s="422"/>
      <c r="M56" s="423"/>
      <c r="N56" s="150" t="s">
        <v>133</v>
      </c>
      <c r="O56" s="155" t="s">
        <v>135</v>
      </c>
      <c r="P56" s="433" t="s">
        <v>128</v>
      </c>
      <c r="Q56" s="434"/>
      <c r="R56" s="420" t="s">
        <v>221</v>
      </c>
      <c r="S56" s="420"/>
      <c r="T56" s="420"/>
      <c r="U56" s="420"/>
      <c r="V56" s="410" t="s">
        <v>120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114</v>
      </c>
      <c r="B57" s="420"/>
      <c r="C57" s="151" t="s">
        <v>145</v>
      </c>
      <c r="D57" s="151" t="s">
        <v>117</v>
      </c>
      <c r="E57" s="151" t="s">
        <v>166</v>
      </c>
      <c r="F57" s="421" t="s">
        <v>126</v>
      </c>
      <c r="G57" s="422"/>
      <c r="H57" s="422"/>
      <c r="I57" s="422"/>
      <c r="J57" s="422"/>
      <c r="K57" s="422"/>
      <c r="L57" s="422"/>
      <c r="M57" s="423"/>
      <c r="N57" s="150"/>
      <c r="O57" s="155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151"/>
      <c r="D58" s="151"/>
      <c r="E58" s="151"/>
      <c r="F58" s="421"/>
      <c r="G58" s="422"/>
      <c r="H58" s="422"/>
      <c r="I58" s="422"/>
      <c r="J58" s="422"/>
      <c r="K58" s="422"/>
      <c r="L58" s="422"/>
      <c r="M58" s="423"/>
      <c r="N58" s="150"/>
      <c r="O58" s="155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51"/>
      <c r="D59" s="151"/>
      <c r="E59" s="151"/>
      <c r="F59" s="421"/>
      <c r="G59" s="422"/>
      <c r="H59" s="422"/>
      <c r="I59" s="422"/>
      <c r="J59" s="422"/>
      <c r="K59" s="422"/>
      <c r="L59" s="422"/>
      <c r="M59" s="423"/>
      <c r="N59" s="150"/>
      <c r="O59" s="155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151"/>
      <c r="D60" s="151"/>
      <c r="E60" s="151"/>
      <c r="F60" s="421"/>
      <c r="G60" s="422"/>
      <c r="H60" s="422"/>
      <c r="I60" s="422"/>
      <c r="J60" s="422"/>
      <c r="K60" s="422"/>
      <c r="L60" s="422"/>
      <c r="M60" s="423"/>
      <c r="N60" s="150"/>
      <c r="O60" s="155"/>
      <c r="P60" s="420"/>
      <c r="Q60" s="420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  <c r="AF60" s="87">
        <f>8*3000</f>
        <v>24000</v>
      </c>
    </row>
    <row r="61" spans="1:32" ht="27" customHeight="1" thickBot="1">
      <c r="A61" s="425"/>
      <c r="B61" s="426"/>
      <c r="C61" s="152"/>
      <c r="D61" s="152"/>
      <c r="E61" s="152"/>
      <c r="F61" s="427"/>
      <c r="G61" s="428"/>
      <c r="H61" s="428"/>
      <c r="I61" s="428"/>
      <c r="J61" s="428"/>
      <c r="K61" s="428"/>
      <c r="L61" s="428"/>
      <c r="M61" s="429"/>
      <c r="N61" s="124"/>
      <c r="O61" s="114"/>
      <c r="P61" s="430"/>
      <c r="Q61" s="430"/>
      <c r="R61" s="430"/>
      <c r="S61" s="430"/>
      <c r="T61" s="430"/>
      <c r="U61" s="430"/>
      <c r="V61" s="431"/>
      <c r="W61" s="431"/>
      <c r="X61" s="431"/>
      <c r="Y61" s="431"/>
      <c r="Z61" s="431"/>
      <c r="AA61" s="431"/>
      <c r="AB61" s="431"/>
      <c r="AC61" s="431"/>
      <c r="AD61" s="432"/>
      <c r="AF61" s="87">
        <f>16*3000</f>
        <v>48000</v>
      </c>
    </row>
    <row r="62" spans="1:32" ht="27.75" thickBot="1">
      <c r="A62" s="417" t="s">
        <v>222</v>
      </c>
      <c r="B62" s="417"/>
      <c r="C62" s="417"/>
      <c r="D62" s="417"/>
      <c r="E62" s="41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8" t="s">
        <v>113</v>
      </c>
      <c r="B63" s="415"/>
      <c r="C63" s="153" t="s">
        <v>2</v>
      </c>
      <c r="D63" s="153" t="s">
        <v>37</v>
      </c>
      <c r="E63" s="153" t="s">
        <v>3</v>
      </c>
      <c r="F63" s="415" t="s">
        <v>110</v>
      </c>
      <c r="G63" s="415"/>
      <c r="H63" s="415"/>
      <c r="I63" s="415"/>
      <c r="J63" s="415"/>
      <c r="K63" s="415" t="s">
        <v>39</v>
      </c>
      <c r="L63" s="415"/>
      <c r="M63" s="153" t="s">
        <v>40</v>
      </c>
      <c r="N63" s="415" t="s">
        <v>41</v>
      </c>
      <c r="O63" s="415"/>
      <c r="P63" s="412" t="s">
        <v>42</v>
      </c>
      <c r="Q63" s="414"/>
      <c r="R63" s="412" t="s">
        <v>43</v>
      </c>
      <c r="S63" s="413"/>
      <c r="T63" s="413"/>
      <c r="U63" s="413"/>
      <c r="V63" s="413"/>
      <c r="W63" s="413"/>
      <c r="X63" s="413"/>
      <c r="Y63" s="413"/>
      <c r="Z63" s="413"/>
      <c r="AA63" s="414"/>
      <c r="AB63" s="415" t="s">
        <v>44</v>
      </c>
      <c r="AC63" s="415"/>
      <c r="AD63" s="416"/>
      <c r="AF63" s="87">
        <f>SUM(AF60:AF62)</f>
        <v>96000</v>
      </c>
    </row>
    <row r="64" spans="1:32" ht="25.5" customHeight="1">
      <c r="A64" s="406">
        <v>1</v>
      </c>
      <c r="B64" s="407"/>
      <c r="C64" s="117"/>
      <c r="D64" s="157"/>
      <c r="E64" s="154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2</v>
      </c>
      <c r="B65" s="407"/>
      <c r="C65" s="117"/>
      <c r="D65" s="157"/>
      <c r="E65" s="154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3</v>
      </c>
      <c r="B66" s="407"/>
      <c r="C66" s="117"/>
      <c r="D66" s="157"/>
      <c r="E66" s="154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4</v>
      </c>
      <c r="B67" s="407"/>
      <c r="C67" s="117"/>
      <c r="D67" s="157"/>
      <c r="E67" s="154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5</v>
      </c>
      <c r="B68" s="407"/>
      <c r="C68" s="117"/>
      <c r="D68" s="157"/>
      <c r="E68" s="154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6</v>
      </c>
      <c r="B69" s="407"/>
      <c r="C69" s="117"/>
      <c r="D69" s="157"/>
      <c r="E69" s="154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7</v>
      </c>
      <c r="B70" s="407"/>
      <c r="C70" s="117"/>
      <c r="D70" s="157"/>
      <c r="E70" s="154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8</v>
      </c>
      <c r="B71" s="407"/>
      <c r="C71" s="117"/>
      <c r="D71" s="157"/>
      <c r="E71" s="154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6.25" customHeight="1" thickBot="1">
      <c r="A72" s="380" t="s">
        <v>223</v>
      </c>
      <c r="B72" s="380"/>
      <c r="C72" s="380"/>
      <c r="D72" s="380"/>
      <c r="E72" s="380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81" t="s">
        <v>113</v>
      </c>
      <c r="B73" s="382"/>
      <c r="C73" s="156" t="s">
        <v>2</v>
      </c>
      <c r="D73" s="156" t="s">
        <v>37</v>
      </c>
      <c r="E73" s="156" t="s">
        <v>3</v>
      </c>
      <c r="F73" s="382" t="s">
        <v>38</v>
      </c>
      <c r="G73" s="382"/>
      <c r="H73" s="382"/>
      <c r="I73" s="382"/>
      <c r="J73" s="382"/>
      <c r="K73" s="402" t="s">
        <v>58</v>
      </c>
      <c r="L73" s="403"/>
      <c r="M73" s="403"/>
      <c r="N73" s="403"/>
      <c r="O73" s="403"/>
      <c r="P73" s="403"/>
      <c r="Q73" s="403"/>
      <c r="R73" s="403"/>
      <c r="S73" s="404"/>
      <c r="T73" s="382" t="s">
        <v>49</v>
      </c>
      <c r="U73" s="382"/>
      <c r="V73" s="402" t="s">
        <v>50</v>
      </c>
      <c r="W73" s="404"/>
      <c r="X73" s="403" t="s">
        <v>51</v>
      </c>
      <c r="Y73" s="403"/>
      <c r="Z73" s="403"/>
      <c r="AA73" s="403"/>
      <c r="AB73" s="403"/>
      <c r="AC73" s="403"/>
      <c r="AD73" s="405"/>
      <c r="AF73" s="50"/>
    </row>
    <row r="74" spans="1:32" ht="33.75" customHeight="1">
      <c r="A74" s="374">
        <v>1</v>
      </c>
      <c r="B74" s="375"/>
      <c r="C74" s="158" t="s">
        <v>114</v>
      </c>
      <c r="D74" s="158"/>
      <c r="E74" s="65" t="s">
        <v>119</v>
      </c>
      <c r="F74" s="389" t="s">
        <v>118</v>
      </c>
      <c r="G74" s="390"/>
      <c r="H74" s="390"/>
      <c r="I74" s="390"/>
      <c r="J74" s="391"/>
      <c r="K74" s="392" t="s">
        <v>137</v>
      </c>
      <c r="L74" s="393"/>
      <c r="M74" s="393"/>
      <c r="N74" s="393"/>
      <c r="O74" s="393"/>
      <c r="P74" s="393"/>
      <c r="Q74" s="393"/>
      <c r="R74" s="393"/>
      <c r="S74" s="394"/>
      <c r="T74" s="395">
        <v>43675</v>
      </c>
      <c r="U74" s="396"/>
      <c r="V74" s="397"/>
      <c r="W74" s="397"/>
      <c r="X74" s="398"/>
      <c r="Y74" s="398"/>
      <c r="Z74" s="398"/>
      <c r="AA74" s="398"/>
      <c r="AB74" s="398"/>
      <c r="AC74" s="398"/>
      <c r="AD74" s="399"/>
      <c r="AF74" s="50"/>
    </row>
    <row r="75" spans="1:32" ht="30" customHeight="1">
      <c r="A75" s="367">
        <f>A74+1</f>
        <v>2</v>
      </c>
      <c r="B75" s="368"/>
      <c r="C75" s="157"/>
      <c r="D75" s="157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ref="A76:A82" si="22">A75+1</f>
        <v>3</v>
      </c>
      <c r="B76" s="368"/>
      <c r="C76" s="157"/>
      <c r="D76" s="157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22"/>
        <v>4</v>
      </c>
      <c r="B77" s="368"/>
      <c r="C77" s="157"/>
      <c r="D77" s="157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2"/>
        <v>5</v>
      </c>
      <c r="B78" s="368"/>
      <c r="C78" s="157"/>
      <c r="D78" s="157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2"/>
        <v>6</v>
      </c>
      <c r="B79" s="368"/>
      <c r="C79" s="157"/>
      <c r="D79" s="157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2"/>
        <v>7</v>
      </c>
      <c r="B80" s="368"/>
      <c r="C80" s="157"/>
      <c r="D80" s="157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2"/>
        <v>8</v>
      </c>
      <c r="B81" s="368"/>
      <c r="C81" s="157"/>
      <c r="D81" s="157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2"/>
        <v>9</v>
      </c>
      <c r="B82" s="368"/>
      <c r="C82" s="157"/>
      <c r="D82" s="157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6" thickBot="1">
      <c r="A83" s="380" t="s">
        <v>224</v>
      </c>
      <c r="B83" s="380"/>
      <c r="C83" s="380"/>
      <c r="D83" s="380"/>
      <c r="E83" s="380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81" t="s">
        <v>113</v>
      </c>
      <c r="B84" s="382"/>
      <c r="C84" s="372" t="s">
        <v>52</v>
      </c>
      <c r="D84" s="372"/>
      <c r="E84" s="372" t="s">
        <v>53</v>
      </c>
      <c r="F84" s="372"/>
      <c r="G84" s="372"/>
      <c r="H84" s="372"/>
      <c r="I84" s="372"/>
      <c r="J84" s="372"/>
      <c r="K84" s="372" t="s">
        <v>54</v>
      </c>
      <c r="L84" s="372"/>
      <c r="M84" s="372"/>
      <c r="N84" s="372"/>
      <c r="O84" s="372"/>
      <c r="P84" s="372"/>
      <c r="Q84" s="372"/>
      <c r="R84" s="372"/>
      <c r="S84" s="372"/>
      <c r="T84" s="372" t="s">
        <v>55</v>
      </c>
      <c r="U84" s="372"/>
      <c r="V84" s="372" t="s">
        <v>56</v>
      </c>
      <c r="W84" s="372"/>
      <c r="X84" s="372"/>
      <c r="Y84" s="372" t="s">
        <v>51</v>
      </c>
      <c r="Z84" s="372"/>
      <c r="AA84" s="372"/>
      <c r="AB84" s="372"/>
      <c r="AC84" s="372"/>
      <c r="AD84" s="373"/>
      <c r="AF84" s="50"/>
    </row>
    <row r="85" spans="1:32" ht="30.75" customHeight="1">
      <c r="A85" s="374">
        <v>1</v>
      </c>
      <c r="B85" s="375"/>
      <c r="C85" s="376">
        <v>11</v>
      </c>
      <c r="D85" s="376"/>
      <c r="E85" s="376" t="s">
        <v>162</v>
      </c>
      <c r="F85" s="376"/>
      <c r="G85" s="376"/>
      <c r="H85" s="376"/>
      <c r="I85" s="376"/>
      <c r="J85" s="376"/>
      <c r="K85" s="376" t="s">
        <v>163</v>
      </c>
      <c r="L85" s="376"/>
      <c r="M85" s="376"/>
      <c r="N85" s="376"/>
      <c r="O85" s="376"/>
      <c r="P85" s="376"/>
      <c r="Q85" s="376"/>
      <c r="R85" s="376"/>
      <c r="S85" s="376"/>
      <c r="T85" s="376" t="s">
        <v>164</v>
      </c>
      <c r="U85" s="376"/>
      <c r="V85" s="377">
        <v>700000</v>
      </c>
      <c r="W85" s="377"/>
      <c r="X85" s="377"/>
      <c r="Y85" s="378"/>
      <c r="Z85" s="378"/>
      <c r="AA85" s="378"/>
      <c r="AB85" s="378"/>
      <c r="AC85" s="378"/>
      <c r="AD85" s="379"/>
      <c r="AF85" s="50"/>
    </row>
    <row r="86" spans="1:32" ht="30.75" customHeight="1">
      <c r="A86" s="367">
        <v>2</v>
      </c>
      <c r="B86" s="368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70"/>
      <c r="U86" s="370"/>
      <c r="V86" s="371"/>
      <c r="W86" s="371"/>
      <c r="X86" s="371"/>
      <c r="Y86" s="360"/>
      <c r="Z86" s="360"/>
      <c r="AA86" s="360"/>
      <c r="AB86" s="360"/>
      <c r="AC86" s="360"/>
      <c r="AD86" s="361"/>
      <c r="AF86" s="50"/>
    </row>
    <row r="87" spans="1:32" ht="30.75" customHeight="1" thickBot="1">
      <c r="A87" s="362">
        <v>3</v>
      </c>
      <c r="B87" s="363"/>
      <c r="C87" s="364"/>
      <c r="D87" s="364"/>
      <c r="E87" s="364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5"/>
      <c r="Z87" s="365"/>
      <c r="AA87" s="365"/>
      <c r="AB87" s="365"/>
      <c r="AC87" s="365"/>
      <c r="AD87" s="366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C4D0-9B18-4D81-9502-39D1FCFD5068}">
  <dimension ref="A1:AF86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225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69" t="s">
        <v>17</v>
      </c>
      <c r="L5" s="169" t="s">
        <v>18</v>
      </c>
      <c r="M5" s="169" t="s">
        <v>19</v>
      </c>
      <c r="N5" s="16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0.375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0.375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138</v>
      </c>
      <c r="F8" s="30" t="s">
        <v>123</v>
      </c>
      <c r="G8" s="33">
        <v>1</v>
      </c>
      <c r="H8" s="35">
        <v>24</v>
      </c>
      <c r="I8" s="7">
        <v>40000</v>
      </c>
      <c r="J8" s="14">
        <v>4226</v>
      </c>
      <c r="K8" s="15">
        <f>L8+2529+4548+3870+3984+5602+3423+5313+4646+4627+5788+4762</f>
        <v>53318</v>
      </c>
      <c r="L8" s="15">
        <f>2751+1475</f>
        <v>4226</v>
      </c>
      <c r="M8" s="15">
        <f t="shared" si="1"/>
        <v>4226</v>
      </c>
      <c r="N8" s="15">
        <v>0</v>
      </c>
      <c r="O8" s="58">
        <f t="shared" si="2"/>
        <v>0</v>
      </c>
      <c r="P8" s="39">
        <f t="shared" si="3"/>
        <v>21</v>
      </c>
      <c r="Q8" s="40">
        <f t="shared" si="4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0.875</v>
      </c>
      <c r="AD8" s="10">
        <f t="shared" si="7"/>
        <v>0.875</v>
      </c>
      <c r="AE8" s="36">
        <f t="shared" si="8"/>
        <v>0.375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1593</v>
      </c>
      <c r="K9" s="15">
        <f>L9+1593</f>
        <v>1593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0.375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133</v>
      </c>
      <c r="D10" s="52" t="s">
        <v>226</v>
      </c>
      <c r="E10" s="53" t="s">
        <v>218</v>
      </c>
      <c r="F10" s="30" t="s">
        <v>127</v>
      </c>
      <c r="G10" s="33">
        <v>2</v>
      </c>
      <c r="H10" s="35">
        <v>24</v>
      </c>
      <c r="I10" s="7">
        <v>2000</v>
      </c>
      <c r="J10" s="5">
        <v>5090</v>
      </c>
      <c r="K10" s="15">
        <f>L10</f>
        <v>5090</v>
      </c>
      <c r="L10" s="15">
        <f>2072*2+473*2</f>
        <v>5090</v>
      </c>
      <c r="M10" s="15">
        <f t="shared" si="1"/>
        <v>5090</v>
      </c>
      <c r="N10" s="15">
        <v>0</v>
      </c>
      <c r="O10" s="58">
        <f t="shared" si="2"/>
        <v>0</v>
      </c>
      <c r="P10" s="39">
        <f t="shared" si="3"/>
        <v>17</v>
      </c>
      <c r="Q10" s="40">
        <f t="shared" si="4"/>
        <v>7</v>
      </c>
      <c r="R10" s="7"/>
      <c r="S10" s="6"/>
      <c r="T10" s="16"/>
      <c r="U10" s="16"/>
      <c r="V10" s="17"/>
      <c r="W10" s="5">
        <v>7</v>
      </c>
      <c r="X10" s="16"/>
      <c r="Y10" s="16"/>
      <c r="Z10" s="16"/>
      <c r="AA10" s="18"/>
      <c r="AB10" s="8">
        <f t="shared" si="5"/>
        <v>1</v>
      </c>
      <c r="AC10" s="9">
        <f t="shared" si="6"/>
        <v>0.70833333333333337</v>
      </c>
      <c r="AD10" s="10">
        <f>AC10*AB10*(1-O10)</f>
        <v>0.70833333333333337</v>
      </c>
      <c r="AE10" s="36">
        <f t="shared" si="8"/>
        <v>0.375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124</v>
      </c>
      <c r="D11" s="52" t="s">
        <v>148</v>
      </c>
      <c r="E11" s="53" t="s">
        <v>155</v>
      </c>
      <c r="F11" s="30" t="s">
        <v>130</v>
      </c>
      <c r="G11" s="33">
        <v>1</v>
      </c>
      <c r="H11" s="35">
        <v>24</v>
      </c>
      <c r="I11" s="7">
        <v>300</v>
      </c>
      <c r="J11" s="14">
        <v>545</v>
      </c>
      <c r="K11" s="15">
        <f>L11</f>
        <v>545</v>
      </c>
      <c r="L11" s="15">
        <v>545</v>
      </c>
      <c r="M11" s="15">
        <f t="shared" si="1"/>
        <v>545</v>
      </c>
      <c r="N11" s="15">
        <v>0</v>
      </c>
      <c r="O11" s="58">
        <f t="shared" si="2"/>
        <v>0</v>
      </c>
      <c r="P11" s="39">
        <f t="shared" si="3"/>
        <v>4</v>
      </c>
      <c r="Q11" s="40">
        <f t="shared" si="4"/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si="5"/>
        <v>1</v>
      </c>
      <c r="AC11" s="9">
        <f t="shared" si="6"/>
        <v>0.16666666666666666</v>
      </c>
      <c r="AD11" s="10">
        <f t="shared" ref="AD11" si="10">AC11*AB11*(1-O11)</f>
        <v>0.16666666666666666</v>
      </c>
      <c r="AE11" s="36">
        <f t="shared" si="8"/>
        <v>0.375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1279</v>
      </c>
      <c r="K12" s="15">
        <f>L12+3015+1279</f>
        <v>4294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si="7"/>
        <v>0</v>
      </c>
      <c r="AE12" s="36">
        <f t="shared" si="8"/>
        <v>0.375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219</v>
      </c>
      <c r="E13" s="53" t="s">
        <v>220</v>
      </c>
      <c r="F13" s="30" t="s">
        <v>227</v>
      </c>
      <c r="G13" s="33">
        <v>1</v>
      </c>
      <c r="H13" s="35">
        <v>24</v>
      </c>
      <c r="I13" s="7">
        <v>4000</v>
      </c>
      <c r="J13" s="14">
        <v>4654</v>
      </c>
      <c r="K13" s="15">
        <f>L13</f>
        <v>4654</v>
      </c>
      <c r="L13" s="15">
        <f>1794+2860</f>
        <v>4654</v>
      </c>
      <c r="M13" s="15">
        <f t="shared" si="1"/>
        <v>4654</v>
      </c>
      <c r="N13" s="15">
        <v>0</v>
      </c>
      <c r="O13" s="58">
        <f t="shared" si="2"/>
        <v>0</v>
      </c>
      <c r="P13" s="39">
        <f t="shared" si="3"/>
        <v>23</v>
      </c>
      <c r="Q13" s="40">
        <f t="shared" si="4"/>
        <v>1</v>
      </c>
      <c r="R13" s="7"/>
      <c r="S13" s="6"/>
      <c r="T13" s="16">
        <v>1</v>
      </c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0.95833333333333337</v>
      </c>
      <c r="AD13" s="10">
        <f t="shared" si="7"/>
        <v>0.95833333333333337</v>
      </c>
      <c r="AE13" s="36">
        <f t="shared" si="8"/>
        <v>0.375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1045</v>
      </c>
      <c r="K14" s="15">
        <f>L14+620+500</f>
        <v>2165</v>
      </c>
      <c r="L14" s="15">
        <v>1045</v>
      </c>
      <c r="M14" s="15">
        <f t="shared" si="1"/>
        <v>1045</v>
      </c>
      <c r="N14" s="15">
        <v>0</v>
      </c>
      <c r="O14" s="58">
        <f t="shared" si="2"/>
        <v>0</v>
      </c>
      <c r="P14" s="39">
        <f t="shared" si="3"/>
        <v>14</v>
      </c>
      <c r="Q14" s="40">
        <f t="shared" si="4"/>
        <v>10</v>
      </c>
      <c r="R14" s="7"/>
      <c r="S14" s="6"/>
      <c r="T14" s="16"/>
      <c r="U14" s="16"/>
      <c r="V14" s="17"/>
      <c r="W14" s="5">
        <v>10</v>
      </c>
      <c r="X14" s="16"/>
      <c r="Y14" s="16"/>
      <c r="Z14" s="16"/>
      <c r="AA14" s="18"/>
      <c r="AB14" s="8">
        <f t="shared" si="5"/>
        <v>1</v>
      </c>
      <c r="AC14" s="9">
        <f t="shared" si="6"/>
        <v>0.58333333333333337</v>
      </c>
      <c r="AD14" s="10">
        <f t="shared" si="7"/>
        <v>0.58333333333333337</v>
      </c>
      <c r="AE14" s="36">
        <f t="shared" si="8"/>
        <v>0.375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0.375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0.375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133</v>
      </c>
      <c r="D17" s="52" t="s">
        <v>128</v>
      </c>
      <c r="E17" s="53" t="s">
        <v>228</v>
      </c>
      <c r="F17" s="30" t="s">
        <v>151</v>
      </c>
      <c r="G17" s="33">
        <v>2</v>
      </c>
      <c r="H17" s="35">
        <v>20</v>
      </c>
      <c r="I17" s="7">
        <v>15000</v>
      </c>
      <c r="J17" s="14">
        <v>10832</v>
      </c>
      <c r="K17" s="15">
        <f>L17</f>
        <v>10832</v>
      </c>
      <c r="L17" s="15">
        <f>2570*2+2846*2</f>
        <v>10832</v>
      </c>
      <c r="M17" s="15">
        <f t="shared" si="1"/>
        <v>10832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0.375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125</v>
      </c>
      <c r="E18" s="53" t="s">
        <v>165</v>
      </c>
      <c r="F18" s="30" t="s">
        <v>127</v>
      </c>
      <c r="G18" s="33">
        <v>1</v>
      </c>
      <c r="H18" s="35">
        <v>24</v>
      </c>
      <c r="I18" s="7">
        <v>45500</v>
      </c>
      <c r="J18" s="5">
        <v>5609</v>
      </c>
      <c r="K18" s="15">
        <f>L18+5168+5602+5615+5497+3412+5557+5582</f>
        <v>42042</v>
      </c>
      <c r="L18" s="15">
        <f>2779+2830</f>
        <v>5609</v>
      </c>
      <c r="M18" s="15">
        <f t="shared" si="1"/>
        <v>5609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0.375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117</v>
      </c>
      <c r="E19" s="53" t="s">
        <v>166</v>
      </c>
      <c r="F19" s="30" t="s">
        <v>121</v>
      </c>
      <c r="G19" s="33">
        <v>1</v>
      </c>
      <c r="H19" s="35">
        <v>24</v>
      </c>
      <c r="I19" s="7">
        <v>45000</v>
      </c>
      <c r="J19" s="14">
        <v>2139</v>
      </c>
      <c r="K19" s="15">
        <f>L19+4853+5291+4951+5173+4262+2713</f>
        <v>29382</v>
      </c>
      <c r="L19" s="15">
        <v>2139</v>
      </c>
      <c r="M19" s="15">
        <f t="shared" si="1"/>
        <v>2139</v>
      </c>
      <c r="N19" s="15">
        <v>0</v>
      </c>
      <c r="O19" s="58">
        <f t="shared" si="2"/>
        <v>0</v>
      </c>
      <c r="P19" s="39">
        <f t="shared" si="3"/>
        <v>8</v>
      </c>
      <c r="Q19" s="40">
        <f t="shared" si="4"/>
        <v>16</v>
      </c>
      <c r="R19" s="7"/>
      <c r="S19" s="6">
        <v>16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0.33333333333333331</v>
      </c>
      <c r="AD19" s="10">
        <f t="shared" ref="AD19:AD20" si="11">AC19*AB19*(1-O19)</f>
        <v>0.33333333333333331</v>
      </c>
      <c r="AE19" s="36">
        <f t="shared" si="8"/>
        <v>0.375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25017</v>
      </c>
      <c r="K20" s="15">
        <f>L20+54642+62589+25017</f>
        <v>142248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11"/>
        <v>0</v>
      </c>
      <c r="AE20" s="36">
        <f t="shared" si="8"/>
        <v>0.375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593800</v>
      </c>
      <c r="J21" s="19">
        <f t="shared" si="12"/>
        <v>76026</v>
      </c>
      <c r="K21" s="20">
        <f t="shared" si="12"/>
        <v>352935</v>
      </c>
      <c r="L21" s="21">
        <f t="shared" si="12"/>
        <v>34140</v>
      </c>
      <c r="M21" s="20">
        <f t="shared" si="12"/>
        <v>34140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135</v>
      </c>
      <c r="Q21" s="43">
        <f t="shared" si="13"/>
        <v>225</v>
      </c>
      <c r="R21" s="23">
        <f t="shared" si="13"/>
        <v>48</v>
      </c>
      <c r="S21" s="24">
        <f t="shared" si="13"/>
        <v>91</v>
      </c>
      <c r="T21" s="24">
        <f t="shared" si="13"/>
        <v>1</v>
      </c>
      <c r="U21" s="24">
        <f t="shared" si="13"/>
        <v>0</v>
      </c>
      <c r="V21" s="25">
        <f t="shared" si="13"/>
        <v>24</v>
      </c>
      <c r="W21" s="26">
        <f t="shared" si="13"/>
        <v>61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0.53333333333333333</v>
      </c>
      <c r="AC21" s="4">
        <f>SUM(AC6:AC20)/15</f>
        <v>0.375</v>
      </c>
      <c r="AD21" s="4">
        <f>SUM(AD6:AD20)/15</f>
        <v>0.375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229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233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168" t="s">
        <v>46</v>
      </c>
      <c r="D50" s="168" t="s">
        <v>47</v>
      </c>
      <c r="E50" s="168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168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124</v>
      </c>
      <c r="B51" s="420"/>
      <c r="C51" s="166" t="s">
        <v>184</v>
      </c>
      <c r="D51" s="166" t="s">
        <v>148</v>
      </c>
      <c r="E51" s="166" t="s">
        <v>191</v>
      </c>
      <c r="F51" s="421" t="s">
        <v>230</v>
      </c>
      <c r="G51" s="422"/>
      <c r="H51" s="422"/>
      <c r="I51" s="422"/>
      <c r="J51" s="422"/>
      <c r="K51" s="422"/>
      <c r="L51" s="422"/>
      <c r="M51" s="423"/>
      <c r="N51" s="165" t="s">
        <v>124</v>
      </c>
      <c r="O51" s="163" t="s">
        <v>131</v>
      </c>
      <c r="P51" s="433" t="s">
        <v>234</v>
      </c>
      <c r="Q51" s="434"/>
      <c r="R51" s="420" t="s">
        <v>235</v>
      </c>
      <c r="S51" s="420"/>
      <c r="T51" s="420"/>
      <c r="U51" s="420"/>
      <c r="V51" s="410" t="s">
        <v>120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133</v>
      </c>
      <c r="B52" s="420"/>
      <c r="C52" s="166" t="s">
        <v>131</v>
      </c>
      <c r="D52" s="166" t="s">
        <v>226</v>
      </c>
      <c r="E52" s="166" t="s">
        <v>218</v>
      </c>
      <c r="F52" s="421" t="s">
        <v>120</v>
      </c>
      <c r="G52" s="422"/>
      <c r="H52" s="422"/>
      <c r="I52" s="422"/>
      <c r="J52" s="422"/>
      <c r="K52" s="422"/>
      <c r="L52" s="422"/>
      <c r="M52" s="423"/>
      <c r="N52" s="165" t="s">
        <v>124</v>
      </c>
      <c r="O52" s="163" t="s">
        <v>139</v>
      </c>
      <c r="P52" s="433" t="s">
        <v>117</v>
      </c>
      <c r="Q52" s="434"/>
      <c r="R52" s="420" t="s">
        <v>168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124</v>
      </c>
      <c r="B53" s="420"/>
      <c r="C53" s="166" t="s">
        <v>139</v>
      </c>
      <c r="D53" s="166" t="s">
        <v>117</v>
      </c>
      <c r="E53" s="166" t="s">
        <v>168</v>
      </c>
      <c r="F53" s="421" t="s">
        <v>231</v>
      </c>
      <c r="G53" s="422"/>
      <c r="H53" s="422"/>
      <c r="I53" s="422"/>
      <c r="J53" s="422"/>
      <c r="K53" s="422"/>
      <c r="L53" s="422"/>
      <c r="M53" s="423"/>
      <c r="N53" s="165" t="s">
        <v>124</v>
      </c>
      <c r="O53" s="163" t="s">
        <v>184</v>
      </c>
      <c r="P53" s="433" t="s">
        <v>148</v>
      </c>
      <c r="Q53" s="434"/>
      <c r="R53" s="420" t="s">
        <v>186</v>
      </c>
      <c r="S53" s="420"/>
      <c r="T53" s="420"/>
      <c r="U53" s="420"/>
      <c r="V53" s="410" t="s">
        <v>126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114</v>
      </c>
      <c r="B54" s="420"/>
      <c r="C54" s="166" t="s">
        <v>143</v>
      </c>
      <c r="D54" s="166" t="s">
        <v>219</v>
      </c>
      <c r="E54" s="166" t="s">
        <v>220</v>
      </c>
      <c r="F54" s="421" t="s">
        <v>120</v>
      </c>
      <c r="G54" s="422"/>
      <c r="H54" s="422"/>
      <c r="I54" s="422"/>
      <c r="J54" s="422"/>
      <c r="K54" s="422"/>
      <c r="L54" s="422"/>
      <c r="M54" s="423"/>
      <c r="N54" s="165" t="s">
        <v>133</v>
      </c>
      <c r="O54" s="163" t="s">
        <v>136</v>
      </c>
      <c r="P54" s="433" t="s">
        <v>237</v>
      </c>
      <c r="Q54" s="434"/>
      <c r="R54" s="420" t="s">
        <v>236</v>
      </c>
      <c r="S54" s="420"/>
      <c r="T54" s="420"/>
      <c r="U54" s="420"/>
      <c r="V54" s="410" t="s">
        <v>120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166" t="s">
        <v>145</v>
      </c>
      <c r="D55" s="166" t="s">
        <v>117</v>
      </c>
      <c r="E55" s="166" t="s">
        <v>166</v>
      </c>
      <c r="F55" s="421" t="s">
        <v>232</v>
      </c>
      <c r="G55" s="422"/>
      <c r="H55" s="422"/>
      <c r="I55" s="422"/>
      <c r="J55" s="422"/>
      <c r="K55" s="422"/>
      <c r="L55" s="422"/>
      <c r="M55" s="423"/>
      <c r="N55" s="165" t="s">
        <v>114</v>
      </c>
      <c r="O55" s="163" t="s">
        <v>145</v>
      </c>
      <c r="P55" s="433" t="s">
        <v>117</v>
      </c>
      <c r="Q55" s="434"/>
      <c r="R55" s="420" t="s">
        <v>166</v>
      </c>
      <c r="S55" s="420"/>
      <c r="T55" s="420"/>
      <c r="U55" s="420"/>
      <c r="V55" s="410" t="s">
        <v>126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124</v>
      </c>
      <c r="B56" s="420"/>
      <c r="C56" s="166" t="s">
        <v>200</v>
      </c>
      <c r="D56" s="166" t="s">
        <v>148</v>
      </c>
      <c r="E56" s="166" t="s">
        <v>155</v>
      </c>
      <c r="F56" s="421" t="s">
        <v>120</v>
      </c>
      <c r="G56" s="422"/>
      <c r="H56" s="422"/>
      <c r="I56" s="422"/>
      <c r="J56" s="422"/>
      <c r="K56" s="422"/>
      <c r="L56" s="422"/>
      <c r="M56" s="423"/>
      <c r="N56" s="165"/>
      <c r="O56" s="163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133</v>
      </c>
      <c r="B57" s="420"/>
      <c r="C57" s="166" t="s">
        <v>135</v>
      </c>
      <c r="D57" s="166" t="s">
        <v>128</v>
      </c>
      <c r="E57" s="166" t="s">
        <v>228</v>
      </c>
      <c r="F57" s="421" t="s">
        <v>120</v>
      </c>
      <c r="G57" s="422"/>
      <c r="H57" s="422"/>
      <c r="I57" s="422"/>
      <c r="J57" s="422"/>
      <c r="K57" s="422"/>
      <c r="L57" s="422"/>
      <c r="M57" s="423"/>
      <c r="N57" s="165"/>
      <c r="O57" s="163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166"/>
      <c r="D58" s="166"/>
      <c r="E58" s="166"/>
      <c r="F58" s="421"/>
      <c r="G58" s="422"/>
      <c r="H58" s="422"/>
      <c r="I58" s="422"/>
      <c r="J58" s="422"/>
      <c r="K58" s="422"/>
      <c r="L58" s="422"/>
      <c r="M58" s="423"/>
      <c r="N58" s="165"/>
      <c r="O58" s="163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66"/>
      <c r="D59" s="166"/>
      <c r="E59" s="166"/>
      <c r="F59" s="421"/>
      <c r="G59" s="422"/>
      <c r="H59" s="422"/>
      <c r="I59" s="422"/>
      <c r="J59" s="422"/>
      <c r="K59" s="422"/>
      <c r="L59" s="422"/>
      <c r="M59" s="423"/>
      <c r="N59" s="165"/>
      <c r="O59" s="163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167"/>
      <c r="D60" s="167"/>
      <c r="E60" s="167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238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164" t="s">
        <v>2</v>
      </c>
      <c r="D62" s="164" t="s">
        <v>37</v>
      </c>
      <c r="E62" s="164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164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133</v>
      </c>
      <c r="D63" s="159"/>
      <c r="E63" s="162" t="s">
        <v>117</v>
      </c>
      <c r="F63" s="408" t="s">
        <v>239</v>
      </c>
      <c r="G63" s="400"/>
      <c r="H63" s="400"/>
      <c r="I63" s="400"/>
      <c r="J63" s="400"/>
      <c r="K63" s="400" t="s">
        <v>121</v>
      </c>
      <c r="L63" s="400"/>
      <c r="M63" s="51" t="s">
        <v>240</v>
      </c>
      <c r="N63" s="411" t="s">
        <v>184</v>
      </c>
      <c r="O63" s="411"/>
      <c r="P63" s="409">
        <v>50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 t="s">
        <v>133</v>
      </c>
      <c r="D64" s="159"/>
      <c r="E64" s="162" t="s">
        <v>242</v>
      </c>
      <c r="F64" s="408" t="s">
        <v>241</v>
      </c>
      <c r="G64" s="400"/>
      <c r="H64" s="400"/>
      <c r="I64" s="400"/>
      <c r="J64" s="400"/>
      <c r="K64" s="400">
        <v>8301</v>
      </c>
      <c r="L64" s="400"/>
      <c r="M64" s="51" t="s">
        <v>240</v>
      </c>
      <c r="N64" s="411" t="s">
        <v>243</v>
      </c>
      <c r="O64" s="411"/>
      <c r="P64" s="409">
        <v>50</v>
      </c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 t="s">
        <v>115</v>
      </c>
      <c r="D65" s="159"/>
      <c r="E65" s="162"/>
      <c r="F65" s="408" t="s">
        <v>244</v>
      </c>
      <c r="G65" s="400"/>
      <c r="H65" s="400"/>
      <c r="I65" s="400"/>
      <c r="J65" s="400"/>
      <c r="K65" s="400" t="s">
        <v>116</v>
      </c>
      <c r="L65" s="400"/>
      <c r="M65" s="51" t="s">
        <v>240</v>
      </c>
      <c r="N65" s="411" t="s">
        <v>145</v>
      </c>
      <c r="O65" s="411"/>
      <c r="P65" s="409">
        <v>200</v>
      </c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159"/>
      <c r="E66" s="162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159"/>
      <c r="E67" s="162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159"/>
      <c r="E68" s="162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159"/>
      <c r="E69" s="162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159"/>
      <c r="E70" s="162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245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161" t="s">
        <v>2</v>
      </c>
      <c r="D72" s="161" t="s">
        <v>37</v>
      </c>
      <c r="E72" s="161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160" t="s">
        <v>114</v>
      </c>
      <c r="D73" s="160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159"/>
      <c r="D74" s="159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159"/>
      <c r="D75" s="159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159"/>
      <c r="D76" s="159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159"/>
      <c r="D77" s="159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159"/>
      <c r="D78" s="159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159"/>
      <c r="D79" s="159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159"/>
      <c r="D80" s="159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159"/>
      <c r="D81" s="159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246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8A3-EC54-4139-B1FF-3D2FB8DD8451}">
  <dimension ref="A1:AF87"/>
  <sheetViews>
    <sheetView topLeftCell="A22" zoomScale="72" zoomScaleNormal="72" zoomScaleSheetLayoutView="70" workbookViewId="0">
      <selection activeCell="A51" sqref="A51:B5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247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70" t="s">
        <v>17</v>
      </c>
      <c r="L5" s="170" t="s">
        <v>18</v>
      </c>
      <c r="M5" s="170" t="s">
        <v>19</v>
      </c>
      <c r="N5" s="17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18" si="7">AC6*AB6*(1-O6)</f>
        <v>0</v>
      </c>
      <c r="AE6" s="36">
        <f t="shared" ref="AE6:AE21" si="8">$AD$22</f>
        <v>0.27777777777777773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0.27777777777777773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133</v>
      </c>
      <c r="D8" s="52" t="s">
        <v>248</v>
      </c>
      <c r="E8" s="53" t="s">
        <v>236</v>
      </c>
      <c r="F8" s="30" t="s">
        <v>121</v>
      </c>
      <c r="G8" s="33">
        <v>2</v>
      </c>
      <c r="H8" s="35">
        <v>24</v>
      </c>
      <c r="I8" s="7">
        <v>15000</v>
      </c>
      <c r="J8" s="14">
        <v>4226</v>
      </c>
      <c r="K8" s="15">
        <f>L8</f>
        <v>0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0.27777777777777773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1896</v>
      </c>
      <c r="K9" s="15">
        <f>L9+1593</f>
        <v>3489</v>
      </c>
      <c r="L9" s="15">
        <f>494+1402</f>
        <v>1896</v>
      </c>
      <c r="M9" s="15">
        <f t="shared" si="1"/>
        <v>1896</v>
      </c>
      <c r="N9" s="15">
        <v>0</v>
      </c>
      <c r="O9" s="58">
        <f t="shared" si="2"/>
        <v>0</v>
      </c>
      <c r="P9" s="39">
        <f t="shared" si="3"/>
        <v>6</v>
      </c>
      <c r="Q9" s="40">
        <f t="shared" si="4"/>
        <v>18</v>
      </c>
      <c r="R9" s="7"/>
      <c r="S9" s="6">
        <v>18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0.25</v>
      </c>
      <c r="AD9" s="10">
        <f t="shared" si="7"/>
        <v>0.25</v>
      </c>
      <c r="AE9" s="36">
        <f t="shared" si="8"/>
        <v>0.27777777777777773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234</v>
      </c>
      <c r="E10" s="53" t="s">
        <v>235</v>
      </c>
      <c r="F10" s="30" t="s">
        <v>249</v>
      </c>
      <c r="G10" s="33">
        <v>32</v>
      </c>
      <c r="H10" s="35">
        <v>24</v>
      </c>
      <c r="I10" s="7">
        <v>200000</v>
      </c>
      <c r="J10" s="5">
        <v>7584</v>
      </c>
      <c r="K10" s="15">
        <f>L10</f>
        <v>7584</v>
      </c>
      <c r="L10" s="15">
        <f>237*32</f>
        <v>7584</v>
      </c>
      <c r="M10" s="15">
        <f t="shared" si="1"/>
        <v>7584</v>
      </c>
      <c r="N10" s="15">
        <v>0</v>
      </c>
      <c r="O10" s="58">
        <f t="shared" si="2"/>
        <v>0</v>
      </c>
      <c r="P10" s="39">
        <f t="shared" si="3"/>
        <v>2</v>
      </c>
      <c r="Q10" s="40">
        <f t="shared" si="4"/>
        <v>22</v>
      </c>
      <c r="R10" s="7">
        <v>22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8.3333333333333329E-2</v>
      </c>
      <c r="AD10" s="10">
        <f>AC10*AB10*(1-O10)</f>
        <v>8.3333333333333329E-2</v>
      </c>
      <c r="AE10" s="36">
        <f t="shared" si="8"/>
        <v>0.27777777777777773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133</v>
      </c>
      <c r="D11" s="52" t="s">
        <v>154</v>
      </c>
      <c r="E11" s="53" t="s">
        <v>250</v>
      </c>
      <c r="F11" s="30" t="s">
        <v>129</v>
      </c>
      <c r="G11" s="33">
        <v>2</v>
      </c>
      <c r="H11" s="35">
        <v>24</v>
      </c>
      <c r="I11" s="7">
        <v>2000</v>
      </c>
      <c r="J11" s="14">
        <v>2152</v>
      </c>
      <c r="K11" s="15">
        <f>L11</f>
        <v>2152</v>
      </c>
      <c r="L11" s="15">
        <f>563*2+513*2</f>
        <v>2152</v>
      </c>
      <c r="M11" s="15">
        <f t="shared" si="1"/>
        <v>2152</v>
      </c>
      <c r="N11" s="15">
        <v>0</v>
      </c>
      <c r="O11" s="58">
        <f t="shared" si="2"/>
        <v>0</v>
      </c>
      <c r="P11" s="39">
        <f t="shared" si="3"/>
        <v>8</v>
      </c>
      <c r="Q11" s="40">
        <f t="shared" si="4"/>
        <v>16</v>
      </c>
      <c r="R11" s="7"/>
      <c r="S11" s="6"/>
      <c r="T11" s="16"/>
      <c r="U11" s="16"/>
      <c r="V11" s="17"/>
      <c r="W11" s="5">
        <v>16</v>
      </c>
      <c r="X11" s="16"/>
      <c r="Y11" s="16"/>
      <c r="Z11" s="16"/>
      <c r="AA11" s="18"/>
      <c r="AB11" s="8">
        <f t="shared" si="5"/>
        <v>1</v>
      </c>
      <c r="AC11" s="9">
        <f t="shared" si="6"/>
        <v>0.33333333333333331</v>
      </c>
      <c r="AD11" s="10">
        <f t="shared" ref="AD11" si="10">AC11*AB11*(1-O11)</f>
        <v>0.33333333333333331</v>
      </c>
      <c r="AE11" s="36">
        <f t="shared" si="8"/>
        <v>0.27777777777777773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2974</v>
      </c>
      <c r="K12" s="15">
        <f>L12+3015+1279</f>
        <v>7268</v>
      </c>
      <c r="L12" s="15">
        <f>2636+338</f>
        <v>2974</v>
      </c>
      <c r="M12" s="15">
        <f t="shared" si="1"/>
        <v>2974</v>
      </c>
      <c r="N12" s="15">
        <v>0</v>
      </c>
      <c r="O12" s="58">
        <f t="shared" si="2"/>
        <v>0</v>
      </c>
      <c r="P12" s="39">
        <f t="shared" si="3"/>
        <v>14</v>
      </c>
      <c r="Q12" s="40">
        <f t="shared" si="4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0.58333333333333337</v>
      </c>
      <c r="AD12" s="10">
        <f t="shared" si="7"/>
        <v>0.58333333333333337</v>
      </c>
      <c r="AE12" s="36">
        <f t="shared" si="8"/>
        <v>0.27777777777777773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219</v>
      </c>
      <c r="E13" s="53" t="s">
        <v>220</v>
      </c>
      <c r="F13" s="30" t="s">
        <v>227</v>
      </c>
      <c r="G13" s="33">
        <v>1</v>
      </c>
      <c r="H13" s="35">
        <v>24</v>
      </c>
      <c r="I13" s="7">
        <v>4000</v>
      </c>
      <c r="J13" s="14">
        <v>1089</v>
      </c>
      <c r="K13" s="15">
        <f>L13+4654</f>
        <v>5743</v>
      </c>
      <c r="L13" s="15">
        <v>1089</v>
      </c>
      <c r="M13" s="15">
        <f t="shared" si="1"/>
        <v>1089</v>
      </c>
      <c r="N13" s="15">
        <v>0</v>
      </c>
      <c r="O13" s="58">
        <f t="shared" si="2"/>
        <v>0</v>
      </c>
      <c r="P13" s="39">
        <f t="shared" si="3"/>
        <v>5</v>
      </c>
      <c r="Q13" s="40">
        <f t="shared" si="4"/>
        <v>19</v>
      </c>
      <c r="R13" s="7"/>
      <c r="S13" s="6"/>
      <c r="T13" s="16"/>
      <c r="U13" s="16"/>
      <c r="V13" s="17"/>
      <c r="W13" s="5">
        <v>19</v>
      </c>
      <c r="X13" s="16"/>
      <c r="Y13" s="16"/>
      <c r="Z13" s="16"/>
      <c r="AA13" s="18"/>
      <c r="AB13" s="8">
        <f t="shared" si="5"/>
        <v>1</v>
      </c>
      <c r="AC13" s="9">
        <f t="shared" si="6"/>
        <v>0.20833333333333334</v>
      </c>
      <c r="AD13" s="10">
        <f t="shared" si="7"/>
        <v>0.20833333333333334</v>
      </c>
      <c r="AE13" s="36">
        <f t="shared" si="8"/>
        <v>0.27777777777777773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251</v>
      </c>
      <c r="D14" s="52"/>
      <c r="E14" s="53" t="s">
        <v>252</v>
      </c>
      <c r="F14" s="30" t="s">
        <v>253</v>
      </c>
      <c r="G14" s="33">
        <v>1</v>
      </c>
      <c r="H14" s="35">
        <v>24</v>
      </c>
      <c r="I14" s="7">
        <v>1000</v>
      </c>
      <c r="J14" s="14">
        <v>3777</v>
      </c>
      <c r="K14" s="15">
        <f>L14</f>
        <v>3777</v>
      </c>
      <c r="L14" s="15">
        <f>3777</f>
        <v>3777</v>
      </c>
      <c r="M14" s="15">
        <f t="shared" ref="M14" si="11">L14-N14</f>
        <v>3777</v>
      </c>
      <c r="N14" s="15">
        <v>0</v>
      </c>
      <c r="O14" s="58">
        <f t="shared" ref="O14" si="12">IF(L14=0,"0",N14/L14)</f>
        <v>0</v>
      </c>
      <c r="P14" s="39">
        <f t="shared" ref="P14" si="13">IF(L14=0,"0",(24-Q14))</f>
        <v>17</v>
      </c>
      <c r="Q14" s="40">
        <f t="shared" ref="Q14" si="14">SUM(R14:AA14)</f>
        <v>7</v>
      </c>
      <c r="R14" s="7"/>
      <c r="S14" s="6"/>
      <c r="T14" s="16">
        <v>7</v>
      </c>
      <c r="U14" s="16"/>
      <c r="V14" s="17"/>
      <c r="W14" s="5"/>
      <c r="X14" s="16"/>
      <c r="Y14" s="16"/>
      <c r="Z14" s="16"/>
      <c r="AA14" s="18"/>
      <c r="AB14" s="8">
        <f t="shared" ref="AB14" si="15">IF(J14=0,"0",(L14/J14))</f>
        <v>1</v>
      </c>
      <c r="AC14" s="9">
        <f t="shared" ref="AC14" si="16">IF(P14=0,"0",(P14/24))</f>
        <v>0.70833333333333337</v>
      </c>
      <c r="AD14" s="10">
        <f t="shared" ref="AD14" si="17">AC14*AB14*(1-O14)</f>
        <v>0.70833333333333337</v>
      </c>
      <c r="AE14" s="36">
        <f t="shared" si="8"/>
        <v>0.27777777777777773</v>
      </c>
      <c r="AF14" s="87">
        <f t="shared" ref="AF14" si="18">A14</f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196</v>
      </c>
      <c r="E15" s="53" t="s">
        <v>189</v>
      </c>
      <c r="F15" s="30" t="s">
        <v>197</v>
      </c>
      <c r="G15" s="12">
        <v>1</v>
      </c>
      <c r="H15" s="13">
        <v>28</v>
      </c>
      <c r="I15" s="7">
        <v>2000</v>
      </c>
      <c r="J15" s="5">
        <v>1045</v>
      </c>
      <c r="K15" s="15">
        <f>L15+620+500+1045</f>
        <v>2165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0.27777777777777773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156</v>
      </c>
      <c r="D16" s="52"/>
      <c r="E16" s="53" t="s">
        <v>157</v>
      </c>
      <c r="F16" s="12" t="s">
        <v>158</v>
      </c>
      <c r="G16" s="12">
        <v>8</v>
      </c>
      <c r="H16" s="13">
        <v>24</v>
      </c>
      <c r="I16" s="31">
        <v>10000</v>
      </c>
      <c r="J16" s="14">
        <v>7008</v>
      </c>
      <c r="K16" s="15">
        <f>L16+17192+7008</f>
        <v>24200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0.27777777777777773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124</v>
      </c>
      <c r="D17" s="52" t="s">
        <v>128</v>
      </c>
      <c r="E17" s="53" t="s">
        <v>150</v>
      </c>
      <c r="F17" s="30" t="s">
        <v>129</v>
      </c>
      <c r="G17" s="12">
        <v>1</v>
      </c>
      <c r="H17" s="13">
        <v>28</v>
      </c>
      <c r="I17" s="7">
        <v>9000</v>
      </c>
      <c r="J17" s="14">
        <v>4928</v>
      </c>
      <c r="K17" s="15">
        <f>L17+5027+5503+5566+4928</f>
        <v>21024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0.27777777777777773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133</v>
      </c>
      <c r="D18" s="52" t="s">
        <v>128</v>
      </c>
      <c r="E18" s="53" t="s">
        <v>228</v>
      </c>
      <c r="F18" s="30" t="s">
        <v>151</v>
      </c>
      <c r="G18" s="33">
        <v>2</v>
      </c>
      <c r="H18" s="35">
        <v>20</v>
      </c>
      <c r="I18" s="7">
        <v>15000</v>
      </c>
      <c r="J18" s="14">
        <v>9272</v>
      </c>
      <c r="K18" s="15">
        <f>L18+10832</f>
        <v>20104</v>
      </c>
      <c r="L18" s="15">
        <f>1970*2+2666*2</f>
        <v>9272</v>
      </c>
      <c r="M18" s="15">
        <f t="shared" si="1"/>
        <v>9272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0.27777777777777773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125</v>
      </c>
      <c r="E19" s="53" t="s">
        <v>165</v>
      </c>
      <c r="F19" s="30" t="s">
        <v>127</v>
      </c>
      <c r="G19" s="33">
        <v>1</v>
      </c>
      <c r="H19" s="35">
        <v>24</v>
      </c>
      <c r="I19" s="7">
        <v>45500</v>
      </c>
      <c r="J19" s="5">
        <v>5617</v>
      </c>
      <c r="K19" s="15">
        <f>L19+5168+5602+5615+5497+3412+5557+5582+5609</f>
        <v>47659</v>
      </c>
      <c r="L19" s="15">
        <f>3020+2597</f>
        <v>5617</v>
      </c>
      <c r="M19" s="15">
        <f t="shared" si="1"/>
        <v>5617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0.27777777777777773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114</v>
      </c>
      <c r="D20" s="52" t="s">
        <v>117</v>
      </c>
      <c r="E20" s="53" t="s">
        <v>166</v>
      </c>
      <c r="F20" s="30" t="s">
        <v>121</v>
      </c>
      <c r="G20" s="33">
        <v>1</v>
      </c>
      <c r="H20" s="35">
        <v>24</v>
      </c>
      <c r="I20" s="7">
        <v>45000</v>
      </c>
      <c r="J20" s="14">
        <v>2139</v>
      </c>
      <c r="K20" s="15">
        <f>L20+4853+5291+4951+5173+4262+2713+2139</f>
        <v>29382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ref="AD20:AD21" si="19">AC20*AB20*(1-O20)</f>
        <v>0</v>
      </c>
      <c r="AE20" s="36">
        <f t="shared" si="8"/>
        <v>0.27777777777777773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152</v>
      </c>
      <c r="F21" s="12" t="s">
        <v>116</v>
      </c>
      <c r="G21" s="12">
        <v>3</v>
      </c>
      <c r="H21" s="35">
        <v>20</v>
      </c>
      <c r="I21" s="7">
        <v>300000</v>
      </c>
      <c r="J21" s="14">
        <v>25017</v>
      </c>
      <c r="K21" s="15">
        <f>L21+54642+62589+25017</f>
        <v>142248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19"/>
        <v>0</v>
      </c>
      <c r="AE21" s="36">
        <f t="shared" si="8"/>
        <v>0.27777777777777773</v>
      </c>
      <c r="AF21" s="87">
        <f t="shared" si="9"/>
        <v>15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20">SUM(I6:I21)</f>
        <v>769500</v>
      </c>
      <c r="J22" s="19">
        <f t="shared" si="20"/>
        <v>80785</v>
      </c>
      <c r="K22" s="20">
        <f t="shared" si="20"/>
        <v>328343</v>
      </c>
      <c r="L22" s="21">
        <f t="shared" si="20"/>
        <v>34361</v>
      </c>
      <c r="M22" s="20">
        <f t="shared" si="20"/>
        <v>34361</v>
      </c>
      <c r="N22" s="21">
        <f t="shared" si="20"/>
        <v>0</v>
      </c>
      <c r="O22" s="41">
        <f t="shared" si="2"/>
        <v>0</v>
      </c>
      <c r="P22" s="42">
        <f t="shared" ref="P22:AA22" si="21">SUM(P6:P21)</f>
        <v>100</v>
      </c>
      <c r="Q22" s="43">
        <f t="shared" si="21"/>
        <v>284</v>
      </c>
      <c r="R22" s="23">
        <f t="shared" si="21"/>
        <v>70</v>
      </c>
      <c r="S22" s="24">
        <f t="shared" si="21"/>
        <v>100</v>
      </c>
      <c r="T22" s="24">
        <f t="shared" si="21"/>
        <v>7</v>
      </c>
      <c r="U22" s="24">
        <f t="shared" si="21"/>
        <v>0</v>
      </c>
      <c r="V22" s="25">
        <f t="shared" si="21"/>
        <v>24</v>
      </c>
      <c r="W22" s="26">
        <f t="shared" si="21"/>
        <v>83</v>
      </c>
      <c r="X22" s="27">
        <f t="shared" si="21"/>
        <v>0</v>
      </c>
      <c r="Y22" s="27">
        <f t="shared" si="21"/>
        <v>0</v>
      </c>
      <c r="Z22" s="27">
        <f t="shared" si="21"/>
        <v>0</v>
      </c>
      <c r="AA22" s="27">
        <f t="shared" si="21"/>
        <v>0</v>
      </c>
      <c r="AB22" s="28">
        <f>SUM(AB6:AB21)/15</f>
        <v>0.53333333333333333</v>
      </c>
      <c r="AC22" s="4">
        <f>SUM(AC6:AC21)/15</f>
        <v>0.27777777777777773</v>
      </c>
      <c r="AD22" s="4">
        <f>SUM(AD6:AD21)/15</f>
        <v>0.27777777777777773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254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259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171" t="s">
        <v>46</v>
      </c>
      <c r="D51" s="171" t="s">
        <v>47</v>
      </c>
      <c r="E51" s="171" t="s">
        <v>108</v>
      </c>
      <c r="F51" s="448" t="s">
        <v>107</v>
      </c>
      <c r="G51" s="448"/>
      <c r="H51" s="448"/>
      <c r="I51" s="448"/>
      <c r="J51" s="448"/>
      <c r="K51" s="448"/>
      <c r="L51" s="448"/>
      <c r="M51" s="449"/>
      <c r="N51" s="67" t="s">
        <v>112</v>
      </c>
      <c r="O51" s="171" t="s">
        <v>46</v>
      </c>
      <c r="P51" s="450" t="s">
        <v>47</v>
      </c>
      <c r="Q51" s="451"/>
      <c r="R51" s="450" t="s">
        <v>38</v>
      </c>
      <c r="S51" s="452"/>
      <c r="T51" s="452"/>
      <c r="U51" s="451"/>
      <c r="V51" s="450" t="s">
        <v>48</v>
      </c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19" t="s">
        <v>133</v>
      </c>
      <c r="B52" s="420"/>
      <c r="C52" s="173" t="s">
        <v>136</v>
      </c>
      <c r="D52" s="173" t="s">
        <v>248</v>
      </c>
      <c r="E52" s="173" t="s">
        <v>236</v>
      </c>
      <c r="F52" s="421" t="s">
        <v>255</v>
      </c>
      <c r="G52" s="422"/>
      <c r="H52" s="422"/>
      <c r="I52" s="422"/>
      <c r="J52" s="422"/>
      <c r="K52" s="422"/>
      <c r="L52" s="422"/>
      <c r="M52" s="423"/>
      <c r="N52" s="172" t="s">
        <v>124</v>
      </c>
      <c r="O52" s="177" t="s">
        <v>131</v>
      </c>
      <c r="P52" s="433" t="s">
        <v>234</v>
      </c>
      <c r="Q52" s="434"/>
      <c r="R52" s="420" t="s">
        <v>235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124</v>
      </c>
      <c r="B53" s="420"/>
      <c r="C53" s="173" t="s">
        <v>131</v>
      </c>
      <c r="D53" s="173" t="s">
        <v>234</v>
      </c>
      <c r="E53" s="173" t="s">
        <v>235</v>
      </c>
      <c r="F53" s="421" t="s">
        <v>256</v>
      </c>
      <c r="G53" s="422"/>
      <c r="H53" s="422"/>
      <c r="I53" s="422"/>
      <c r="J53" s="422"/>
      <c r="K53" s="422"/>
      <c r="L53" s="422"/>
      <c r="M53" s="423"/>
      <c r="N53" s="172" t="s">
        <v>133</v>
      </c>
      <c r="O53" s="177" t="s">
        <v>136</v>
      </c>
      <c r="P53" s="433" t="s">
        <v>237</v>
      </c>
      <c r="Q53" s="434"/>
      <c r="R53" s="420" t="s">
        <v>236</v>
      </c>
      <c r="S53" s="420"/>
      <c r="T53" s="420"/>
      <c r="U53" s="420"/>
      <c r="V53" s="410" t="s">
        <v>126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173" t="s">
        <v>139</v>
      </c>
      <c r="D54" s="173" t="s">
        <v>117</v>
      </c>
      <c r="E54" s="173" t="s">
        <v>168</v>
      </c>
      <c r="F54" s="421" t="s">
        <v>257</v>
      </c>
      <c r="G54" s="422"/>
      <c r="H54" s="422"/>
      <c r="I54" s="422"/>
      <c r="J54" s="422"/>
      <c r="K54" s="422"/>
      <c r="L54" s="422"/>
      <c r="M54" s="423"/>
      <c r="N54" s="172" t="s">
        <v>124</v>
      </c>
      <c r="O54" s="177" t="s">
        <v>184</v>
      </c>
      <c r="P54" s="433" t="s">
        <v>148</v>
      </c>
      <c r="Q54" s="434"/>
      <c r="R54" s="420" t="s">
        <v>186</v>
      </c>
      <c r="S54" s="420"/>
      <c r="T54" s="420"/>
      <c r="U54" s="420"/>
      <c r="V54" s="410" t="s">
        <v>126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251</v>
      </c>
      <c r="B55" s="420"/>
      <c r="C55" s="173" t="s">
        <v>143</v>
      </c>
      <c r="D55" s="173"/>
      <c r="E55" s="173" t="s">
        <v>252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172" t="s">
        <v>114</v>
      </c>
      <c r="O55" s="177" t="s">
        <v>145</v>
      </c>
      <c r="P55" s="433" t="s">
        <v>117</v>
      </c>
      <c r="Q55" s="434"/>
      <c r="R55" s="420" t="s">
        <v>166</v>
      </c>
      <c r="S55" s="420"/>
      <c r="T55" s="420"/>
      <c r="U55" s="420"/>
      <c r="V55" s="410" t="s">
        <v>126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124</v>
      </c>
      <c r="B56" s="420"/>
      <c r="C56" s="173" t="s">
        <v>184</v>
      </c>
      <c r="D56" s="173" t="s">
        <v>148</v>
      </c>
      <c r="E56" s="173" t="s">
        <v>191</v>
      </c>
      <c r="F56" s="421" t="s">
        <v>258</v>
      </c>
      <c r="G56" s="422"/>
      <c r="H56" s="422"/>
      <c r="I56" s="422"/>
      <c r="J56" s="422"/>
      <c r="K56" s="422"/>
      <c r="L56" s="422"/>
      <c r="M56" s="423"/>
      <c r="N56" s="172"/>
      <c r="O56" s="177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133</v>
      </c>
      <c r="B57" s="420"/>
      <c r="C57" s="173" t="s">
        <v>200</v>
      </c>
      <c r="D57" s="173" t="s">
        <v>154</v>
      </c>
      <c r="E57" s="173" t="s">
        <v>250</v>
      </c>
      <c r="F57" s="421" t="s">
        <v>120</v>
      </c>
      <c r="G57" s="422"/>
      <c r="H57" s="422"/>
      <c r="I57" s="422"/>
      <c r="J57" s="422"/>
      <c r="K57" s="422"/>
      <c r="L57" s="422"/>
      <c r="M57" s="423"/>
      <c r="N57" s="172"/>
      <c r="O57" s="177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173"/>
      <c r="D58" s="173"/>
      <c r="E58" s="173"/>
      <c r="F58" s="421"/>
      <c r="G58" s="422"/>
      <c r="H58" s="422"/>
      <c r="I58" s="422"/>
      <c r="J58" s="422"/>
      <c r="K58" s="422"/>
      <c r="L58" s="422"/>
      <c r="M58" s="423"/>
      <c r="N58" s="172"/>
      <c r="O58" s="177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73"/>
      <c r="D59" s="173"/>
      <c r="E59" s="173"/>
      <c r="F59" s="421"/>
      <c r="G59" s="422"/>
      <c r="H59" s="422"/>
      <c r="I59" s="422"/>
      <c r="J59" s="422"/>
      <c r="K59" s="422"/>
      <c r="L59" s="422"/>
      <c r="M59" s="423"/>
      <c r="N59" s="172"/>
      <c r="O59" s="177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173"/>
      <c r="D60" s="173"/>
      <c r="E60" s="173"/>
      <c r="F60" s="421"/>
      <c r="G60" s="422"/>
      <c r="H60" s="422"/>
      <c r="I60" s="422"/>
      <c r="J60" s="422"/>
      <c r="K60" s="422"/>
      <c r="L60" s="422"/>
      <c r="M60" s="423"/>
      <c r="N60" s="172"/>
      <c r="O60" s="177"/>
      <c r="P60" s="420"/>
      <c r="Q60" s="420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  <c r="AF60" s="87">
        <f>8*3000</f>
        <v>24000</v>
      </c>
    </row>
    <row r="61" spans="1:32" ht="27" customHeight="1" thickBot="1">
      <c r="A61" s="425"/>
      <c r="B61" s="426"/>
      <c r="C61" s="174"/>
      <c r="D61" s="174"/>
      <c r="E61" s="174"/>
      <c r="F61" s="427"/>
      <c r="G61" s="428"/>
      <c r="H61" s="428"/>
      <c r="I61" s="428"/>
      <c r="J61" s="428"/>
      <c r="K61" s="428"/>
      <c r="L61" s="428"/>
      <c r="M61" s="429"/>
      <c r="N61" s="124"/>
      <c r="O61" s="114"/>
      <c r="P61" s="430"/>
      <c r="Q61" s="430"/>
      <c r="R61" s="430"/>
      <c r="S61" s="430"/>
      <c r="T61" s="430"/>
      <c r="U61" s="430"/>
      <c r="V61" s="431"/>
      <c r="W61" s="431"/>
      <c r="X61" s="431"/>
      <c r="Y61" s="431"/>
      <c r="Z61" s="431"/>
      <c r="AA61" s="431"/>
      <c r="AB61" s="431"/>
      <c r="AC61" s="431"/>
      <c r="AD61" s="432"/>
      <c r="AF61" s="87">
        <f>16*3000</f>
        <v>48000</v>
      </c>
    </row>
    <row r="62" spans="1:32" ht="27.75" thickBot="1">
      <c r="A62" s="417" t="s">
        <v>260</v>
      </c>
      <c r="B62" s="417"/>
      <c r="C62" s="417"/>
      <c r="D62" s="417"/>
      <c r="E62" s="41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8" t="s">
        <v>113</v>
      </c>
      <c r="B63" s="415"/>
      <c r="C63" s="175" t="s">
        <v>2</v>
      </c>
      <c r="D63" s="175" t="s">
        <v>37</v>
      </c>
      <c r="E63" s="175" t="s">
        <v>3</v>
      </c>
      <c r="F63" s="415" t="s">
        <v>110</v>
      </c>
      <c r="G63" s="415"/>
      <c r="H63" s="415"/>
      <c r="I63" s="415"/>
      <c r="J63" s="415"/>
      <c r="K63" s="415" t="s">
        <v>39</v>
      </c>
      <c r="L63" s="415"/>
      <c r="M63" s="175" t="s">
        <v>40</v>
      </c>
      <c r="N63" s="415" t="s">
        <v>41</v>
      </c>
      <c r="O63" s="415"/>
      <c r="P63" s="412" t="s">
        <v>42</v>
      </c>
      <c r="Q63" s="414"/>
      <c r="R63" s="412" t="s">
        <v>43</v>
      </c>
      <c r="S63" s="413"/>
      <c r="T63" s="413"/>
      <c r="U63" s="413"/>
      <c r="V63" s="413"/>
      <c r="W63" s="413"/>
      <c r="X63" s="413"/>
      <c r="Y63" s="413"/>
      <c r="Z63" s="413"/>
      <c r="AA63" s="414"/>
      <c r="AB63" s="415" t="s">
        <v>44</v>
      </c>
      <c r="AC63" s="415"/>
      <c r="AD63" s="416"/>
      <c r="AF63" s="87">
        <f>SUM(AF60:AF62)</f>
        <v>96000</v>
      </c>
    </row>
    <row r="64" spans="1:32" ht="25.5" customHeight="1">
      <c r="A64" s="406">
        <v>1</v>
      </c>
      <c r="B64" s="407"/>
      <c r="C64" s="117" t="s">
        <v>133</v>
      </c>
      <c r="D64" s="179"/>
      <c r="E64" s="176" t="s">
        <v>154</v>
      </c>
      <c r="F64" s="408" t="s">
        <v>250</v>
      </c>
      <c r="G64" s="400"/>
      <c r="H64" s="400"/>
      <c r="I64" s="400"/>
      <c r="J64" s="400"/>
      <c r="K64" s="400" t="s">
        <v>129</v>
      </c>
      <c r="L64" s="400"/>
      <c r="M64" s="51" t="s">
        <v>240</v>
      </c>
      <c r="N64" s="411" t="s">
        <v>200</v>
      </c>
      <c r="O64" s="411"/>
      <c r="P64" s="409">
        <v>100</v>
      </c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2</v>
      </c>
      <c r="B65" s="407"/>
      <c r="C65" s="117" t="s">
        <v>114</v>
      </c>
      <c r="D65" s="179"/>
      <c r="E65" s="176" t="s">
        <v>261</v>
      </c>
      <c r="F65" s="408" t="s">
        <v>262</v>
      </c>
      <c r="G65" s="400"/>
      <c r="H65" s="400"/>
      <c r="I65" s="400"/>
      <c r="J65" s="400"/>
      <c r="K65" s="400" t="s">
        <v>121</v>
      </c>
      <c r="L65" s="400"/>
      <c r="M65" s="51" t="s">
        <v>240</v>
      </c>
      <c r="N65" s="411" t="s">
        <v>200</v>
      </c>
      <c r="O65" s="411"/>
      <c r="P65" s="409">
        <v>100</v>
      </c>
      <c r="Q65" s="409"/>
      <c r="R65" s="410" t="s">
        <v>263</v>
      </c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3</v>
      </c>
      <c r="B66" s="407"/>
      <c r="C66" s="117"/>
      <c r="D66" s="179"/>
      <c r="E66" s="176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4</v>
      </c>
      <c r="B67" s="407"/>
      <c r="C67" s="117"/>
      <c r="D67" s="179"/>
      <c r="E67" s="176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5</v>
      </c>
      <c r="B68" s="407"/>
      <c r="C68" s="117"/>
      <c r="D68" s="179"/>
      <c r="E68" s="176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6</v>
      </c>
      <c r="B69" s="407"/>
      <c r="C69" s="117"/>
      <c r="D69" s="179"/>
      <c r="E69" s="176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7</v>
      </c>
      <c r="B70" s="407"/>
      <c r="C70" s="117"/>
      <c r="D70" s="179"/>
      <c r="E70" s="176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8</v>
      </c>
      <c r="B71" s="407"/>
      <c r="C71" s="117"/>
      <c r="D71" s="179"/>
      <c r="E71" s="176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6.25" customHeight="1" thickBot="1">
      <c r="A72" s="380" t="s">
        <v>264</v>
      </c>
      <c r="B72" s="380"/>
      <c r="C72" s="380"/>
      <c r="D72" s="380"/>
      <c r="E72" s="380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81" t="s">
        <v>113</v>
      </c>
      <c r="B73" s="382"/>
      <c r="C73" s="178" t="s">
        <v>2</v>
      </c>
      <c r="D73" s="178" t="s">
        <v>37</v>
      </c>
      <c r="E73" s="178" t="s">
        <v>3</v>
      </c>
      <c r="F73" s="382" t="s">
        <v>38</v>
      </c>
      <c r="G73" s="382"/>
      <c r="H73" s="382"/>
      <c r="I73" s="382"/>
      <c r="J73" s="382"/>
      <c r="K73" s="402" t="s">
        <v>58</v>
      </c>
      <c r="L73" s="403"/>
      <c r="M73" s="403"/>
      <c r="N73" s="403"/>
      <c r="O73" s="403"/>
      <c r="P73" s="403"/>
      <c r="Q73" s="403"/>
      <c r="R73" s="403"/>
      <c r="S73" s="404"/>
      <c r="T73" s="382" t="s">
        <v>49</v>
      </c>
      <c r="U73" s="382"/>
      <c r="V73" s="402" t="s">
        <v>50</v>
      </c>
      <c r="W73" s="404"/>
      <c r="X73" s="403" t="s">
        <v>51</v>
      </c>
      <c r="Y73" s="403"/>
      <c r="Z73" s="403"/>
      <c r="AA73" s="403"/>
      <c r="AB73" s="403"/>
      <c r="AC73" s="403"/>
      <c r="AD73" s="405"/>
      <c r="AF73" s="50"/>
    </row>
    <row r="74" spans="1:32" ht="33.75" customHeight="1">
      <c r="A74" s="374">
        <v>1</v>
      </c>
      <c r="B74" s="375"/>
      <c r="C74" s="180" t="s">
        <v>114</v>
      </c>
      <c r="D74" s="180"/>
      <c r="E74" s="65" t="s">
        <v>119</v>
      </c>
      <c r="F74" s="389" t="s">
        <v>118</v>
      </c>
      <c r="G74" s="390"/>
      <c r="H74" s="390"/>
      <c r="I74" s="390"/>
      <c r="J74" s="391"/>
      <c r="K74" s="392" t="s">
        <v>137</v>
      </c>
      <c r="L74" s="393"/>
      <c r="M74" s="393"/>
      <c r="N74" s="393"/>
      <c r="O74" s="393"/>
      <c r="P74" s="393"/>
      <c r="Q74" s="393"/>
      <c r="R74" s="393"/>
      <c r="S74" s="394"/>
      <c r="T74" s="395">
        <v>43675</v>
      </c>
      <c r="U74" s="396"/>
      <c r="V74" s="397"/>
      <c r="W74" s="397"/>
      <c r="X74" s="398"/>
      <c r="Y74" s="398"/>
      <c r="Z74" s="398"/>
      <c r="AA74" s="398"/>
      <c r="AB74" s="398"/>
      <c r="AC74" s="398"/>
      <c r="AD74" s="399"/>
      <c r="AF74" s="50"/>
    </row>
    <row r="75" spans="1:32" ht="30" customHeight="1">
      <c r="A75" s="367">
        <f>A74+1</f>
        <v>2</v>
      </c>
      <c r="B75" s="368"/>
      <c r="C75" s="179"/>
      <c r="D75" s="179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ref="A76:A82" si="22">A75+1</f>
        <v>3</v>
      </c>
      <c r="B76" s="368"/>
      <c r="C76" s="179"/>
      <c r="D76" s="179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22"/>
        <v>4</v>
      </c>
      <c r="B77" s="368"/>
      <c r="C77" s="179"/>
      <c r="D77" s="179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2"/>
        <v>5</v>
      </c>
      <c r="B78" s="368"/>
      <c r="C78" s="179"/>
      <c r="D78" s="179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2"/>
        <v>6</v>
      </c>
      <c r="B79" s="368"/>
      <c r="C79" s="179"/>
      <c r="D79" s="179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2"/>
        <v>7</v>
      </c>
      <c r="B80" s="368"/>
      <c r="C80" s="179"/>
      <c r="D80" s="179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2"/>
        <v>8</v>
      </c>
      <c r="B81" s="368"/>
      <c r="C81" s="179"/>
      <c r="D81" s="179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2"/>
        <v>9</v>
      </c>
      <c r="B82" s="368"/>
      <c r="C82" s="179"/>
      <c r="D82" s="179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6" thickBot="1">
      <c r="A83" s="380" t="s">
        <v>265</v>
      </c>
      <c r="B83" s="380"/>
      <c r="C83" s="380"/>
      <c r="D83" s="380"/>
      <c r="E83" s="380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81" t="s">
        <v>113</v>
      </c>
      <c r="B84" s="382"/>
      <c r="C84" s="372" t="s">
        <v>52</v>
      </c>
      <c r="D84" s="372"/>
      <c r="E84" s="372" t="s">
        <v>53</v>
      </c>
      <c r="F84" s="372"/>
      <c r="G84" s="372"/>
      <c r="H84" s="372"/>
      <c r="I84" s="372"/>
      <c r="J84" s="372"/>
      <c r="K84" s="372" t="s">
        <v>54</v>
      </c>
      <c r="L84" s="372"/>
      <c r="M84" s="372"/>
      <c r="N84" s="372"/>
      <c r="O84" s="372"/>
      <c r="P84" s="372"/>
      <c r="Q84" s="372"/>
      <c r="R84" s="372"/>
      <c r="S84" s="372"/>
      <c r="T84" s="372" t="s">
        <v>55</v>
      </c>
      <c r="U84" s="372"/>
      <c r="V84" s="372" t="s">
        <v>56</v>
      </c>
      <c r="W84" s="372"/>
      <c r="X84" s="372"/>
      <c r="Y84" s="372" t="s">
        <v>51</v>
      </c>
      <c r="Z84" s="372"/>
      <c r="AA84" s="372"/>
      <c r="AB84" s="372"/>
      <c r="AC84" s="372"/>
      <c r="AD84" s="373"/>
      <c r="AF84" s="50"/>
    </row>
    <row r="85" spans="1:32" ht="30.75" customHeight="1">
      <c r="A85" s="374">
        <v>1</v>
      </c>
      <c r="B85" s="375"/>
      <c r="C85" s="376">
        <v>11</v>
      </c>
      <c r="D85" s="376"/>
      <c r="E85" s="376" t="s">
        <v>162</v>
      </c>
      <c r="F85" s="376"/>
      <c r="G85" s="376"/>
      <c r="H85" s="376"/>
      <c r="I85" s="376"/>
      <c r="J85" s="376"/>
      <c r="K85" s="376" t="s">
        <v>163</v>
      </c>
      <c r="L85" s="376"/>
      <c r="M85" s="376"/>
      <c r="N85" s="376"/>
      <c r="O85" s="376"/>
      <c r="P85" s="376"/>
      <c r="Q85" s="376"/>
      <c r="R85" s="376"/>
      <c r="S85" s="376"/>
      <c r="T85" s="376" t="s">
        <v>164</v>
      </c>
      <c r="U85" s="376"/>
      <c r="V85" s="377">
        <v>700000</v>
      </c>
      <c r="W85" s="377"/>
      <c r="X85" s="377"/>
      <c r="Y85" s="378"/>
      <c r="Z85" s="378"/>
      <c r="AA85" s="378"/>
      <c r="AB85" s="378"/>
      <c r="AC85" s="378"/>
      <c r="AD85" s="379"/>
      <c r="AF85" s="50"/>
    </row>
    <row r="86" spans="1:32" ht="30.75" customHeight="1">
      <c r="A86" s="367">
        <v>2</v>
      </c>
      <c r="B86" s="368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70"/>
      <c r="U86" s="370"/>
      <c r="V86" s="371"/>
      <c r="W86" s="371"/>
      <c r="X86" s="371"/>
      <c r="Y86" s="360"/>
      <c r="Z86" s="360"/>
      <c r="AA86" s="360"/>
      <c r="AB86" s="360"/>
      <c r="AC86" s="360"/>
      <c r="AD86" s="361"/>
      <c r="AF86" s="50"/>
    </row>
    <row r="87" spans="1:32" ht="30.75" customHeight="1" thickBot="1">
      <c r="A87" s="362">
        <v>3</v>
      </c>
      <c r="B87" s="363"/>
      <c r="C87" s="364"/>
      <c r="D87" s="364"/>
      <c r="E87" s="364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5"/>
      <c r="Z87" s="365"/>
      <c r="AA87" s="365"/>
      <c r="AB87" s="365"/>
      <c r="AC87" s="365"/>
      <c r="AD87" s="366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B8E9-123E-4107-BCC1-7F45B63BBA4C}">
  <dimension ref="A1:AF86"/>
  <sheetViews>
    <sheetView topLeftCell="A31" zoomScale="72" zoomScaleNormal="72" zoomScaleSheetLayoutView="70" workbookViewId="0">
      <selection activeCell="F58" sqref="F58:M5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266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91" t="s">
        <v>17</v>
      </c>
      <c r="L5" s="191" t="s">
        <v>18</v>
      </c>
      <c r="M5" s="191" t="s">
        <v>19</v>
      </c>
      <c r="N5" s="19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0.45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133</v>
      </c>
      <c r="D8" s="52" t="s">
        <v>248</v>
      </c>
      <c r="E8" s="53" t="s">
        <v>236</v>
      </c>
      <c r="F8" s="30" t="s">
        <v>121</v>
      </c>
      <c r="G8" s="33">
        <v>2</v>
      </c>
      <c r="H8" s="35">
        <v>24</v>
      </c>
      <c r="I8" s="7">
        <v>15000</v>
      </c>
      <c r="J8" s="14">
        <v>9126</v>
      </c>
      <c r="K8" s="15">
        <f>L8</f>
        <v>9126</v>
      </c>
      <c r="L8" s="15">
        <f>3279*2+1284*2</f>
        <v>9126</v>
      </c>
      <c r="M8" s="15">
        <f t="shared" si="1"/>
        <v>9126</v>
      </c>
      <c r="N8" s="15">
        <v>0</v>
      </c>
      <c r="O8" s="58">
        <f t="shared" si="2"/>
        <v>0</v>
      </c>
      <c r="P8" s="39">
        <f t="shared" si="3"/>
        <v>22</v>
      </c>
      <c r="Q8" s="40">
        <f t="shared" si="4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0.91666666666666663</v>
      </c>
      <c r="AD8" s="10">
        <f t="shared" si="7"/>
        <v>0.91666666666666663</v>
      </c>
      <c r="AE8" s="36">
        <f t="shared" si="8"/>
        <v>0.45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2807</v>
      </c>
      <c r="K9" s="15">
        <f>L9+1593+1896</f>
        <v>6296</v>
      </c>
      <c r="L9" s="15">
        <f>1750+1057</f>
        <v>2807</v>
      </c>
      <c r="M9" s="15">
        <f t="shared" si="1"/>
        <v>2807</v>
      </c>
      <c r="N9" s="15">
        <v>0</v>
      </c>
      <c r="O9" s="58">
        <f t="shared" si="2"/>
        <v>0</v>
      </c>
      <c r="P9" s="39">
        <f t="shared" si="3"/>
        <v>16</v>
      </c>
      <c r="Q9" s="40">
        <f t="shared" si="4"/>
        <v>8</v>
      </c>
      <c r="R9" s="7"/>
      <c r="S9" s="6">
        <v>8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0.66666666666666663</v>
      </c>
      <c r="AD9" s="10">
        <f t="shared" si="7"/>
        <v>0.66666666666666663</v>
      </c>
      <c r="AE9" s="36">
        <f t="shared" si="8"/>
        <v>0.45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234</v>
      </c>
      <c r="E10" s="53" t="s">
        <v>235</v>
      </c>
      <c r="F10" s="30" t="s">
        <v>249</v>
      </c>
      <c r="G10" s="33">
        <v>32</v>
      </c>
      <c r="H10" s="35">
        <v>24</v>
      </c>
      <c r="I10" s="7">
        <v>200000</v>
      </c>
      <c r="J10" s="5">
        <v>7584</v>
      </c>
      <c r="K10" s="15">
        <f>L10+7584</f>
        <v>7584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>
        <v>24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0.45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133</v>
      </c>
      <c r="D11" s="52" t="s">
        <v>117</v>
      </c>
      <c r="E11" s="53" t="s">
        <v>267</v>
      </c>
      <c r="F11" s="30" t="s">
        <v>121</v>
      </c>
      <c r="G11" s="33">
        <v>2</v>
      </c>
      <c r="H11" s="35">
        <v>24</v>
      </c>
      <c r="I11" s="7">
        <v>15000</v>
      </c>
      <c r="J11" s="14">
        <v>9880</v>
      </c>
      <c r="K11" s="15">
        <f>L11</f>
        <v>9880</v>
      </c>
      <c r="L11" s="15">
        <f>2181*2+2759*2</f>
        <v>9880</v>
      </c>
      <c r="M11" s="15">
        <f t="shared" si="1"/>
        <v>9880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 t="shared" ref="AD11" si="10">AC11*AB11*(1-O11)</f>
        <v>1</v>
      </c>
      <c r="AE11" s="36">
        <f t="shared" si="8"/>
        <v>0.45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4822</v>
      </c>
      <c r="K12" s="15">
        <f>L12+3015+1279+2974</f>
        <v>12090</v>
      </c>
      <c r="L12" s="15">
        <f>2534+2288</f>
        <v>4822</v>
      </c>
      <c r="M12" s="15">
        <f t="shared" si="1"/>
        <v>4822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133</v>
      </c>
      <c r="D13" s="52" t="s">
        <v>268</v>
      </c>
      <c r="E13" s="53" t="s">
        <v>269</v>
      </c>
      <c r="F13" s="30" t="s">
        <v>121</v>
      </c>
      <c r="G13" s="33">
        <v>1</v>
      </c>
      <c r="H13" s="35">
        <v>24</v>
      </c>
      <c r="I13" s="7">
        <v>1000</v>
      </c>
      <c r="J13" s="14">
        <v>1354</v>
      </c>
      <c r="K13" s="15">
        <f>L13</f>
        <v>1354</v>
      </c>
      <c r="L13" s="15">
        <v>1354</v>
      </c>
      <c r="M13" s="15">
        <f t="shared" si="1"/>
        <v>1354</v>
      </c>
      <c r="N13" s="15">
        <v>0</v>
      </c>
      <c r="O13" s="58">
        <f t="shared" si="2"/>
        <v>0</v>
      </c>
      <c r="P13" s="39">
        <f t="shared" si="3"/>
        <v>12</v>
      </c>
      <c r="Q13" s="40">
        <f t="shared" si="4"/>
        <v>12</v>
      </c>
      <c r="R13" s="7"/>
      <c r="S13" s="6">
        <v>6</v>
      </c>
      <c r="T13" s="16"/>
      <c r="U13" s="16"/>
      <c r="V13" s="17"/>
      <c r="W13" s="5">
        <v>6</v>
      </c>
      <c r="X13" s="16"/>
      <c r="Y13" s="16"/>
      <c r="Z13" s="16"/>
      <c r="AA13" s="18"/>
      <c r="AB13" s="8">
        <f t="shared" si="5"/>
        <v>1</v>
      </c>
      <c r="AC13" s="9">
        <f t="shared" si="6"/>
        <v>0.5</v>
      </c>
      <c r="AD13" s="10">
        <f t="shared" si="7"/>
        <v>0.5</v>
      </c>
      <c r="AE13" s="36">
        <f t="shared" si="8"/>
        <v>0.45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1045</v>
      </c>
      <c r="K14" s="15">
        <f>L14+620+500+1045</f>
        <v>2165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133</v>
      </c>
      <c r="D17" s="52" t="s">
        <v>242</v>
      </c>
      <c r="E17" s="53" t="s">
        <v>270</v>
      </c>
      <c r="F17" s="30" t="s">
        <v>271</v>
      </c>
      <c r="G17" s="33">
        <v>1</v>
      </c>
      <c r="H17" s="35">
        <v>20</v>
      </c>
      <c r="I17" s="7">
        <v>3000</v>
      </c>
      <c r="J17" s="14">
        <v>3245</v>
      </c>
      <c r="K17" s="15">
        <f>L17</f>
        <v>3245</v>
      </c>
      <c r="L17" s="15">
        <f>931+2314</f>
        <v>3245</v>
      </c>
      <c r="M17" s="15">
        <f t="shared" si="1"/>
        <v>3245</v>
      </c>
      <c r="N17" s="15">
        <v>0</v>
      </c>
      <c r="O17" s="58">
        <f t="shared" si="2"/>
        <v>0</v>
      </c>
      <c r="P17" s="39">
        <f t="shared" si="3"/>
        <v>19</v>
      </c>
      <c r="Q17" s="40">
        <f t="shared" si="4"/>
        <v>5</v>
      </c>
      <c r="R17" s="7"/>
      <c r="S17" s="6">
        <v>5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0.79166666666666663</v>
      </c>
      <c r="AD17" s="10">
        <f t="shared" si="7"/>
        <v>0.79166666666666663</v>
      </c>
      <c r="AE17" s="36">
        <f t="shared" si="8"/>
        <v>0.45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125</v>
      </c>
      <c r="E18" s="53" t="s">
        <v>165</v>
      </c>
      <c r="F18" s="30" t="s">
        <v>127</v>
      </c>
      <c r="G18" s="33">
        <v>1</v>
      </c>
      <c r="H18" s="35">
        <v>24</v>
      </c>
      <c r="I18" s="7">
        <v>45500</v>
      </c>
      <c r="J18" s="5">
        <v>4954</v>
      </c>
      <c r="K18" s="15">
        <f>L18+5168+5602+5615+5497+3412+5557+5582+5609+5617</f>
        <v>52613</v>
      </c>
      <c r="L18" s="15">
        <f>2615+2339</f>
        <v>4954</v>
      </c>
      <c r="M18" s="15">
        <f t="shared" si="1"/>
        <v>4954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0.45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117</v>
      </c>
      <c r="E19" s="53" t="s">
        <v>166</v>
      </c>
      <c r="F19" s="30" t="s">
        <v>121</v>
      </c>
      <c r="G19" s="33">
        <v>1</v>
      </c>
      <c r="H19" s="35">
        <v>24</v>
      </c>
      <c r="I19" s="7">
        <v>45000</v>
      </c>
      <c r="J19" s="14">
        <v>4329</v>
      </c>
      <c r="K19" s="15">
        <f>L19+4853+5291+4951+5173+4262+2713+2139</f>
        <v>33711</v>
      </c>
      <c r="L19" s="15">
        <f>2779+1550</f>
        <v>4329</v>
      </c>
      <c r="M19" s="15">
        <f t="shared" si="1"/>
        <v>4329</v>
      </c>
      <c r="N19" s="15">
        <v>0</v>
      </c>
      <c r="O19" s="58">
        <f t="shared" si="2"/>
        <v>0</v>
      </c>
      <c r="P19" s="39">
        <f t="shared" si="3"/>
        <v>21</v>
      </c>
      <c r="Q19" s="40">
        <f t="shared" si="4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0.875</v>
      </c>
      <c r="AD19" s="10">
        <f t="shared" ref="AD19:AD20" si="11">AC19*AB19*(1-O19)</f>
        <v>0.875</v>
      </c>
      <c r="AE19" s="36">
        <f t="shared" si="8"/>
        <v>0.45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25017</v>
      </c>
      <c r="K20" s="15">
        <f>L20+54642+62589+25017</f>
        <v>142248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11"/>
        <v>0</v>
      </c>
      <c r="AE20" s="36">
        <f t="shared" si="8"/>
        <v>0.45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766500</v>
      </c>
      <c r="J21" s="19">
        <f t="shared" si="12"/>
        <v>88160</v>
      </c>
      <c r="K21" s="20">
        <f t="shared" si="12"/>
        <v>337084</v>
      </c>
      <c r="L21" s="21">
        <f t="shared" si="12"/>
        <v>40517</v>
      </c>
      <c r="M21" s="20">
        <f t="shared" si="12"/>
        <v>40517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162</v>
      </c>
      <c r="Q21" s="43">
        <f t="shared" si="13"/>
        <v>198</v>
      </c>
      <c r="R21" s="23">
        <f t="shared" si="13"/>
        <v>72</v>
      </c>
      <c r="S21" s="24">
        <f t="shared" si="13"/>
        <v>48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54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0.53333333333333333</v>
      </c>
      <c r="AC21" s="4">
        <f>SUM(AC6:AC20)/15</f>
        <v>0.45</v>
      </c>
      <c r="AD21" s="4">
        <f>SUM(AD6:AD20)/15</f>
        <v>0.45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272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273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190" t="s">
        <v>46</v>
      </c>
      <c r="D50" s="190" t="s">
        <v>47</v>
      </c>
      <c r="E50" s="190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190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133</v>
      </c>
      <c r="B51" s="420"/>
      <c r="C51" s="188" t="s">
        <v>136</v>
      </c>
      <c r="D51" s="188" t="s">
        <v>248</v>
      </c>
      <c r="E51" s="188" t="s">
        <v>236</v>
      </c>
      <c r="F51" s="421" t="s">
        <v>126</v>
      </c>
      <c r="G51" s="422"/>
      <c r="H51" s="422"/>
      <c r="I51" s="422"/>
      <c r="J51" s="422"/>
      <c r="K51" s="422"/>
      <c r="L51" s="422"/>
      <c r="M51" s="423"/>
      <c r="N51" s="187" t="s">
        <v>133</v>
      </c>
      <c r="O51" s="185" t="s">
        <v>143</v>
      </c>
      <c r="P51" s="433" t="s">
        <v>117</v>
      </c>
      <c r="Q51" s="434"/>
      <c r="R51" s="420" t="s">
        <v>239</v>
      </c>
      <c r="S51" s="420"/>
      <c r="T51" s="420"/>
      <c r="U51" s="420"/>
      <c r="V51" s="410" t="s">
        <v>126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124</v>
      </c>
      <c r="B52" s="420"/>
      <c r="C52" s="188" t="s">
        <v>184</v>
      </c>
      <c r="D52" s="188" t="s">
        <v>148</v>
      </c>
      <c r="E52" s="188" t="s">
        <v>191</v>
      </c>
      <c r="F52" s="421" t="s">
        <v>274</v>
      </c>
      <c r="G52" s="422"/>
      <c r="H52" s="422"/>
      <c r="I52" s="422"/>
      <c r="J52" s="422"/>
      <c r="K52" s="422"/>
      <c r="L52" s="422"/>
      <c r="M52" s="423"/>
      <c r="N52" s="187" t="s">
        <v>124</v>
      </c>
      <c r="O52" s="185" t="s">
        <v>184</v>
      </c>
      <c r="P52" s="433" t="s">
        <v>148</v>
      </c>
      <c r="Q52" s="434"/>
      <c r="R52" s="420" t="s">
        <v>186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133</v>
      </c>
      <c r="B53" s="420"/>
      <c r="C53" s="188" t="s">
        <v>143</v>
      </c>
      <c r="D53" s="188" t="s">
        <v>268</v>
      </c>
      <c r="E53" s="188" t="s">
        <v>269</v>
      </c>
      <c r="F53" s="421" t="s">
        <v>275</v>
      </c>
      <c r="G53" s="422"/>
      <c r="H53" s="422"/>
      <c r="I53" s="422"/>
      <c r="J53" s="422"/>
      <c r="K53" s="422"/>
      <c r="L53" s="422"/>
      <c r="M53" s="423"/>
      <c r="N53" s="187" t="s">
        <v>133</v>
      </c>
      <c r="O53" s="185" t="s">
        <v>180</v>
      </c>
      <c r="P53" s="433" t="s">
        <v>117</v>
      </c>
      <c r="Q53" s="434"/>
      <c r="R53" s="420" t="s">
        <v>277</v>
      </c>
      <c r="S53" s="420"/>
      <c r="T53" s="420"/>
      <c r="U53" s="420"/>
      <c r="V53" s="410" t="s">
        <v>120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133</v>
      </c>
      <c r="B54" s="420"/>
      <c r="C54" s="188" t="s">
        <v>135</v>
      </c>
      <c r="D54" s="188" t="s">
        <v>276</v>
      </c>
      <c r="E54" s="188" t="s">
        <v>270</v>
      </c>
      <c r="F54" s="421" t="s">
        <v>120</v>
      </c>
      <c r="G54" s="422"/>
      <c r="H54" s="422"/>
      <c r="I54" s="422"/>
      <c r="J54" s="422"/>
      <c r="K54" s="422"/>
      <c r="L54" s="422"/>
      <c r="M54" s="423"/>
      <c r="N54" s="187"/>
      <c r="O54" s="185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188" t="s">
        <v>145</v>
      </c>
      <c r="D55" s="188" t="s">
        <v>117</v>
      </c>
      <c r="E55" s="188" t="s">
        <v>166</v>
      </c>
      <c r="F55" s="421" t="s">
        <v>126</v>
      </c>
      <c r="G55" s="422"/>
      <c r="H55" s="422"/>
      <c r="I55" s="422"/>
      <c r="J55" s="422"/>
      <c r="K55" s="422"/>
      <c r="L55" s="422"/>
      <c r="M55" s="423"/>
      <c r="N55" s="187"/>
      <c r="O55" s="185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188"/>
      <c r="D56" s="188"/>
      <c r="E56" s="188"/>
      <c r="F56" s="421"/>
      <c r="G56" s="422"/>
      <c r="H56" s="422"/>
      <c r="I56" s="422"/>
      <c r="J56" s="422"/>
      <c r="K56" s="422"/>
      <c r="L56" s="422"/>
      <c r="M56" s="423"/>
      <c r="N56" s="187"/>
      <c r="O56" s="185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188"/>
      <c r="D57" s="188"/>
      <c r="E57" s="188"/>
      <c r="F57" s="421"/>
      <c r="G57" s="422"/>
      <c r="H57" s="422"/>
      <c r="I57" s="422"/>
      <c r="J57" s="422"/>
      <c r="K57" s="422"/>
      <c r="L57" s="422"/>
      <c r="M57" s="423"/>
      <c r="N57" s="187"/>
      <c r="O57" s="185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188"/>
      <c r="D58" s="188"/>
      <c r="E58" s="188"/>
      <c r="F58" s="421"/>
      <c r="G58" s="422"/>
      <c r="H58" s="422"/>
      <c r="I58" s="422"/>
      <c r="J58" s="422"/>
      <c r="K58" s="422"/>
      <c r="L58" s="422"/>
      <c r="M58" s="423"/>
      <c r="N58" s="187"/>
      <c r="O58" s="185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88"/>
      <c r="D59" s="188"/>
      <c r="E59" s="188"/>
      <c r="F59" s="421"/>
      <c r="G59" s="422"/>
      <c r="H59" s="422"/>
      <c r="I59" s="422"/>
      <c r="J59" s="422"/>
      <c r="K59" s="422"/>
      <c r="L59" s="422"/>
      <c r="M59" s="423"/>
      <c r="N59" s="187"/>
      <c r="O59" s="185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189"/>
      <c r="D60" s="189"/>
      <c r="E60" s="189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278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186" t="s">
        <v>2</v>
      </c>
      <c r="D62" s="186" t="s">
        <v>37</v>
      </c>
      <c r="E62" s="186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186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/>
      <c r="D63" s="181"/>
      <c r="E63" s="184"/>
      <c r="F63" s="408"/>
      <c r="G63" s="400"/>
      <c r="H63" s="400"/>
      <c r="I63" s="400"/>
      <c r="J63" s="400"/>
      <c r="K63" s="400"/>
      <c r="L63" s="400"/>
      <c r="M63" s="51"/>
      <c r="N63" s="411"/>
      <c r="O63" s="411"/>
      <c r="P63" s="409"/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181"/>
      <c r="E64" s="184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181"/>
      <c r="E65" s="184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181"/>
      <c r="E66" s="184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181"/>
      <c r="E67" s="184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181"/>
      <c r="E68" s="184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181"/>
      <c r="E69" s="184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181"/>
      <c r="E70" s="184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279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183" t="s">
        <v>2</v>
      </c>
      <c r="D72" s="183" t="s">
        <v>37</v>
      </c>
      <c r="E72" s="183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182" t="s">
        <v>114</v>
      </c>
      <c r="D73" s="182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181"/>
      <c r="D74" s="181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181"/>
      <c r="D75" s="181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181"/>
      <c r="D76" s="181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181"/>
      <c r="D77" s="181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181"/>
      <c r="D78" s="181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181"/>
      <c r="D79" s="181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181"/>
      <c r="D80" s="181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181"/>
      <c r="D81" s="181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280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AD03-6AB0-482C-B650-2430672D882C}">
  <dimension ref="A1:AF86"/>
  <sheetViews>
    <sheetView zoomScale="72" zoomScaleNormal="72" zoomScaleSheetLayoutView="70" workbookViewId="0">
      <selection activeCell="F65" sqref="F65:J6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281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192" t="s">
        <v>17</v>
      </c>
      <c r="L5" s="192" t="s">
        <v>18</v>
      </c>
      <c r="M5" s="192" t="s">
        <v>19</v>
      </c>
      <c r="N5" s="19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0.16666666666666666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0.16666666666666666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133</v>
      </c>
      <c r="D8" s="52" t="s">
        <v>248</v>
      </c>
      <c r="E8" s="53" t="s">
        <v>236</v>
      </c>
      <c r="F8" s="30" t="s">
        <v>121</v>
      </c>
      <c r="G8" s="33">
        <v>2</v>
      </c>
      <c r="H8" s="35">
        <v>24</v>
      </c>
      <c r="I8" s="7">
        <v>15000</v>
      </c>
      <c r="J8" s="14">
        <v>5624</v>
      </c>
      <c r="K8" s="15">
        <f>L8+9126</f>
        <v>14750</v>
      </c>
      <c r="L8" s="15">
        <f>2812*2</f>
        <v>5624</v>
      </c>
      <c r="M8" s="15">
        <f t="shared" si="1"/>
        <v>5624</v>
      </c>
      <c r="N8" s="15">
        <v>0</v>
      </c>
      <c r="O8" s="58">
        <f t="shared" si="2"/>
        <v>0</v>
      </c>
      <c r="P8" s="39">
        <f t="shared" si="3"/>
        <v>11</v>
      </c>
      <c r="Q8" s="40">
        <f t="shared" si="4"/>
        <v>13</v>
      </c>
      <c r="R8" s="7"/>
      <c r="S8" s="6"/>
      <c r="T8" s="16"/>
      <c r="U8" s="16"/>
      <c r="V8" s="17">
        <v>13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0.45833333333333331</v>
      </c>
      <c r="AD8" s="10">
        <f t="shared" si="7"/>
        <v>0.45833333333333331</v>
      </c>
      <c r="AE8" s="36">
        <f t="shared" si="8"/>
        <v>0.16666666666666666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1401</v>
      </c>
      <c r="K9" s="15">
        <f>L9+1593+1896+2807</f>
        <v>7697</v>
      </c>
      <c r="L9" s="15">
        <v>1401</v>
      </c>
      <c r="M9" s="15">
        <f t="shared" si="1"/>
        <v>1401</v>
      </c>
      <c r="N9" s="15">
        <v>0</v>
      </c>
      <c r="O9" s="58">
        <f t="shared" si="2"/>
        <v>0</v>
      </c>
      <c r="P9" s="39">
        <f t="shared" si="3"/>
        <v>9</v>
      </c>
      <c r="Q9" s="40">
        <f t="shared" si="4"/>
        <v>15</v>
      </c>
      <c r="R9" s="7"/>
      <c r="S9" s="6">
        <v>2</v>
      </c>
      <c r="T9" s="16"/>
      <c r="U9" s="16"/>
      <c r="V9" s="17">
        <v>13</v>
      </c>
      <c r="W9" s="5"/>
      <c r="X9" s="16"/>
      <c r="Y9" s="16"/>
      <c r="Z9" s="16"/>
      <c r="AA9" s="18"/>
      <c r="AB9" s="8">
        <f t="shared" si="5"/>
        <v>1</v>
      </c>
      <c r="AC9" s="9">
        <f t="shared" si="6"/>
        <v>0.375</v>
      </c>
      <c r="AD9" s="10">
        <f t="shared" si="7"/>
        <v>0.375</v>
      </c>
      <c r="AE9" s="36">
        <f t="shared" si="8"/>
        <v>0.16666666666666666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234</v>
      </c>
      <c r="E10" s="53" t="s">
        <v>235</v>
      </c>
      <c r="F10" s="30" t="s">
        <v>249</v>
      </c>
      <c r="G10" s="33">
        <v>32</v>
      </c>
      <c r="H10" s="35">
        <v>24</v>
      </c>
      <c r="I10" s="7">
        <v>200000</v>
      </c>
      <c r="J10" s="5">
        <v>7584</v>
      </c>
      <c r="K10" s="15">
        <f>L10+7584</f>
        <v>7584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>
        <v>24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0.16666666666666666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133</v>
      </c>
      <c r="D11" s="52" t="s">
        <v>117</v>
      </c>
      <c r="E11" s="53" t="s">
        <v>267</v>
      </c>
      <c r="F11" s="30" t="s">
        <v>121</v>
      </c>
      <c r="G11" s="33">
        <v>2</v>
      </c>
      <c r="H11" s="35">
        <v>24</v>
      </c>
      <c r="I11" s="7">
        <v>15000</v>
      </c>
      <c r="J11" s="14">
        <v>4668</v>
      </c>
      <c r="K11" s="15">
        <f>L11+9880</f>
        <v>14548</v>
      </c>
      <c r="L11" s="15">
        <f>2334*2</f>
        <v>4668</v>
      </c>
      <c r="M11" s="15">
        <f t="shared" si="1"/>
        <v>4668</v>
      </c>
      <c r="N11" s="15">
        <v>0</v>
      </c>
      <c r="O11" s="58">
        <f t="shared" si="2"/>
        <v>0</v>
      </c>
      <c r="P11" s="39">
        <f t="shared" si="3"/>
        <v>11</v>
      </c>
      <c r="Q11" s="40">
        <f t="shared" si="4"/>
        <v>13</v>
      </c>
      <c r="R11" s="7"/>
      <c r="S11" s="6"/>
      <c r="T11" s="16"/>
      <c r="U11" s="16"/>
      <c r="V11" s="17">
        <v>13</v>
      </c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0.45833333333333331</v>
      </c>
      <c r="AD11" s="10">
        <f t="shared" ref="AD11" si="10">AC11*AB11*(1-O11)</f>
        <v>0.45833333333333331</v>
      </c>
      <c r="AE11" s="36">
        <f t="shared" si="8"/>
        <v>0.16666666666666666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1084</v>
      </c>
      <c r="K12" s="15">
        <f>L12+3015+1279+2974+4822</f>
        <v>13174</v>
      </c>
      <c r="L12" s="15">
        <v>1084</v>
      </c>
      <c r="M12" s="15">
        <f t="shared" si="1"/>
        <v>1084</v>
      </c>
      <c r="N12" s="15">
        <v>0</v>
      </c>
      <c r="O12" s="58">
        <f t="shared" si="2"/>
        <v>0</v>
      </c>
      <c r="P12" s="39">
        <f t="shared" si="3"/>
        <v>7</v>
      </c>
      <c r="Q12" s="40">
        <f t="shared" si="4"/>
        <v>17</v>
      </c>
      <c r="R12" s="7"/>
      <c r="S12" s="6">
        <v>4</v>
      </c>
      <c r="T12" s="16"/>
      <c r="U12" s="16"/>
      <c r="V12" s="17">
        <v>13</v>
      </c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0.29166666666666669</v>
      </c>
      <c r="AD12" s="10">
        <f t="shared" si="7"/>
        <v>0.29166666666666669</v>
      </c>
      <c r="AE12" s="36">
        <f t="shared" si="8"/>
        <v>0.16666666666666666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133</v>
      </c>
      <c r="D13" s="52" t="s">
        <v>117</v>
      </c>
      <c r="E13" s="53" t="s">
        <v>239</v>
      </c>
      <c r="F13" s="30" t="s">
        <v>121</v>
      </c>
      <c r="G13" s="33">
        <v>1</v>
      </c>
      <c r="H13" s="35">
        <v>24</v>
      </c>
      <c r="I13" s="7">
        <v>1000</v>
      </c>
      <c r="J13" s="14">
        <v>1354</v>
      </c>
      <c r="K13" s="15">
        <f>L13</f>
        <v>0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0.16666666666666666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1045</v>
      </c>
      <c r="K14" s="15">
        <f>L14+620+500+1045</f>
        <v>2165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0.16666666666666666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0.16666666666666666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0.16666666666666666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133</v>
      </c>
      <c r="D17" s="52" t="s">
        <v>242</v>
      </c>
      <c r="E17" s="53" t="s">
        <v>270</v>
      </c>
      <c r="F17" s="30" t="s">
        <v>271</v>
      </c>
      <c r="G17" s="33">
        <v>1</v>
      </c>
      <c r="H17" s="35">
        <v>20</v>
      </c>
      <c r="I17" s="7">
        <v>3000</v>
      </c>
      <c r="J17" s="14">
        <v>3245</v>
      </c>
      <c r="K17" s="15">
        <f>L17+3245</f>
        <v>3245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0.16666666666666666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133</v>
      </c>
      <c r="D18" s="52" t="s">
        <v>117</v>
      </c>
      <c r="E18" s="53" t="s">
        <v>277</v>
      </c>
      <c r="F18" s="30" t="s">
        <v>144</v>
      </c>
      <c r="G18" s="33">
        <v>1</v>
      </c>
      <c r="H18" s="35">
        <v>24</v>
      </c>
      <c r="I18" s="7">
        <v>30000</v>
      </c>
      <c r="J18" s="5">
        <v>2111</v>
      </c>
      <c r="K18" s="15">
        <f>L18</f>
        <v>2111</v>
      </c>
      <c r="L18" s="15">
        <f>2111</f>
        <v>2111</v>
      </c>
      <c r="M18" s="15">
        <f t="shared" si="1"/>
        <v>2111</v>
      </c>
      <c r="N18" s="15">
        <v>0</v>
      </c>
      <c r="O18" s="58">
        <f t="shared" si="2"/>
        <v>0</v>
      </c>
      <c r="P18" s="39">
        <f t="shared" si="3"/>
        <v>11</v>
      </c>
      <c r="Q18" s="40">
        <f t="shared" si="4"/>
        <v>13</v>
      </c>
      <c r="R18" s="7"/>
      <c r="S18" s="6"/>
      <c r="T18" s="16"/>
      <c r="U18" s="16"/>
      <c r="V18" s="17">
        <v>13</v>
      </c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0.45833333333333331</v>
      </c>
      <c r="AD18" s="10">
        <f>AC18*AB18*(1-O18)</f>
        <v>0.45833333333333331</v>
      </c>
      <c r="AE18" s="36">
        <f t="shared" si="8"/>
        <v>0.16666666666666666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117</v>
      </c>
      <c r="E19" s="53" t="s">
        <v>166</v>
      </c>
      <c r="F19" s="30" t="s">
        <v>121</v>
      </c>
      <c r="G19" s="33">
        <v>1</v>
      </c>
      <c r="H19" s="35">
        <v>24</v>
      </c>
      <c r="I19" s="7">
        <v>45000</v>
      </c>
      <c r="J19" s="14">
        <v>2450</v>
      </c>
      <c r="K19" s="15">
        <f>L19+4853+5291+4951+5173+4262+2713+2139+4329</f>
        <v>36161</v>
      </c>
      <c r="L19" s="15">
        <v>2450</v>
      </c>
      <c r="M19" s="15">
        <f t="shared" si="1"/>
        <v>2450</v>
      </c>
      <c r="N19" s="15">
        <v>0</v>
      </c>
      <c r="O19" s="58">
        <f t="shared" si="2"/>
        <v>0</v>
      </c>
      <c r="P19" s="39">
        <f t="shared" si="3"/>
        <v>11</v>
      </c>
      <c r="Q19" s="40">
        <f t="shared" si="4"/>
        <v>13</v>
      </c>
      <c r="R19" s="7"/>
      <c r="S19" s="6"/>
      <c r="T19" s="16"/>
      <c r="U19" s="16"/>
      <c r="V19" s="17">
        <v>13</v>
      </c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0.45833333333333331</v>
      </c>
      <c r="AD19" s="10">
        <f t="shared" ref="AD19:AD20" si="11">AC19*AB19*(1-O19)</f>
        <v>0.45833333333333331</v>
      </c>
      <c r="AE19" s="36">
        <f t="shared" si="8"/>
        <v>0.16666666666666666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25017</v>
      </c>
      <c r="K20" s="15">
        <f>L20+54642+62589+25017</f>
        <v>142248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11"/>
        <v>0</v>
      </c>
      <c r="AE20" s="36">
        <f t="shared" si="8"/>
        <v>0.16666666666666666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751000</v>
      </c>
      <c r="J21" s="19">
        <f t="shared" si="12"/>
        <v>69580</v>
      </c>
      <c r="K21" s="20">
        <f t="shared" si="12"/>
        <v>300455</v>
      </c>
      <c r="L21" s="21">
        <f t="shared" si="12"/>
        <v>17338</v>
      </c>
      <c r="M21" s="20">
        <f t="shared" si="12"/>
        <v>17338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60</v>
      </c>
      <c r="Q21" s="43">
        <f t="shared" si="13"/>
        <v>300</v>
      </c>
      <c r="R21" s="23">
        <f t="shared" si="13"/>
        <v>72</v>
      </c>
      <c r="S21" s="24">
        <f t="shared" si="13"/>
        <v>54</v>
      </c>
      <c r="T21" s="24">
        <f t="shared" si="13"/>
        <v>0</v>
      </c>
      <c r="U21" s="24">
        <f t="shared" si="13"/>
        <v>0</v>
      </c>
      <c r="V21" s="25">
        <f t="shared" si="13"/>
        <v>102</v>
      </c>
      <c r="W21" s="26">
        <f t="shared" si="13"/>
        <v>72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0.4</v>
      </c>
      <c r="AC21" s="4">
        <f>SUM(AC6:AC20)/15</f>
        <v>0.16666666666666666</v>
      </c>
      <c r="AD21" s="4">
        <f>SUM(AD6:AD20)/15</f>
        <v>0.16666666666666666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282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285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193" t="s">
        <v>46</v>
      </c>
      <c r="D50" s="193" t="s">
        <v>47</v>
      </c>
      <c r="E50" s="193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193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124</v>
      </c>
      <c r="B51" s="420"/>
      <c r="C51" s="195" t="s">
        <v>184</v>
      </c>
      <c r="D51" s="195" t="s">
        <v>148</v>
      </c>
      <c r="E51" s="195" t="s">
        <v>191</v>
      </c>
      <c r="F51" s="421" t="s">
        <v>283</v>
      </c>
      <c r="G51" s="422"/>
      <c r="H51" s="422"/>
      <c r="I51" s="422"/>
      <c r="J51" s="422"/>
      <c r="K51" s="422"/>
      <c r="L51" s="422"/>
      <c r="M51" s="423"/>
      <c r="N51" s="194" t="s">
        <v>133</v>
      </c>
      <c r="O51" s="199" t="s">
        <v>143</v>
      </c>
      <c r="P51" s="433" t="s">
        <v>117</v>
      </c>
      <c r="Q51" s="434"/>
      <c r="R51" s="420" t="s">
        <v>239</v>
      </c>
      <c r="S51" s="420"/>
      <c r="T51" s="420"/>
      <c r="U51" s="420"/>
      <c r="V51" s="410" t="s">
        <v>126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133</v>
      </c>
      <c r="B52" s="420"/>
      <c r="C52" s="195" t="s">
        <v>143</v>
      </c>
      <c r="D52" s="195" t="s">
        <v>117</v>
      </c>
      <c r="E52" s="195" t="s">
        <v>239</v>
      </c>
      <c r="F52" s="421" t="s">
        <v>284</v>
      </c>
      <c r="G52" s="422"/>
      <c r="H52" s="422"/>
      <c r="I52" s="422"/>
      <c r="J52" s="422"/>
      <c r="K52" s="422"/>
      <c r="L52" s="422"/>
      <c r="M52" s="423"/>
      <c r="N52" s="194" t="s">
        <v>124</v>
      </c>
      <c r="O52" s="199" t="s">
        <v>139</v>
      </c>
      <c r="P52" s="433" t="s">
        <v>117</v>
      </c>
      <c r="Q52" s="434"/>
      <c r="R52" s="420" t="s">
        <v>168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133</v>
      </c>
      <c r="B53" s="420"/>
      <c r="C53" s="195" t="s">
        <v>180</v>
      </c>
      <c r="D53" s="195" t="s">
        <v>117</v>
      </c>
      <c r="E53" s="195" t="s">
        <v>277</v>
      </c>
      <c r="F53" s="421" t="s">
        <v>120</v>
      </c>
      <c r="G53" s="422"/>
      <c r="H53" s="422"/>
      <c r="I53" s="422"/>
      <c r="J53" s="422"/>
      <c r="K53" s="422"/>
      <c r="L53" s="422"/>
      <c r="M53" s="423"/>
      <c r="N53" s="194"/>
      <c r="O53" s="199"/>
      <c r="P53" s="433"/>
      <c r="Q53" s="434"/>
      <c r="R53" s="420"/>
      <c r="S53" s="420"/>
      <c r="T53" s="420"/>
      <c r="U53" s="420"/>
      <c r="V53" s="410"/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195" t="s">
        <v>139</v>
      </c>
      <c r="D54" s="195" t="s">
        <v>117</v>
      </c>
      <c r="E54" s="195" t="s">
        <v>168</v>
      </c>
      <c r="F54" s="421" t="s">
        <v>286</v>
      </c>
      <c r="G54" s="422"/>
      <c r="H54" s="422"/>
      <c r="I54" s="422"/>
      <c r="J54" s="422"/>
      <c r="K54" s="422"/>
      <c r="L54" s="422"/>
      <c r="M54" s="423"/>
      <c r="N54" s="194"/>
      <c r="O54" s="199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/>
      <c r="B55" s="420"/>
      <c r="C55" s="195"/>
      <c r="D55" s="195"/>
      <c r="E55" s="195"/>
      <c r="F55" s="421"/>
      <c r="G55" s="422"/>
      <c r="H55" s="422"/>
      <c r="I55" s="422"/>
      <c r="J55" s="422"/>
      <c r="K55" s="422"/>
      <c r="L55" s="422"/>
      <c r="M55" s="423"/>
      <c r="N55" s="194"/>
      <c r="O55" s="199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195"/>
      <c r="D56" s="195"/>
      <c r="E56" s="195"/>
      <c r="F56" s="421"/>
      <c r="G56" s="422"/>
      <c r="H56" s="422"/>
      <c r="I56" s="422"/>
      <c r="J56" s="422"/>
      <c r="K56" s="422"/>
      <c r="L56" s="422"/>
      <c r="M56" s="423"/>
      <c r="N56" s="194"/>
      <c r="O56" s="199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195"/>
      <c r="D57" s="195"/>
      <c r="E57" s="195"/>
      <c r="F57" s="421"/>
      <c r="G57" s="422"/>
      <c r="H57" s="422"/>
      <c r="I57" s="422"/>
      <c r="J57" s="422"/>
      <c r="K57" s="422"/>
      <c r="L57" s="422"/>
      <c r="M57" s="423"/>
      <c r="N57" s="194"/>
      <c r="O57" s="199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195"/>
      <c r="D58" s="195"/>
      <c r="E58" s="195"/>
      <c r="F58" s="421"/>
      <c r="G58" s="422"/>
      <c r="H58" s="422"/>
      <c r="I58" s="422"/>
      <c r="J58" s="422"/>
      <c r="K58" s="422"/>
      <c r="L58" s="422"/>
      <c r="M58" s="423"/>
      <c r="N58" s="194"/>
      <c r="O58" s="199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195"/>
      <c r="D59" s="195"/>
      <c r="E59" s="195"/>
      <c r="F59" s="421"/>
      <c r="G59" s="422"/>
      <c r="H59" s="422"/>
      <c r="I59" s="422"/>
      <c r="J59" s="422"/>
      <c r="K59" s="422"/>
      <c r="L59" s="422"/>
      <c r="M59" s="423"/>
      <c r="N59" s="194"/>
      <c r="O59" s="199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196"/>
      <c r="D60" s="196"/>
      <c r="E60" s="196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287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197" t="s">
        <v>2</v>
      </c>
      <c r="D62" s="197" t="s">
        <v>37</v>
      </c>
      <c r="E62" s="197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197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/>
      <c r="D63" s="201"/>
      <c r="E63" s="198"/>
      <c r="F63" s="408"/>
      <c r="G63" s="400"/>
      <c r="H63" s="400"/>
      <c r="I63" s="400"/>
      <c r="J63" s="400"/>
      <c r="K63" s="400"/>
      <c r="L63" s="400"/>
      <c r="M63" s="51"/>
      <c r="N63" s="411"/>
      <c r="O63" s="411"/>
      <c r="P63" s="409"/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201"/>
      <c r="E64" s="198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201"/>
      <c r="E65" s="198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201"/>
      <c r="E66" s="198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01"/>
      <c r="E67" s="198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01"/>
      <c r="E68" s="198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01"/>
      <c r="E69" s="198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01"/>
      <c r="E70" s="198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288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00" t="s">
        <v>2</v>
      </c>
      <c r="D72" s="200" t="s">
        <v>37</v>
      </c>
      <c r="E72" s="200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02" t="s">
        <v>114</v>
      </c>
      <c r="D73" s="202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01"/>
      <c r="D74" s="201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01"/>
      <c r="D75" s="201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01"/>
      <c r="D76" s="201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01"/>
      <c r="D77" s="201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01"/>
      <c r="D78" s="201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01"/>
      <c r="D79" s="201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01"/>
      <c r="D80" s="201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01"/>
      <c r="D81" s="201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289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01B-7291-4770-BD6D-A6F8E6E39C21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290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13" t="s">
        <v>17</v>
      </c>
      <c r="L5" s="213" t="s">
        <v>18</v>
      </c>
      <c r="M5" s="213" t="s">
        <v>19</v>
      </c>
      <c r="N5" s="21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0.33718003261717366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0.33718003261717366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133</v>
      </c>
      <c r="D8" s="52" t="s">
        <v>248</v>
      </c>
      <c r="E8" s="53" t="s">
        <v>236</v>
      </c>
      <c r="F8" s="30" t="s">
        <v>121</v>
      </c>
      <c r="G8" s="33">
        <v>2</v>
      </c>
      <c r="H8" s="35">
        <v>24</v>
      </c>
      <c r="I8" s="7">
        <v>15000</v>
      </c>
      <c r="J8" s="14">
        <v>10868</v>
      </c>
      <c r="K8" s="15">
        <f>L8+9126+5624</f>
        <v>25618</v>
      </c>
      <c r="L8" s="15">
        <f>2696*2+2738*2</f>
        <v>10868</v>
      </c>
      <c r="M8" s="15">
        <f t="shared" si="1"/>
        <v>10868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0.33718003261717366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3459</v>
      </c>
      <c r="K9" s="15">
        <f>L9+1593+1896+2807+1401</f>
        <v>11156</v>
      </c>
      <c r="L9" s="15">
        <f>931+2528</f>
        <v>3459</v>
      </c>
      <c r="M9" s="15">
        <f t="shared" si="1"/>
        <v>3459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0.33718003261717366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234</v>
      </c>
      <c r="E10" s="53" t="s">
        <v>235</v>
      </c>
      <c r="F10" s="30" t="s">
        <v>249</v>
      </c>
      <c r="G10" s="33">
        <v>32</v>
      </c>
      <c r="H10" s="35">
        <v>24</v>
      </c>
      <c r="I10" s="7">
        <v>200000</v>
      </c>
      <c r="J10" s="5">
        <v>7584</v>
      </c>
      <c r="K10" s="15">
        <f>L10+7584</f>
        <v>7584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>
        <v>24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0.33718003261717366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133</v>
      </c>
      <c r="D11" s="52" t="s">
        <v>117</v>
      </c>
      <c r="E11" s="53" t="s">
        <v>267</v>
      </c>
      <c r="F11" s="30" t="s">
        <v>121</v>
      </c>
      <c r="G11" s="33">
        <v>2</v>
      </c>
      <c r="H11" s="35">
        <v>24</v>
      </c>
      <c r="I11" s="7">
        <v>15000</v>
      </c>
      <c r="J11" s="14">
        <v>8868</v>
      </c>
      <c r="K11" s="15">
        <f>L11+9880+4668</f>
        <v>23416</v>
      </c>
      <c r="L11" s="15">
        <f>2106*2+2328*2</f>
        <v>8868</v>
      </c>
      <c r="M11" s="15">
        <f t="shared" si="1"/>
        <v>8868</v>
      </c>
      <c r="N11" s="15">
        <v>0</v>
      </c>
      <c r="O11" s="58">
        <f t="shared" si="2"/>
        <v>0</v>
      </c>
      <c r="P11" s="39">
        <f t="shared" si="3"/>
        <v>22</v>
      </c>
      <c r="Q11" s="40">
        <f t="shared" si="4"/>
        <v>2</v>
      </c>
      <c r="R11" s="7"/>
      <c r="S11" s="6"/>
      <c r="T11" s="16"/>
      <c r="U11" s="16"/>
      <c r="V11" s="17"/>
      <c r="W11" s="5">
        <v>2</v>
      </c>
      <c r="X11" s="16"/>
      <c r="Y11" s="16"/>
      <c r="Z11" s="16"/>
      <c r="AA11" s="18"/>
      <c r="AB11" s="8">
        <f t="shared" si="5"/>
        <v>1</v>
      </c>
      <c r="AC11" s="9">
        <f t="shared" si="6"/>
        <v>0.91666666666666663</v>
      </c>
      <c r="AD11" s="10">
        <f t="shared" ref="AD11" si="10">AC11*AB11*(1-O11)</f>
        <v>0.91666666666666663</v>
      </c>
      <c r="AE11" s="36">
        <f t="shared" si="8"/>
        <v>0.33718003261717366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1084</v>
      </c>
      <c r="K12" s="15">
        <f>L12+3015+1279+2974+4822+1084</f>
        <v>13174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si="7"/>
        <v>0</v>
      </c>
      <c r="AE12" s="36">
        <f t="shared" si="8"/>
        <v>0.33718003261717366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133</v>
      </c>
      <c r="D13" s="52" t="s">
        <v>117</v>
      </c>
      <c r="E13" s="53" t="s">
        <v>239</v>
      </c>
      <c r="F13" s="30" t="s">
        <v>121</v>
      </c>
      <c r="G13" s="33">
        <v>1</v>
      </c>
      <c r="H13" s="35">
        <v>24</v>
      </c>
      <c r="I13" s="7">
        <v>1000</v>
      </c>
      <c r="J13" s="14">
        <v>1354</v>
      </c>
      <c r="K13" s="15">
        <f>L13</f>
        <v>0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0.33718003261717366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1045</v>
      </c>
      <c r="K14" s="15">
        <f>L14+620+500+1045</f>
        <v>2165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0.33718003261717366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0.33718003261717366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0.33718003261717366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291</v>
      </c>
      <c r="D17" s="52" t="s">
        <v>149</v>
      </c>
      <c r="E17" s="53" t="s">
        <v>292</v>
      </c>
      <c r="F17" s="30" t="s">
        <v>271</v>
      </c>
      <c r="G17" s="33" t="s">
        <v>293</v>
      </c>
      <c r="H17" s="35">
        <v>20</v>
      </c>
      <c r="I17" s="7">
        <v>3000</v>
      </c>
      <c r="J17" s="14">
        <v>6268</v>
      </c>
      <c r="K17" s="15">
        <f>L17</f>
        <v>3268</v>
      </c>
      <c r="L17" s="15">
        <f>482+2786</f>
        <v>3268</v>
      </c>
      <c r="M17" s="15">
        <f t="shared" si="1"/>
        <v>3268</v>
      </c>
      <c r="N17" s="15">
        <v>0</v>
      </c>
      <c r="O17" s="58">
        <f t="shared" si="2"/>
        <v>0</v>
      </c>
      <c r="P17" s="39">
        <f t="shared" si="3"/>
        <v>18</v>
      </c>
      <c r="Q17" s="40">
        <f t="shared" si="4"/>
        <v>6</v>
      </c>
      <c r="R17" s="7"/>
      <c r="S17" s="6"/>
      <c r="T17" s="16">
        <v>6</v>
      </c>
      <c r="U17" s="16"/>
      <c r="V17" s="17"/>
      <c r="W17" s="5"/>
      <c r="X17" s="16"/>
      <c r="Y17" s="16"/>
      <c r="Z17" s="16"/>
      <c r="AA17" s="18"/>
      <c r="AB17" s="8">
        <f t="shared" si="5"/>
        <v>0.52137843012125085</v>
      </c>
      <c r="AC17" s="9">
        <f t="shared" si="6"/>
        <v>0.75</v>
      </c>
      <c r="AD17" s="10">
        <f t="shared" si="7"/>
        <v>0.39103382259093811</v>
      </c>
      <c r="AE17" s="36">
        <f t="shared" si="8"/>
        <v>0.33718003261717366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133</v>
      </c>
      <c r="D18" s="52" t="s">
        <v>117</v>
      </c>
      <c r="E18" s="53" t="s">
        <v>277</v>
      </c>
      <c r="F18" s="30" t="s">
        <v>144</v>
      </c>
      <c r="G18" s="33">
        <v>1</v>
      </c>
      <c r="H18" s="35">
        <v>24</v>
      </c>
      <c r="I18" s="7">
        <v>30000</v>
      </c>
      <c r="J18" s="5">
        <v>5079</v>
      </c>
      <c r="K18" s="15">
        <f>L18+2111</f>
        <v>7190</v>
      </c>
      <c r="L18" s="15">
        <f>2386+2693</f>
        <v>5079</v>
      </c>
      <c r="M18" s="15">
        <f t="shared" si="1"/>
        <v>5079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0.33718003261717366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117</v>
      </c>
      <c r="E19" s="53" t="s">
        <v>166</v>
      </c>
      <c r="F19" s="30" t="s">
        <v>121</v>
      </c>
      <c r="G19" s="33">
        <v>1</v>
      </c>
      <c r="H19" s="35">
        <v>24</v>
      </c>
      <c r="I19" s="7">
        <v>45000</v>
      </c>
      <c r="J19" s="14">
        <v>5193</v>
      </c>
      <c r="K19" s="15">
        <f>L19+4853+5291+4951+5173+4262+2713+2139+4329+2450</f>
        <v>41354</v>
      </c>
      <c r="L19" s="15">
        <f>2729+2464</f>
        <v>5193</v>
      </c>
      <c r="M19" s="15">
        <f t="shared" si="1"/>
        <v>5193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:AD20" si="11">AC19*AB19*(1-O19)</f>
        <v>1</v>
      </c>
      <c r="AE19" s="36">
        <f t="shared" si="8"/>
        <v>0.33718003261717366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25017</v>
      </c>
      <c r="K20" s="15">
        <f>L20+54642+62589+25017</f>
        <v>142248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11"/>
        <v>0</v>
      </c>
      <c r="AE20" s="36">
        <f t="shared" si="8"/>
        <v>0.33718003261717366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751000</v>
      </c>
      <c r="J21" s="19">
        <f t="shared" si="12"/>
        <v>89816</v>
      </c>
      <c r="K21" s="20">
        <f t="shared" si="12"/>
        <v>333945</v>
      </c>
      <c r="L21" s="21">
        <f t="shared" si="12"/>
        <v>36735</v>
      </c>
      <c r="M21" s="20">
        <f t="shared" si="12"/>
        <v>36735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130</v>
      </c>
      <c r="Q21" s="43">
        <f t="shared" si="13"/>
        <v>230</v>
      </c>
      <c r="R21" s="23">
        <f t="shared" si="13"/>
        <v>72</v>
      </c>
      <c r="S21" s="24">
        <f t="shared" si="13"/>
        <v>78</v>
      </c>
      <c r="T21" s="24">
        <f t="shared" si="13"/>
        <v>6</v>
      </c>
      <c r="U21" s="24">
        <f t="shared" si="13"/>
        <v>0</v>
      </c>
      <c r="V21" s="25">
        <f t="shared" si="13"/>
        <v>24</v>
      </c>
      <c r="W21" s="26">
        <f t="shared" si="13"/>
        <v>50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0.36809189534141673</v>
      </c>
      <c r="AC21" s="4">
        <f>SUM(AC6:AC20)/15</f>
        <v>0.36111111111111105</v>
      </c>
      <c r="AD21" s="4">
        <f>SUM(AD6:AD20)/15</f>
        <v>0.33718003261717366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294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296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212" t="s">
        <v>46</v>
      </c>
      <c r="D50" s="212" t="s">
        <v>47</v>
      </c>
      <c r="E50" s="212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212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124</v>
      </c>
      <c r="B51" s="420"/>
      <c r="C51" s="210" t="s">
        <v>184</v>
      </c>
      <c r="D51" s="210" t="s">
        <v>148</v>
      </c>
      <c r="E51" s="210" t="s">
        <v>191</v>
      </c>
      <c r="F51" s="421" t="s">
        <v>179</v>
      </c>
      <c r="G51" s="422"/>
      <c r="H51" s="422"/>
      <c r="I51" s="422"/>
      <c r="J51" s="422"/>
      <c r="K51" s="422"/>
      <c r="L51" s="422"/>
      <c r="M51" s="423"/>
      <c r="N51" s="209" t="s">
        <v>133</v>
      </c>
      <c r="O51" s="207" t="s">
        <v>143</v>
      </c>
      <c r="P51" s="433" t="s">
        <v>117</v>
      </c>
      <c r="Q51" s="434"/>
      <c r="R51" s="420" t="s">
        <v>239</v>
      </c>
      <c r="S51" s="420"/>
      <c r="T51" s="420"/>
      <c r="U51" s="420"/>
      <c r="V51" s="410" t="s">
        <v>126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133</v>
      </c>
      <c r="B52" s="420"/>
      <c r="C52" s="210" t="s">
        <v>143</v>
      </c>
      <c r="D52" s="210" t="s">
        <v>117</v>
      </c>
      <c r="E52" s="210" t="s">
        <v>239</v>
      </c>
      <c r="F52" s="421" t="s">
        <v>295</v>
      </c>
      <c r="G52" s="422"/>
      <c r="H52" s="422"/>
      <c r="I52" s="422"/>
      <c r="J52" s="422"/>
      <c r="K52" s="422"/>
      <c r="L52" s="422"/>
      <c r="M52" s="423"/>
      <c r="N52" s="209" t="s">
        <v>124</v>
      </c>
      <c r="O52" s="207" t="s">
        <v>139</v>
      </c>
      <c r="P52" s="433" t="s">
        <v>117</v>
      </c>
      <c r="Q52" s="434"/>
      <c r="R52" s="420" t="s">
        <v>168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291</v>
      </c>
      <c r="B53" s="420"/>
      <c r="C53" s="210" t="s">
        <v>135</v>
      </c>
      <c r="D53" s="210" t="s">
        <v>149</v>
      </c>
      <c r="E53" s="210" t="s">
        <v>292</v>
      </c>
      <c r="F53" s="421" t="s">
        <v>120</v>
      </c>
      <c r="G53" s="422"/>
      <c r="H53" s="422"/>
      <c r="I53" s="422"/>
      <c r="J53" s="422"/>
      <c r="K53" s="422"/>
      <c r="L53" s="422"/>
      <c r="M53" s="423"/>
      <c r="N53" s="209" t="s">
        <v>124</v>
      </c>
      <c r="O53" s="207" t="s">
        <v>184</v>
      </c>
      <c r="P53" s="433" t="s">
        <v>148</v>
      </c>
      <c r="Q53" s="434"/>
      <c r="R53" s="420" t="s">
        <v>191</v>
      </c>
      <c r="S53" s="420"/>
      <c r="T53" s="420"/>
      <c r="U53" s="420"/>
      <c r="V53" s="410" t="s">
        <v>126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/>
      <c r="B54" s="420"/>
      <c r="C54" s="210"/>
      <c r="D54" s="210"/>
      <c r="E54" s="210"/>
      <c r="F54" s="421"/>
      <c r="G54" s="422"/>
      <c r="H54" s="422"/>
      <c r="I54" s="422"/>
      <c r="J54" s="422"/>
      <c r="K54" s="422"/>
      <c r="L54" s="422"/>
      <c r="M54" s="423"/>
      <c r="N54" s="209" t="s">
        <v>124</v>
      </c>
      <c r="O54" s="207" t="s">
        <v>131</v>
      </c>
      <c r="P54" s="433" t="s">
        <v>234</v>
      </c>
      <c r="Q54" s="434"/>
      <c r="R54" s="420" t="s">
        <v>235</v>
      </c>
      <c r="S54" s="420"/>
      <c r="T54" s="420"/>
      <c r="U54" s="420"/>
      <c r="V54" s="410" t="s">
        <v>126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/>
      <c r="B55" s="420"/>
      <c r="C55" s="210"/>
      <c r="D55" s="210"/>
      <c r="E55" s="210"/>
      <c r="F55" s="421"/>
      <c r="G55" s="422"/>
      <c r="H55" s="422"/>
      <c r="I55" s="422"/>
      <c r="J55" s="422"/>
      <c r="K55" s="422"/>
      <c r="L55" s="422"/>
      <c r="M55" s="423"/>
      <c r="N55" s="209" t="s">
        <v>133</v>
      </c>
      <c r="O55" s="207" t="s">
        <v>136</v>
      </c>
      <c r="P55" s="433" t="s">
        <v>149</v>
      </c>
      <c r="Q55" s="434"/>
      <c r="R55" s="420" t="s">
        <v>297</v>
      </c>
      <c r="S55" s="420"/>
      <c r="T55" s="420"/>
      <c r="U55" s="420"/>
      <c r="V55" s="410" t="s">
        <v>120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210"/>
      <c r="D56" s="210"/>
      <c r="E56" s="210"/>
      <c r="F56" s="421"/>
      <c r="G56" s="422"/>
      <c r="H56" s="422"/>
      <c r="I56" s="422"/>
      <c r="J56" s="422"/>
      <c r="K56" s="422"/>
      <c r="L56" s="422"/>
      <c r="M56" s="423"/>
      <c r="N56" s="209" t="s">
        <v>291</v>
      </c>
      <c r="O56" s="207" t="s">
        <v>135</v>
      </c>
      <c r="P56" s="433" t="s">
        <v>149</v>
      </c>
      <c r="Q56" s="434"/>
      <c r="R56" s="420" t="s">
        <v>298</v>
      </c>
      <c r="S56" s="420"/>
      <c r="T56" s="420"/>
      <c r="U56" s="420"/>
      <c r="V56" s="410" t="s">
        <v>120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10"/>
      <c r="D57" s="210"/>
      <c r="E57" s="210"/>
      <c r="F57" s="421"/>
      <c r="G57" s="422"/>
      <c r="H57" s="422"/>
      <c r="I57" s="422"/>
      <c r="J57" s="422"/>
      <c r="K57" s="422"/>
      <c r="L57" s="422"/>
      <c r="M57" s="423"/>
      <c r="N57" s="209"/>
      <c r="O57" s="207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10"/>
      <c r="D58" s="210"/>
      <c r="E58" s="210"/>
      <c r="F58" s="421"/>
      <c r="G58" s="422"/>
      <c r="H58" s="422"/>
      <c r="I58" s="422"/>
      <c r="J58" s="422"/>
      <c r="K58" s="422"/>
      <c r="L58" s="422"/>
      <c r="M58" s="423"/>
      <c r="N58" s="209"/>
      <c r="O58" s="207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10"/>
      <c r="D59" s="210"/>
      <c r="E59" s="210"/>
      <c r="F59" s="421"/>
      <c r="G59" s="422"/>
      <c r="H59" s="422"/>
      <c r="I59" s="422"/>
      <c r="J59" s="422"/>
      <c r="K59" s="422"/>
      <c r="L59" s="422"/>
      <c r="M59" s="423"/>
      <c r="N59" s="209"/>
      <c r="O59" s="207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11"/>
      <c r="D60" s="211"/>
      <c r="E60" s="211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299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08" t="s">
        <v>2</v>
      </c>
      <c r="D62" s="208" t="s">
        <v>37</v>
      </c>
      <c r="E62" s="208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08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/>
      <c r="D63" s="203"/>
      <c r="E63" s="206"/>
      <c r="F63" s="408"/>
      <c r="G63" s="400"/>
      <c r="H63" s="400"/>
      <c r="I63" s="400"/>
      <c r="J63" s="400"/>
      <c r="K63" s="400"/>
      <c r="L63" s="400"/>
      <c r="M63" s="51"/>
      <c r="N63" s="411"/>
      <c r="O63" s="411"/>
      <c r="P63" s="409"/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203"/>
      <c r="E64" s="206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203"/>
      <c r="E65" s="206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203"/>
      <c r="E66" s="206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03"/>
      <c r="E67" s="206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03"/>
      <c r="E68" s="206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03"/>
      <c r="E69" s="206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03"/>
      <c r="E70" s="206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300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05" t="s">
        <v>2</v>
      </c>
      <c r="D72" s="205" t="s">
        <v>37</v>
      </c>
      <c r="E72" s="205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04" t="s">
        <v>114</v>
      </c>
      <c r="D73" s="204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03"/>
      <c r="D74" s="203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03"/>
      <c r="D75" s="203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03"/>
      <c r="D76" s="203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03"/>
      <c r="D77" s="203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03"/>
      <c r="D78" s="203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03"/>
      <c r="D79" s="203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03"/>
      <c r="D80" s="203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03"/>
      <c r="D81" s="203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301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FFB8-2AEC-40ED-A1C3-1DE49560FBCE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302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14" t="s">
        <v>17</v>
      </c>
      <c r="L5" s="214" t="s">
        <v>18</v>
      </c>
      <c r="M5" s="214" t="s">
        <v>19</v>
      </c>
      <c r="N5" s="21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0.36379166666666668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0.36379166666666668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133</v>
      </c>
      <c r="D8" s="52" t="s">
        <v>149</v>
      </c>
      <c r="E8" s="53" t="s">
        <v>303</v>
      </c>
      <c r="F8" s="30" t="s">
        <v>253</v>
      </c>
      <c r="G8" s="33" t="s">
        <v>293</v>
      </c>
      <c r="H8" s="35">
        <v>24</v>
      </c>
      <c r="I8" s="7">
        <v>3000</v>
      </c>
      <c r="J8" s="14">
        <v>3025</v>
      </c>
      <c r="K8" s="15">
        <f>L8</f>
        <v>3025</v>
      </c>
      <c r="L8" s="15">
        <f>989+2036</f>
        <v>3025</v>
      </c>
      <c r="M8" s="15">
        <f t="shared" si="1"/>
        <v>3025</v>
      </c>
      <c r="N8" s="15">
        <v>0</v>
      </c>
      <c r="O8" s="58">
        <f t="shared" si="2"/>
        <v>0</v>
      </c>
      <c r="P8" s="39">
        <f t="shared" si="3"/>
        <v>20</v>
      </c>
      <c r="Q8" s="40">
        <f t="shared" si="4"/>
        <v>4</v>
      </c>
      <c r="R8" s="7"/>
      <c r="S8" s="6"/>
      <c r="T8" s="16"/>
      <c r="U8" s="16"/>
      <c r="V8" s="17"/>
      <c r="W8" s="5">
        <v>4</v>
      </c>
      <c r="X8" s="16"/>
      <c r="Y8" s="16"/>
      <c r="Z8" s="16"/>
      <c r="AA8" s="18"/>
      <c r="AB8" s="8">
        <f t="shared" si="5"/>
        <v>1</v>
      </c>
      <c r="AC8" s="9">
        <f t="shared" si="6"/>
        <v>0.83333333333333337</v>
      </c>
      <c r="AD8" s="10">
        <f t="shared" si="7"/>
        <v>0.83333333333333337</v>
      </c>
      <c r="AE8" s="36">
        <f t="shared" si="8"/>
        <v>0.36379166666666668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1160</v>
      </c>
      <c r="K9" s="15">
        <f>L9+1593+1896+2807+1401+3459</f>
        <v>12316</v>
      </c>
      <c r="L9" s="15">
        <f>493+667</f>
        <v>1160</v>
      </c>
      <c r="M9" s="15">
        <f t="shared" si="1"/>
        <v>1160</v>
      </c>
      <c r="N9" s="15">
        <v>0</v>
      </c>
      <c r="O9" s="58">
        <f t="shared" si="2"/>
        <v>0</v>
      </c>
      <c r="P9" s="39">
        <f t="shared" si="3"/>
        <v>7</v>
      </c>
      <c r="Q9" s="40">
        <f t="shared" si="4"/>
        <v>17</v>
      </c>
      <c r="R9" s="7"/>
      <c r="S9" s="6">
        <v>17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0.29166666666666669</v>
      </c>
      <c r="AD9" s="10">
        <f t="shared" si="7"/>
        <v>0.29166666666666669</v>
      </c>
      <c r="AE9" s="36">
        <f t="shared" si="8"/>
        <v>0.36379166666666668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234</v>
      </c>
      <c r="E10" s="53" t="s">
        <v>235</v>
      </c>
      <c r="F10" s="30" t="s">
        <v>249</v>
      </c>
      <c r="G10" s="33">
        <v>32</v>
      </c>
      <c r="H10" s="35">
        <v>24</v>
      </c>
      <c r="I10" s="7">
        <v>200000</v>
      </c>
      <c r="J10" s="5">
        <v>107552</v>
      </c>
      <c r="K10" s="15">
        <f>L10+7584</f>
        <v>115136</v>
      </c>
      <c r="L10" s="15">
        <f>3361*32</f>
        <v>107552</v>
      </c>
      <c r="M10" s="15">
        <f t="shared" si="1"/>
        <v>107552</v>
      </c>
      <c r="N10" s="15">
        <v>0</v>
      </c>
      <c r="O10" s="58">
        <f t="shared" si="2"/>
        <v>0</v>
      </c>
      <c r="P10" s="39">
        <f t="shared" si="3"/>
        <v>18</v>
      </c>
      <c r="Q10" s="40">
        <f t="shared" si="4"/>
        <v>6</v>
      </c>
      <c r="R10" s="7">
        <v>6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0.75</v>
      </c>
      <c r="AD10" s="10">
        <f>AC10*AB10*(1-O10)</f>
        <v>0.75</v>
      </c>
      <c r="AE10" s="36">
        <f t="shared" si="8"/>
        <v>0.36379166666666668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133</v>
      </c>
      <c r="D11" s="52" t="s">
        <v>117</v>
      </c>
      <c r="E11" s="53" t="s">
        <v>267</v>
      </c>
      <c r="F11" s="30" t="s">
        <v>121</v>
      </c>
      <c r="G11" s="33">
        <v>2</v>
      </c>
      <c r="H11" s="35">
        <v>24</v>
      </c>
      <c r="I11" s="7">
        <v>15000</v>
      </c>
      <c r="J11" s="14">
        <v>8868</v>
      </c>
      <c r="K11" s="15">
        <f>L11+9880+4668+8868</f>
        <v>23416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ref="AD11" si="10">AC11*AB11*(1-O11)</f>
        <v>0</v>
      </c>
      <c r="AE11" s="36">
        <f t="shared" si="8"/>
        <v>0.36379166666666668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3847</v>
      </c>
      <c r="K12" s="15">
        <f>L12+3015+1279+2974+4822+1084</f>
        <v>17021</v>
      </c>
      <c r="L12" s="15">
        <f>1484+2363</f>
        <v>3847</v>
      </c>
      <c r="M12" s="15">
        <f t="shared" si="1"/>
        <v>3847</v>
      </c>
      <c r="N12" s="15">
        <v>0</v>
      </c>
      <c r="O12" s="58">
        <f t="shared" si="2"/>
        <v>0</v>
      </c>
      <c r="P12" s="39">
        <f t="shared" si="3"/>
        <v>20</v>
      </c>
      <c r="Q12" s="40">
        <f t="shared" si="4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0.83333333333333337</v>
      </c>
      <c r="AD12" s="10">
        <f t="shared" si="7"/>
        <v>0.83333333333333337</v>
      </c>
      <c r="AE12" s="36">
        <f t="shared" si="8"/>
        <v>0.36379166666666668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133</v>
      </c>
      <c r="D13" s="52" t="s">
        <v>117</v>
      </c>
      <c r="E13" s="53" t="s">
        <v>239</v>
      </c>
      <c r="F13" s="30" t="s">
        <v>121</v>
      </c>
      <c r="G13" s="33">
        <v>1</v>
      </c>
      <c r="H13" s="35">
        <v>24</v>
      </c>
      <c r="I13" s="7">
        <v>1000</v>
      </c>
      <c r="J13" s="14">
        <v>1354</v>
      </c>
      <c r="K13" s="15">
        <f>L13</f>
        <v>0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0.36379166666666668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1045</v>
      </c>
      <c r="K14" s="15">
        <f>L14+620+500+1045</f>
        <v>2165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0.36379166666666668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0.36379166666666668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0.36379166666666668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291</v>
      </c>
      <c r="D17" s="52" t="s">
        <v>149</v>
      </c>
      <c r="E17" s="53" t="s">
        <v>298</v>
      </c>
      <c r="F17" s="30" t="s">
        <v>271</v>
      </c>
      <c r="G17" s="33" t="s">
        <v>293</v>
      </c>
      <c r="H17" s="35">
        <v>20</v>
      </c>
      <c r="I17" s="7">
        <v>3000</v>
      </c>
      <c r="J17" s="14">
        <v>3600</v>
      </c>
      <c r="K17" s="15">
        <f>L17</f>
        <v>3593</v>
      </c>
      <c r="L17" s="15">
        <f>1589+2004</f>
        <v>3593</v>
      </c>
      <c r="M17" s="15">
        <f t="shared" si="1"/>
        <v>3593</v>
      </c>
      <c r="N17" s="15">
        <v>0</v>
      </c>
      <c r="O17" s="58">
        <f t="shared" si="2"/>
        <v>0</v>
      </c>
      <c r="P17" s="39">
        <f t="shared" si="3"/>
        <v>18</v>
      </c>
      <c r="Q17" s="40">
        <f t="shared" si="4"/>
        <v>6</v>
      </c>
      <c r="R17" s="7"/>
      <c r="S17" s="6"/>
      <c r="T17" s="16"/>
      <c r="U17" s="16"/>
      <c r="V17" s="17"/>
      <c r="W17" s="5">
        <v>6</v>
      </c>
      <c r="X17" s="16"/>
      <c r="Y17" s="16"/>
      <c r="Z17" s="16"/>
      <c r="AA17" s="18"/>
      <c r="AB17" s="8">
        <f t="shared" si="5"/>
        <v>0.99805555555555558</v>
      </c>
      <c r="AC17" s="9">
        <f t="shared" si="6"/>
        <v>0.75</v>
      </c>
      <c r="AD17" s="10">
        <f t="shared" si="7"/>
        <v>0.74854166666666666</v>
      </c>
      <c r="AE17" s="36">
        <f t="shared" si="8"/>
        <v>0.36379166666666668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133</v>
      </c>
      <c r="D18" s="52" t="s">
        <v>117</v>
      </c>
      <c r="E18" s="53" t="s">
        <v>277</v>
      </c>
      <c r="F18" s="30" t="s">
        <v>144</v>
      </c>
      <c r="G18" s="33">
        <v>1</v>
      </c>
      <c r="H18" s="35">
        <v>24</v>
      </c>
      <c r="I18" s="7">
        <v>30000</v>
      </c>
      <c r="J18" s="5">
        <v>5209</v>
      </c>
      <c r="K18" s="15">
        <f>L18+2111+5079</f>
        <v>12399</v>
      </c>
      <c r="L18" s="15">
        <f>2683+2526</f>
        <v>5209</v>
      </c>
      <c r="M18" s="15">
        <f t="shared" si="1"/>
        <v>5209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0.36379166666666668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117</v>
      </c>
      <c r="E19" s="53" t="s">
        <v>166</v>
      </c>
      <c r="F19" s="30" t="s">
        <v>121</v>
      </c>
      <c r="G19" s="33">
        <v>1</v>
      </c>
      <c r="H19" s="35">
        <v>24</v>
      </c>
      <c r="I19" s="7">
        <v>45000</v>
      </c>
      <c r="J19" s="14">
        <v>5270</v>
      </c>
      <c r="K19" s="15">
        <f>L19+4853+5291+4951+5173+4262+2713+2139+4329+2450+5193</f>
        <v>46624</v>
      </c>
      <c r="L19" s="15">
        <f>2717+2553</f>
        <v>5270</v>
      </c>
      <c r="M19" s="15">
        <f t="shared" si="1"/>
        <v>5270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:AD20" si="11">AC19*AB19*(1-O19)</f>
        <v>1</v>
      </c>
      <c r="AE19" s="36">
        <f t="shared" si="8"/>
        <v>0.36379166666666668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25017</v>
      </c>
      <c r="K20" s="15">
        <f>L20+54642+62589+25017</f>
        <v>142248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11"/>
        <v>0</v>
      </c>
      <c r="AE20" s="36">
        <f t="shared" si="8"/>
        <v>0.36379166666666668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739000</v>
      </c>
      <c r="J21" s="19">
        <f t="shared" si="12"/>
        <v>179944</v>
      </c>
      <c r="K21" s="20">
        <f t="shared" si="12"/>
        <v>434715</v>
      </c>
      <c r="L21" s="21">
        <f t="shared" si="12"/>
        <v>129656</v>
      </c>
      <c r="M21" s="20">
        <f t="shared" si="12"/>
        <v>129656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131</v>
      </c>
      <c r="Q21" s="43">
        <f t="shared" si="13"/>
        <v>229</v>
      </c>
      <c r="R21" s="23">
        <f t="shared" si="13"/>
        <v>54</v>
      </c>
      <c r="S21" s="24">
        <f t="shared" si="13"/>
        <v>69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82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0.46653703703703703</v>
      </c>
      <c r="AC21" s="4">
        <f>SUM(AC6:AC20)/15</f>
        <v>0.36388888888888893</v>
      </c>
      <c r="AD21" s="4">
        <f>SUM(AD6:AD20)/15</f>
        <v>0.36379166666666668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304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306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215" t="s">
        <v>46</v>
      </c>
      <c r="D50" s="215" t="s">
        <v>47</v>
      </c>
      <c r="E50" s="215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215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124</v>
      </c>
      <c r="B51" s="420"/>
      <c r="C51" s="217" t="s">
        <v>184</v>
      </c>
      <c r="D51" s="217" t="s">
        <v>148</v>
      </c>
      <c r="E51" s="217" t="s">
        <v>191</v>
      </c>
      <c r="F51" s="421" t="s">
        <v>230</v>
      </c>
      <c r="G51" s="422"/>
      <c r="H51" s="422"/>
      <c r="I51" s="422"/>
      <c r="J51" s="422"/>
      <c r="K51" s="422"/>
      <c r="L51" s="422"/>
      <c r="M51" s="423"/>
      <c r="N51" s="216" t="s">
        <v>133</v>
      </c>
      <c r="O51" s="221" t="s">
        <v>143</v>
      </c>
      <c r="P51" s="433" t="s">
        <v>117</v>
      </c>
      <c r="Q51" s="434"/>
      <c r="R51" s="420" t="s">
        <v>239</v>
      </c>
      <c r="S51" s="420"/>
      <c r="T51" s="420"/>
      <c r="U51" s="420"/>
      <c r="V51" s="410" t="s">
        <v>126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133</v>
      </c>
      <c r="B52" s="420"/>
      <c r="C52" s="217" t="s">
        <v>143</v>
      </c>
      <c r="D52" s="217" t="s">
        <v>117</v>
      </c>
      <c r="E52" s="217" t="s">
        <v>239</v>
      </c>
      <c r="F52" s="421" t="s">
        <v>305</v>
      </c>
      <c r="G52" s="422"/>
      <c r="H52" s="422"/>
      <c r="I52" s="422"/>
      <c r="J52" s="422"/>
      <c r="K52" s="422"/>
      <c r="L52" s="422"/>
      <c r="M52" s="423"/>
      <c r="N52" s="216" t="s">
        <v>124</v>
      </c>
      <c r="O52" s="221" t="s">
        <v>184</v>
      </c>
      <c r="P52" s="433" t="s">
        <v>148</v>
      </c>
      <c r="Q52" s="434"/>
      <c r="R52" s="420" t="s">
        <v>191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291</v>
      </c>
      <c r="B53" s="420"/>
      <c r="C53" s="217" t="s">
        <v>135</v>
      </c>
      <c r="D53" s="217" t="s">
        <v>149</v>
      </c>
      <c r="E53" s="217" t="s">
        <v>298</v>
      </c>
      <c r="F53" s="421" t="s">
        <v>120</v>
      </c>
      <c r="G53" s="422"/>
      <c r="H53" s="422"/>
      <c r="I53" s="422"/>
      <c r="J53" s="422"/>
      <c r="K53" s="422"/>
      <c r="L53" s="422"/>
      <c r="M53" s="423"/>
      <c r="N53" s="216" t="s">
        <v>133</v>
      </c>
      <c r="O53" s="221" t="s">
        <v>136</v>
      </c>
      <c r="P53" s="433" t="s">
        <v>307</v>
      </c>
      <c r="Q53" s="434"/>
      <c r="R53" s="420" t="s">
        <v>308</v>
      </c>
      <c r="S53" s="420"/>
      <c r="T53" s="420"/>
      <c r="U53" s="420"/>
      <c r="V53" s="410" t="s">
        <v>120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217" t="s">
        <v>139</v>
      </c>
      <c r="D54" s="217" t="s">
        <v>117</v>
      </c>
      <c r="E54" s="217" t="s">
        <v>168</v>
      </c>
      <c r="F54" s="421" t="s">
        <v>126</v>
      </c>
      <c r="G54" s="422"/>
      <c r="H54" s="422"/>
      <c r="I54" s="422"/>
      <c r="J54" s="422"/>
      <c r="K54" s="422"/>
      <c r="L54" s="422"/>
      <c r="M54" s="423"/>
      <c r="N54" s="216" t="s">
        <v>114</v>
      </c>
      <c r="O54" s="221" t="s">
        <v>200</v>
      </c>
      <c r="P54" s="433" t="s">
        <v>117</v>
      </c>
      <c r="Q54" s="434"/>
      <c r="R54" s="420" t="s">
        <v>309</v>
      </c>
      <c r="S54" s="420"/>
      <c r="T54" s="420"/>
      <c r="U54" s="420"/>
      <c r="V54" s="410" t="s">
        <v>126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133</v>
      </c>
      <c r="B55" s="420"/>
      <c r="C55" s="217" t="s">
        <v>136</v>
      </c>
      <c r="D55" s="217" t="s">
        <v>149</v>
      </c>
      <c r="E55" s="217" t="s">
        <v>303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216"/>
      <c r="O55" s="221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124</v>
      </c>
      <c r="B56" s="420"/>
      <c r="C56" s="217" t="s">
        <v>131</v>
      </c>
      <c r="D56" s="217" t="s">
        <v>234</v>
      </c>
      <c r="E56" s="217" t="s">
        <v>235</v>
      </c>
      <c r="F56" s="421" t="s">
        <v>126</v>
      </c>
      <c r="G56" s="422"/>
      <c r="H56" s="422"/>
      <c r="I56" s="422"/>
      <c r="J56" s="422"/>
      <c r="K56" s="422"/>
      <c r="L56" s="422"/>
      <c r="M56" s="423"/>
      <c r="N56" s="216"/>
      <c r="O56" s="221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114</v>
      </c>
      <c r="B57" s="420"/>
      <c r="C57" s="217" t="s">
        <v>200</v>
      </c>
      <c r="D57" s="217" t="s">
        <v>117</v>
      </c>
      <c r="E57" s="217" t="s">
        <v>309</v>
      </c>
      <c r="F57" s="421" t="s">
        <v>310</v>
      </c>
      <c r="G57" s="422"/>
      <c r="H57" s="422"/>
      <c r="I57" s="422"/>
      <c r="J57" s="422"/>
      <c r="K57" s="422"/>
      <c r="L57" s="422"/>
      <c r="M57" s="423"/>
      <c r="N57" s="216"/>
      <c r="O57" s="221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17"/>
      <c r="D58" s="217"/>
      <c r="E58" s="217"/>
      <c r="F58" s="421"/>
      <c r="G58" s="422"/>
      <c r="H58" s="422"/>
      <c r="I58" s="422"/>
      <c r="J58" s="422"/>
      <c r="K58" s="422"/>
      <c r="L58" s="422"/>
      <c r="M58" s="423"/>
      <c r="N58" s="216"/>
      <c r="O58" s="221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17"/>
      <c r="D59" s="217"/>
      <c r="E59" s="217"/>
      <c r="F59" s="421"/>
      <c r="G59" s="422"/>
      <c r="H59" s="422"/>
      <c r="I59" s="422"/>
      <c r="J59" s="422"/>
      <c r="K59" s="422"/>
      <c r="L59" s="422"/>
      <c r="M59" s="423"/>
      <c r="N59" s="216"/>
      <c r="O59" s="221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18"/>
      <c r="D60" s="218"/>
      <c r="E60" s="218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311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19" t="s">
        <v>2</v>
      </c>
      <c r="D62" s="219" t="s">
        <v>37</v>
      </c>
      <c r="E62" s="219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19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114</v>
      </c>
      <c r="D63" s="223"/>
      <c r="E63" s="220" t="s">
        <v>128</v>
      </c>
      <c r="F63" s="408" t="s">
        <v>312</v>
      </c>
      <c r="G63" s="400"/>
      <c r="H63" s="400"/>
      <c r="I63" s="400"/>
      <c r="J63" s="400"/>
      <c r="K63" s="400" t="s">
        <v>130</v>
      </c>
      <c r="L63" s="400"/>
      <c r="M63" s="51" t="s">
        <v>313</v>
      </c>
      <c r="N63" s="411" t="s">
        <v>143</v>
      </c>
      <c r="O63" s="411"/>
      <c r="P63" s="409">
        <v>250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 t="s">
        <v>124</v>
      </c>
      <c r="D64" s="223"/>
      <c r="E64" s="220" t="s">
        <v>192</v>
      </c>
      <c r="F64" s="408" t="s">
        <v>193</v>
      </c>
      <c r="G64" s="400"/>
      <c r="H64" s="400"/>
      <c r="I64" s="400"/>
      <c r="J64" s="400"/>
      <c r="K64" s="400" t="s">
        <v>314</v>
      </c>
      <c r="L64" s="400"/>
      <c r="M64" s="51" t="s">
        <v>240</v>
      </c>
      <c r="N64" s="411" t="s">
        <v>200</v>
      </c>
      <c r="O64" s="411"/>
      <c r="P64" s="409">
        <v>210</v>
      </c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223"/>
      <c r="E65" s="220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223"/>
      <c r="E66" s="220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23"/>
      <c r="E67" s="220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23"/>
      <c r="E68" s="220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23"/>
      <c r="E69" s="220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23"/>
      <c r="E70" s="220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315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22" t="s">
        <v>2</v>
      </c>
      <c r="D72" s="222" t="s">
        <v>37</v>
      </c>
      <c r="E72" s="222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24" t="s">
        <v>114</v>
      </c>
      <c r="D73" s="224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23"/>
      <c r="D74" s="223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23"/>
      <c r="D75" s="223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23"/>
      <c r="D76" s="223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23"/>
      <c r="D77" s="223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23"/>
      <c r="D78" s="223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23"/>
      <c r="D79" s="223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23"/>
      <c r="D80" s="223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23"/>
      <c r="D81" s="223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316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1C89-78B1-4394-ABE1-21AD1DEFF147}">
  <dimension ref="A1:AF87"/>
  <sheetViews>
    <sheetView zoomScale="72" zoomScaleNormal="72" zoomScaleSheetLayoutView="70" workbookViewId="0">
      <selection activeCell="A3" sqref="A3:G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333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35" t="s">
        <v>17</v>
      </c>
      <c r="L5" s="235" t="s">
        <v>18</v>
      </c>
      <c r="M5" s="235" t="s">
        <v>19</v>
      </c>
      <c r="N5" s="23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17" si="7">AC6*AB6*(1-O6)</f>
        <v>0</v>
      </c>
      <c r="AE6" s="36">
        <f t="shared" ref="AE6:AE21" si="8">$AD$22</f>
        <v>0.38611111111111113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0.38611111111111113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133</v>
      </c>
      <c r="D8" s="52" t="s">
        <v>307</v>
      </c>
      <c r="E8" s="53" t="s">
        <v>308</v>
      </c>
      <c r="F8" s="30" t="s">
        <v>253</v>
      </c>
      <c r="G8" s="33">
        <v>1</v>
      </c>
      <c r="H8" s="35">
        <v>24</v>
      </c>
      <c r="I8" s="7">
        <v>3000</v>
      </c>
      <c r="J8" s="14">
        <v>3148</v>
      </c>
      <c r="K8" s="15">
        <f>L8</f>
        <v>3148</v>
      </c>
      <c r="L8" s="15">
        <f>1445+1703</f>
        <v>3148</v>
      </c>
      <c r="M8" s="15">
        <f t="shared" si="1"/>
        <v>3148</v>
      </c>
      <c r="N8" s="15">
        <v>0</v>
      </c>
      <c r="O8" s="58">
        <f t="shared" si="2"/>
        <v>0</v>
      </c>
      <c r="P8" s="39">
        <f t="shared" si="3"/>
        <v>18</v>
      </c>
      <c r="Q8" s="40">
        <f t="shared" si="4"/>
        <v>6</v>
      </c>
      <c r="R8" s="7"/>
      <c r="S8" s="6"/>
      <c r="T8" s="16"/>
      <c r="U8" s="16"/>
      <c r="V8" s="17"/>
      <c r="W8" s="5">
        <v>6</v>
      </c>
      <c r="X8" s="16"/>
      <c r="Y8" s="16"/>
      <c r="Z8" s="16"/>
      <c r="AA8" s="18"/>
      <c r="AB8" s="8">
        <f t="shared" si="5"/>
        <v>1</v>
      </c>
      <c r="AC8" s="9">
        <f t="shared" si="6"/>
        <v>0.75</v>
      </c>
      <c r="AD8" s="10">
        <f t="shared" si="7"/>
        <v>0.75</v>
      </c>
      <c r="AE8" s="36">
        <f t="shared" si="8"/>
        <v>0.38611111111111113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3830</v>
      </c>
      <c r="K9" s="15">
        <f>L9+1593+1896+2807+1401+3459+1160</f>
        <v>16146</v>
      </c>
      <c r="L9" s="15">
        <f>918+2912</f>
        <v>3830</v>
      </c>
      <c r="M9" s="15">
        <f t="shared" si="1"/>
        <v>3830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0.38611111111111113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234</v>
      </c>
      <c r="E10" s="53" t="s">
        <v>235</v>
      </c>
      <c r="F10" s="30" t="s">
        <v>249</v>
      </c>
      <c r="G10" s="33">
        <v>32</v>
      </c>
      <c r="H10" s="35">
        <v>24</v>
      </c>
      <c r="I10" s="7">
        <v>200000</v>
      </c>
      <c r="J10" s="5">
        <v>162750</v>
      </c>
      <c r="K10" s="15">
        <f>L10+7584+107552</f>
        <v>277886</v>
      </c>
      <c r="L10" s="15">
        <f>2638*30+2787*30</f>
        <v>162750</v>
      </c>
      <c r="M10" s="15">
        <f t="shared" si="1"/>
        <v>162750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0.38611111111111113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125</v>
      </c>
      <c r="E11" s="53" t="s">
        <v>317</v>
      </c>
      <c r="F11" s="30" t="s">
        <v>130</v>
      </c>
      <c r="G11" s="33">
        <v>1</v>
      </c>
      <c r="H11" s="35">
        <v>24</v>
      </c>
      <c r="I11" s="7">
        <v>2500</v>
      </c>
      <c r="J11" s="14">
        <v>1682</v>
      </c>
      <c r="K11" s="15">
        <f>L11</f>
        <v>1682</v>
      </c>
      <c r="L11" s="15">
        <f>1682</f>
        <v>1682</v>
      </c>
      <c r="M11" s="15">
        <f t="shared" si="1"/>
        <v>1682</v>
      </c>
      <c r="N11" s="15">
        <v>0</v>
      </c>
      <c r="O11" s="58">
        <f t="shared" si="2"/>
        <v>0</v>
      </c>
      <c r="P11" s="39">
        <f t="shared" si="3"/>
        <v>9</v>
      </c>
      <c r="Q11" s="40">
        <f t="shared" si="4"/>
        <v>15</v>
      </c>
      <c r="R11" s="7"/>
      <c r="S11" s="6">
        <v>15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0.375</v>
      </c>
      <c r="AD11" s="10">
        <f t="shared" ref="AD11" si="10">AC11*AB11*(1-O11)</f>
        <v>0.375</v>
      </c>
      <c r="AE11" s="36">
        <f t="shared" si="8"/>
        <v>0.38611111111111113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1268</v>
      </c>
      <c r="K12" s="15">
        <f>L12+3015+1279+2974+4822+1084+3847</f>
        <v>18289</v>
      </c>
      <c r="L12" s="15">
        <f>1268</f>
        <v>1268</v>
      </c>
      <c r="M12" s="15">
        <f t="shared" si="1"/>
        <v>1268</v>
      </c>
      <c r="N12" s="15">
        <v>0</v>
      </c>
      <c r="O12" s="58">
        <f t="shared" si="2"/>
        <v>0</v>
      </c>
      <c r="P12" s="39">
        <f t="shared" si="3"/>
        <v>8</v>
      </c>
      <c r="Q12" s="40">
        <f t="shared" si="4"/>
        <v>16</v>
      </c>
      <c r="R12" s="7"/>
      <c r="S12" s="6">
        <v>16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0.33333333333333331</v>
      </c>
      <c r="AD12" s="10">
        <f t="shared" si="7"/>
        <v>0.33333333333333331</v>
      </c>
      <c r="AE12" s="36">
        <f t="shared" si="8"/>
        <v>0.38611111111111113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133</v>
      </c>
      <c r="D13" s="52" t="s">
        <v>117</v>
      </c>
      <c r="E13" s="53" t="s">
        <v>239</v>
      </c>
      <c r="F13" s="30" t="s">
        <v>121</v>
      </c>
      <c r="G13" s="33">
        <v>1</v>
      </c>
      <c r="H13" s="35">
        <v>24</v>
      </c>
      <c r="I13" s="7">
        <v>1000</v>
      </c>
      <c r="J13" s="14">
        <v>1738</v>
      </c>
      <c r="K13" s="15">
        <f>L13</f>
        <v>1738</v>
      </c>
      <c r="L13" s="15">
        <f>668+1070</f>
        <v>1738</v>
      </c>
      <c r="M13" s="15">
        <f t="shared" si="1"/>
        <v>1738</v>
      </c>
      <c r="N13" s="15">
        <v>0</v>
      </c>
      <c r="O13" s="58">
        <f t="shared" si="2"/>
        <v>0</v>
      </c>
      <c r="P13" s="39">
        <f t="shared" si="3"/>
        <v>15</v>
      </c>
      <c r="Q13" s="40">
        <f t="shared" si="4"/>
        <v>9</v>
      </c>
      <c r="R13" s="7"/>
      <c r="S13" s="6">
        <v>6</v>
      </c>
      <c r="T13" s="16"/>
      <c r="U13" s="16"/>
      <c r="V13" s="17"/>
      <c r="W13" s="5">
        <v>3</v>
      </c>
      <c r="X13" s="16"/>
      <c r="Y13" s="16"/>
      <c r="Z13" s="16"/>
      <c r="AA13" s="18"/>
      <c r="AB13" s="8">
        <f t="shared" si="5"/>
        <v>1</v>
      </c>
      <c r="AC13" s="9">
        <f t="shared" si="6"/>
        <v>0.625</v>
      </c>
      <c r="AD13" s="10">
        <f t="shared" si="7"/>
        <v>0.625</v>
      </c>
      <c r="AE13" s="36">
        <f t="shared" si="8"/>
        <v>0.38611111111111113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1045</v>
      </c>
      <c r="K14" s="15">
        <f>L14+620+500+1045</f>
        <v>2165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0.38611111111111113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0.38611111111111113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0.38611111111111113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291</v>
      </c>
      <c r="D17" s="52" t="s">
        <v>149</v>
      </c>
      <c r="E17" s="53" t="s">
        <v>298</v>
      </c>
      <c r="F17" s="30" t="s">
        <v>271</v>
      </c>
      <c r="G17" s="33" t="s">
        <v>293</v>
      </c>
      <c r="H17" s="35">
        <v>20</v>
      </c>
      <c r="I17" s="7">
        <v>3000</v>
      </c>
      <c r="J17" s="14">
        <v>3600</v>
      </c>
      <c r="K17" s="15">
        <f>L17+3593</f>
        <v>3593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0.38611111111111113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133</v>
      </c>
      <c r="D18" s="52" t="s">
        <v>117</v>
      </c>
      <c r="E18" s="53" t="s">
        <v>277</v>
      </c>
      <c r="F18" s="30" t="s">
        <v>144</v>
      </c>
      <c r="G18" s="33">
        <v>1</v>
      </c>
      <c r="H18" s="35">
        <v>24</v>
      </c>
      <c r="I18" s="7">
        <v>30000</v>
      </c>
      <c r="J18" s="5">
        <v>4959</v>
      </c>
      <c r="K18" s="15">
        <f>L18+2111+5079+5209</f>
        <v>17358</v>
      </c>
      <c r="L18" s="15">
        <f>2248+2711</f>
        <v>4959</v>
      </c>
      <c r="M18" s="15">
        <f t="shared" si="1"/>
        <v>4959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0.38611111111111113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117</v>
      </c>
      <c r="E19" s="53" t="s">
        <v>166</v>
      </c>
      <c r="F19" s="30" t="s">
        <v>121</v>
      </c>
      <c r="G19" s="33">
        <v>1</v>
      </c>
      <c r="H19" s="35">
        <v>24</v>
      </c>
      <c r="I19" s="7">
        <v>45000</v>
      </c>
      <c r="J19" s="14">
        <v>1586</v>
      </c>
      <c r="K19" s="15">
        <f>L19+4853+5291+4951+5173+4262+2713+2139+4329+2450+5193+5270</f>
        <v>48210</v>
      </c>
      <c r="L19" s="15">
        <f>1586</f>
        <v>1586</v>
      </c>
      <c r="M19" s="15">
        <f t="shared" ref="M19" si="11">L19-N19</f>
        <v>1586</v>
      </c>
      <c r="N19" s="15">
        <v>0</v>
      </c>
      <c r="O19" s="58">
        <f t="shared" ref="O19" si="12">IF(L19=0,"0",N19/L19)</f>
        <v>0</v>
      </c>
      <c r="P19" s="39">
        <f t="shared" ref="P19" si="13">IF(L19=0,"0",(24-Q19))</f>
        <v>6</v>
      </c>
      <c r="Q19" s="40">
        <f t="shared" ref="Q19" si="14">SUM(R19:AA19)</f>
        <v>18</v>
      </c>
      <c r="R19" s="7"/>
      <c r="S19" s="6"/>
      <c r="T19" s="16"/>
      <c r="U19" s="16"/>
      <c r="V19" s="17"/>
      <c r="W19" s="5">
        <v>18</v>
      </c>
      <c r="X19" s="16"/>
      <c r="Y19" s="16"/>
      <c r="Z19" s="16"/>
      <c r="AA19" s="18"/>
      <c r="AB19" s="8">
        <f t="shared" ref="AB19" si="15">IF(J19=0,"0",(L19/J19))</f>
        <v>1</v>
      </c>
      <c r="AC19" s="9">
        <f t="shared" ref="AC19" si="16">IF(P19=0,"0",(P19/24))</f>
        <v>0.25</v>
      </c>
      <c r="AD19" s="10">
        <f t="shared" ref="AD19" si="17">AC19*AB19*(1-O19)</f>
        <v>0.25</v>
      </c>
      <c r="AE19" s="36">
        <f t="shared" si="8"/>
        <v>0.38611111111111113</v>
      </c>
      <c r="AF19" s="87">
        <f t="shared" ref="AF19" si="18">A19</f>
        <v>14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318</v>
      </c>
      <c r="F20" s="30" t="s">
        <v>212</v>
      </c>
      <c r="G20" s="33">
        <v>1</v>
      </c>
      <c r="H20" s="35">
        <v>24</v>
      </c>
      <c r="I20" s="7">
        <v>25000</v>
      </c>
      <c r="J20" s="14">
        <v>3185</v>
      </c>
      <c r="K20" s="15">
        <f>L20</f>
        <v>3185</v>
      </c>
      <c r="L20" s="15">
        <f>2776+409</f>
        <v>3185</v>
      </c>
      <c r="M20" s="15">
        <f t="shared" si="1"/>
        <v>3185</v>
      </c>
      <c r="N20" s="15">
        <v>0</v>
      </c>
      <c r="O20" s="58">
        <f t="shared" si="2"/>
        <v>0</v>
      </c>
      <c r="P20" s="39">
        <f t="shared" si="3"/>
        <v>17</v>
      </c>
      <c r="Q20" s="40">
        <f t="shared" si="4"/>
        <v>7</v>
      </c>
      <c r="R20" s="7"/>
      <c r="S20" s="6"/>
      <c r="T20" s="16">
        <v>7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0.70833333333333337</v>
      </c>
      <c r="AD20" s="10">
        <f t="shared" ref="AD20:AD21" si="19">AC20*AB20*(1-O20)</f>
        <v>0.70833333333333337</v>
      </c>
      <c r="AE20" s="36">
        <f t="shared" si="8"/>
        <v>0.38611111111111113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152</v>
      </c>
      <c r="F21" s="12" t="s">
        <v>116</v>
      </c>
      <c r="G21" s="12">
        <v>3</v>
      </c>
      <c r="H21" s="35">
        <v>20</v>
      </c>
      <c r="I21" s="7">
        <v>300000</v>
      </c>
      <c r="J21" s="14">
        <v>25017</v>
      </c>
      <c r="K21" s="15">
        <f>L21+54642+62589+25017</f>
        <v>142248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19"/>
        <v>0</v>
      </c>
      <c r="AE21" s="36">
        <f t="shared" si="8"/>
        <v>0.38611111111111113</v>
      </c>
      <c r="AF21" s="87">
        <f t="shared" si="9"/>
        <v>15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20">SUM(I6:I21)</f>
        <v>751500</v>
      </c>
      <c r="J22" s="19">
        <f t="shared" si="20"/>
        <v>227805</v>
      </c>
      <c r="K22" s="20">
        <f t="shared" si="20"/>
        <v>592420</v>
      </c>
      <c r="L22" s="21">
        <f t="shared" si="20"/>
        <v>184146</v>
      </c>
      <c r="M22" s="20">
        <f t="shared" si="20"/>
        <v>184146</v>
      </c>
      <c r="N22" s="21">
        <f t="shared" si="20"/>
        <v>0</v>
      </c>
      <c r="O22" s="41">
        <f t="shared" si="2"/>
        <v>0</v>
      </c>
      <c r="P22" s="42">
        <f t="shared" ref="P22:AA22" si="21">SUM(P6:P21)</f>
        <v>139</v>
      </c>
      <c r="Q22" s="43">
        <f t="shared" si="21"/>
        <v>245</v>
      </c>
      <c r="R22" s="23">
        <f t="shared" si="21"/>
        <v>48</v>
      </c>
      <c r="S22" s="24">
        <f t="shared" si="21"/>
        <v>67</v>
      </c>
      <c r="T22" s="24">
        <f t="shared" si="21"/>
        <v>7</v>
      </c>
      <c r="U22" s="24">
        <f t="shared" si="21"/>
        <v>0</v>
      </c>
      <c r="V22" s="25">
        <f t="shared" si="21"/>
        <v>24</v>
      </c>
      <c r="W22" s="26">
        <f t="shared" si="21"/>
        <v>99</v>
      </c>
      <c r="X22" s="27">
        <f t="shared" si="21"/>
        <v>0</v>
      </c>
      <c r="Y22" s="27">
        <f t="shared" si="21"/>
        <v>0</v>
      </c>
      <c r="Z22" s="27">
        <f t="shared" si="21"/>
        <v>0</v>
      </c>
      <c r="AA22" s="27">
        <f t="shared" si="21"/>
        <v>0</v>
      </c>
      <c r="AB22" s="28">
        <f>SUM(AB6:AB21)/15</f>
        <v>0.6</v>
      </c>
      <c r="AC22" s="4">
        <f>SUM(AC6:AC21)/15</f>
        <v>0.38611111111111113</v>
      </c>
      <c r="AD22" s="4">
        <f>SUM(AD6:AD21)/15</f>
        <v>0.38611111111111113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320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321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234" t="s">
        <v>46</v>
      </c>
      <c r="D51" s="234" t="s">
        <v>47</v>
      </c>
      <c r="E51" s="234" t="s">
        <v>108</v>
      </c>
      <c r="F51" s="448" t="s">
        <v>107</v>
      </c>
      <c r="G51" s="448"/>
      <c r="H51" s="448"/>
      <c r="I51" s="448"/>
      <c r="J51" s="448"/>
      <c r="K51" s="448"/>
      <c r="L51" s="448"/>
      <c r="M51" s="449"/>
      <c r="N51" s="67" t="s">
        <v>112</v>
      </c>
      <c r="O51" s="234" t="s">
        <v>46</v>
      </c>
      <c r="P51" s="450" t="s">
        <v>47</v>
      </c>
      <c r="Q51" s="451"/>
      <c r="R51" s="450" t="s">
        <v>38</v>
      </c>
      <c r="S51" s="452"/>
      <c r="T51" s="452"/>
      <c r="U51" s="451"/>
      <c r="V51" s="450" t="s">
        <v>48</v>
      </c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19" t="s">
        <v>124</v>
      </c>
      <c r="B52" s="420"/>
      <c r="C52" s="232" t="s">
        <v>184</v>
      </c>
      <c r="D52" s="232" t="s">
        <v>148</v>
      </c>
      <c r="E52" s="232" t="s">
        <v>191</v>
      </c>
      <c r="F52" s="421" t="s">
        <v>126</v>
      </c>
      <c r="G52" s="422"/>
      <c r="H52" s="422"/>
      <c r="I52" s="422"/>
      <c r="J52" s="422"/>
      <c r="K52" s="422"/>
      <c r="L52" s="422"/>
      <c r="M52" s="423"/>
      <c r="N52" s="231" t="s">
        <v>114</v>
      </c>
      <c r="O52" s="229" t="s">
        <v>200</v>
      </c>
      <c r="P52" s="433" t="s">
        <v>125</v>
      </c>
      <c r="Q52" s="434"/>
      <c r="R52" s="420" t="s">
        <v>317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133</v>
      </c>
      <c r="B53" s="420"/>
      <c r="C53" s="232" t="s">
        <v>143</v>
      </c>
      <c r="D53" s="232" t="s">
        <v>117</v>
      </c>
      <c r="E53" s="232" t="s">
        <v>239</v>
      </c>
      <c r="F53" s="421" t="s">
        <v>319</v>
      </c>
      <c r="G53" s="422"/>
      <c r="H53" s="422"/>
      <c r="I53" s="422"/>
      <c r="J53" s="422"/>
      <c r="K53" s="422"/>
      <c r="L53" s="422"/>
      <c r="M53" s="423"/>
      <c r="N53" s="231" t="s">
        <v>124</v>
      </c>
      <c r="O53" s="229" t="s">
        <v>139</v>
      </c>
      <c r="P53" s="433" t="s">
        <v>117</v>
      </c>
      <c r="Q53" s="434"/>
      <c r="R53" s="420" t="s">
        <v>168</v>
      </c>
      <c r="S53" s="420"/>
      <c r="T53" s="420"/>
      <c r="U53" s="420"/>
      <c r="V53" s="410" t="s">
        <v>126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232" t="s">
        <v>139</v>
      </c>
      <c r="D54" s="232" t="s">
        <v>117</v>
      </c>
      <c r="E54" s="232" t="s">
        <v>168</v>
      </c>
      <c r="F54" s="421" t="s">
        <v>179</v>
      </c>
      <c r="G54" s="422"/>
      <c r="H54" s="422"/>
      <c r="I54" s="422"/>
      <c r="J54" s="422"/>
      <c r="K54" s="422"/>
      <c r="L54" s="422"/>
      <c r="M54" s="423"/>
      <c r="N54" s="231" t="s">
        <v>124</v>
      </c>
      <c r="O54" s="229" t="s">
        <v>136</v>
      </c>
      <c r="P54" s="433" t="s">
        <v>128</v>
      </c>
      <c r="Q54" s="434"/>
      <c r="R54" s="420" t="s">
        <v>322</v>
      </c>
      <c r="S54" s="420"/>
      <c r="T54" s="420"/>
      <c r="U54" s="420"/>
      <c r="V54" s="410" t="s">
        <v>120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133</v>
      </c>
      <c r="B55" s="420"/>
      <c r="C55" s="232" t="s">
        <v>136</v>
      </c>
      <c r="D55" s="232" t="s">
        <v>307</v>
      </c>
      <c r="E55" s="232" t="s">
        <v>308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231"/>
      <c r="O55" s="229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114</v>
      </c>
      <c r="B56" s="420"/>
      <c r="C56" s="232" t="s">
        <v>200</v>
      </c>
      <c r="D56" s="232" t="s">
        <v>125</v>
      </c>
      <c r="E56" s="232" t="s">
        <v>317</v>
      </c>
      <c r="F56" s="421" t="s">
        <v>310</v>
      </c>
      <c r="G56" s="422"/>
      <c r="H56" s="422"/>
      <c r="I56" s="422"/>
      <c r="J56" s="422"/>
      <c r="K56" s="422"/>
      <c r="L56" s="422"/>
      <c r="M56" s="423"/>
      <c r="N56" s="231"/>
      <c r="O56" s="229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32"/>
      <c r="D57" s="232"/>
      <c r="E57" s="232"/>
      <c r="F57" s="421"/>
      <c r="G57" s="422"/>
      <c r="H57" s="422"/>
      <c r="I57" s="422"/>
      <c r="J57" s="422"/>
      <c r="K57" s="422"/>
      <c r="L57" s="422"/>
      <c r="M57" s="423"/>
      <c r="N57" s="231"/>
      <c r="O57" s="229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32"/>
      <c r="D58" s="232"/>
      <c r="E58" s="232"/>
      <c r="F58" s="421"/>
      <c r="G58" s="422"/>
      <c r="H58" s="422"/>
      <c r="I58" s="422"/>
      <c r="J58" s="422"/>
      <c r="K58" s="422"/>
      <c r="L58" s="422"/>
      <c r="M58" s="423"/>
      <c r="N58" s="231"/>
      <c r="O58" s="229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32"/>
      <c r="D59" s="232"/>
      <c r="E59" s="232"/>
      <c r="F59" s="421"/>
      <c r="G59" s="422"/>
      <c r="H59" s="422"/>
      <c r="I59" s="422"/>
      <c r="J59" s="422"/>
      <c r="K59" s="422"/>
      <c r="L59" s="422"/>
      <c r="M59" s="423"/>
      <c r="N59" s="231"/>
      <c r="O59" s="229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232"/>
      <c r="D60" s="232"/>
      <c r="E60" s="232"/>
      <c r="F60" s="421"/>
      <c r="G60" s="422"/>
      <c r="H60" s="422"/>
      <c r="I60" s="422"/>
      <c r="J60" s="422"/>
      <c r="K60" s="422"/>
      <c r="L60" s="422"/>
      <c r="M60" s="423"/>
      <c r="N60" s="231"/>
      <c r="O60" s="229"/>
      <c r="P60" s="420"/>
      <c r="Q60" s="420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  <c r="AF60" s="87">
        <f>8*3000</f>
        <v>24000</v>
      </c>
    </row>
    <row r="61" spans="1:32" ht="27" customHeight="1" thickBot="1">
      <c r="A61" s="425"/>
      <c r="B61" s="426"/>
      <c r="C61" s="233"/>
      <c r="D61" s="233"/>
      <c r="E61" s="233"/>
      <c r="F61" s="427"/>
      <c r="G61" s="428"/>
      <c r="H61" s="428"/>
      <c r="I61" s="428"/>
      <c r="J61" s="428"/>
      <c r="K61" s="428"/>
      <c r="L61" s="428"/>
      <c r="M61" s="429"/>
      <c r="N61" s="124"/>
      <c r="O61" s="114"/>
      <c r="P61" s="430"/>
      <c r="Q61" s="430"/>
      <c r="R61" s="430"/>
      <c r="S61" s="430"/>
      <c r="T61" s="430"/>
      <c r="U61" s="430"/>
      <c r="V61" s="431"/>
      <c r="W61" s="431"/>
      <c r="X61" s="431"/>
      <c r="Y61" s="431"/>
      <c r="Z61" s="431"/>
      <c r="AA61" s="431"/>
      <c r="AB61" s="431"/>
      <c r="AC61" s="431"/>
      <c r="AD61" s="432"/>
      <c r="AF61" s="87">
        <f>16*3000</f>
        <v>48000</v>
      </c>
    </row>
    <row r="62" spans="1:32" ht="27.75" thickBot="1">
      <c r="A62" s="417" t="s">
        <v>323</v>
      </c>
      <c r="B62" s="417"/>
      <c r="C62" s="417"/>
      <c r="D62" s="417"/>
      <c r="E62" s="41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8" t="s">
        <v>113</v>
      </c>
      <c r="B63" s="415"/>
      <c r="C63" s="230" t="s">
        <v>2</v>
      </c>
      <c r="D63" s="230" t="s">
        <v>37</v>
      </c>
      <c r="E63" s="230" t="s">
        <v>3</v>
      </c>
      <c r="F63" s="415" t="s">
        <v>110</v>
      </c>
      <c r="G63" s="415"/>
      <c r="H63" s="415"/>
      <c r="I63" s="415"/>
      <c r="J63" s="415"/>
      <c r="K63" s="415" t="s">
        <v>39</v>
      </c>
      <c r="L63" s="415"/>
      <c r="M63" s="230" t="s">
        <v>40</v>
      </c>
      <c r="N63" s="415" t="s">
        <v>41</v>
      </c>
      <c r="O63" s="415"/>
      <c r="P63" s="412" t="s">
        <v>42</v>
      </c>
      <c r="Q63" s="414"/>
      <c r="R63" s="412" t="s">
        <v>43</v>
      </c>
      <c r="S63" s="413"/>
      <c r="T63" s="413"/>
      <c r="U63" s="413"/>
      <c r="V63" s="413"/>
      <c r="W63" s="413"/>
      <c r="X63" s="413"/>
      <c r="Y63" s="413"/>
      <c r="Z63" s="413"/>
      <c r="AA63" s="414"/>
      <c r="AB63" s="415" t="s">
        <v>44</v>
      </c>
      <c r="AC63" s="415"/>
      <c r="AD63" s="416"/>
      <c r="AF63" s="87">
        <f>SUM(AF60:AF62)</f>
        <v>96000</v>
      </c>
    </row>
    <row r="64" spans="1:32" ht="25.5" customHeight="1">
      <c r="A64" s="406">
        <v>1</v>
      </c>
      <c r="B64" s="407"/>
      <c r="C64" s="117" t="s">
        <v>324</v>
      </c>
      <c r="D64" s="225"/>
      <c r="E64" s="228" t="s">
        <v>148</v>
      </c>
      <c r="F64" s="408" t="s">
        <v>325</v>
      </c>
      <c r="G64" s="400"/>
      <c r="H64" s="400"/>
      <c r="I64" s="400"/>
      <c r="J64" s="400"/>
      <c r="K64" s="400" t="s">
        <v>326</v>
      </c>
      <c r="L64" s="400"/>
      <c r="M64" s="51" t="s">
        <v>327</v>
      </c>
      <c r="N64" s="411" t="s">
        <v>200</v>
      </c>
      <c r="O64" s="411"/>
      <c r="P64" s="409">
        <v>100</v>
      </c>
      <c r="Q64" s="409"/>
      <c r="R64" s="410" t="s">
        <v>328</v>
      </c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2</v>
      </c>
      <c r="B65" s="407"/>
      <c r="C65" s="117" t="s">
        <v>324</v>
      </c>
      <c r="D65" s="225"/>
      <c r="E65" s="228" t="s">
        <v>192</v>
      </c>
      <c r="F65" s="408" t="s">
        <v>329</v>
      </c>
      <c r="G65" s="400"/>
      <c r="H65" s="400"/>
      <c r="I65" s="400"/>
      <c r="J65" s="400"/>
      <c r="K65" s="400" t="s">
        <v>330</v>
      </c>
      <c r="L65" s="400"/>
      <c r="M65" s="51" t="s">
        <v>327</v>
      </c>
      <c r="N65" s="411" t="s">
        <v>135</v>
      </c>
      <c r="O65" s="411"/>
      <c r="P65" s="409">
        <v>100</v>
      </c>
      <c r="Q65" s="409"/>
      <c r="R65" s="410" t="s">
        <v>328</v>
      </c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3</v>
      </c>
      <c r="B66" s="407"/>
      <c r="C66" s="117"/>
      <c r="D66" s="225"/>
      <c r="E66" s="228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4</v>
      </c>
      <c r="B67" s="407"/>
      <c r="C67" s="117"/>
      <c r="D67" s="225"/>
      <c r="E67" s="228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5</v>
      </c>
      <c r="B68" s="407"/>
      <c r="C68" s="117"/>
      <c r="D68" s="225"/>
      <c r="E68" s="228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6</v>
      </c>
      <c r="B69" s="407"/>
      <c r="C69" s="117"/>
      <c r="D69" s="225"/>
      <c r="E69" s="228"/>
      <c r="F69" s="408"/>
      <c r="G69" s="400"/>
      <c r="H69" s="400"/>
      <c r="I69" s="400"/>
      <c r="J69" s="400"/>
      <c r="K69" s="400"/>
      <c r="L69" s="400"/>
      <c r="M69" s="51"/>
      <c r="N69" s="400"/>
      <c r="O69" s="400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7</v>
      </c>
      <c r="B70" s="407"/>
      <c r="C70" s="117"/>
      <c r="D70" s="225"/>
      <c r="E70" s="228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8</v>
      </c>
      <c r="B71" s="407"/>
      <c r="C71" s="117"/>
      <c r="D71" s="225"/>
      <c r="E71" s="228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6.25" customHeight="1" thickBot="1">
      <c r="A72" s="380" t="s">
        <v>331</v>
      </c>
      <c r="B72" s="380"/>
      <c r="C72" s="380"/>
      <c r="D72" s="380"/>
      <c r="E72" s="380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81" t="s">
        <v>113</v>
      </c>
      <c r="B73" s="382"/>
      <c r="C73" s="227" t="s">
        <v>2</v>
      </c>
      <c r="D73" s="227" t="s">
        <v>37</v>
      </c>
      <c r="E73" s="227" t="s">
        <v>3</v>
      </c>
      <c r="F73" s="382" t="s">
        <v>38</v>
      </c>
      <c r="G73" s="382"/>
      <c r="H73" s="382"/>
      <c r="I73" s="382"/>
      <c r="J73" s="382"/>
      <c r="K73" s="402" t="s">
        <v>58</v>
      </c>
      <c r="L73" s="403"/>
      <c r="M73" s="403"/>
      <c r="N73" s="403"/>
      <c r="O73" s="403"/>
      <c r="P73" s="403"/>
      <c r="Q73" s="403"/>
      <c r="R73" s="403"/>
      <c r="S73" s="404"/>
      <c r="T73" s="382" t="s">
        <v>49</v>
      </c>
      <c r="U73" s="382"/>
      <c r="V73" s="402" t="s">
        <v>50</v>
      </c>
      <c r="W73" s="404"/>
      <c r="X73" s="403" t="s">
        <v>51</v>
      </c>
      <c r="Y73" s="403"/>
      <c r="Z73" s="403"/>
      <c r="AA73" s="403"/>
      <c r="AB73" s="403"/>
      <c r="AC73" s="403"/>
      <c r="AD73" s="405"/>
      <c r="AF73" s="50"/>
    </row>
    <row r="74" spans="1:32" ht="33.75" customHeight="1">
      <c r="A74" s="374">
        <v>1</v>
      </c>
      <c r="B74" s="375"/>
      <c r="C74" s="226" t="s">
        <v>114</v>
      </c>
      <c r="D74" s="226"/>
      <c r="E74" s="65" t="s">
        <v>119</v>
      </c>
      <c r="F74" s="389" t="s">
        <v>118</v>
      </c>
      <c r="G74" s="390"/>
      <c r="H74" s="390"/>
      <c r="I74" s="390"/>
      <c r="J74" s="391"/>
      <c r="K74" s="392" t="s">
        <v>137</v>
      </c>
      <c r="L74" s="393"/>
      <c r="M74" s="393"/>
      <c r="N74" s="393"/>
      <c r="O74" s="393"/>
      <c r="P74" s="393"/>
      <c r="Q74" s="393"/>
      <c r="R74" s="393"/>
      <c r="S74" s="394"/>
      <c r="T74" s="395">
        <v>43675</v>
      </c>
      <c r="U74" s="396"/>
      <c r="V74" s="397"/>
      <c r="W74" s="397"/>
      <c r="X74" s="398"/>
      <c r="Y74" s="398"/>
      <c r="Z74" s="398"/>
      <c r="AA74" s="398"/>
      <c r="AB74" s="398"/>
      <c r="AC74" s="398"/>
      <c r="AD74" s="399"/>
      <c r="AF74" s="50"/>
    </row>
    <row r="75" spans="1:32" ht="30" customHeight="1">
      <c r="A75" s="367">
        <f>A74+1</f>
        <v>2</v>
      </c>
      <c r="B75" s="368"/>
      <c r="C75" s="225"/>
      <c r="D75" s="225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ref="A76:A82" si="22">A75+1</f>
        <v>3</v>
      </c>
      <c r="B76" s="368"/>
      <c r="C76" s="225"/>
      <c r="D76" s="225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22"/>
        <v>4</v>
      </c>
      <c r="B77" s="368"/>
      <c r="C77" s="225"/>
      <c r="D77" s="225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2"/>
        <v>5</v>
      </c>
      <c r="B78" s="368"/>
      <c r="C78" s="225"/>
      <c r="D78" s="225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2"/>
        <v>6</v>
      </c>
      <c r="B79" s="368"/>
      <c r="C79" s="225"/>
      <c r="D79" s="225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2"/>
        <v>7</v>
      </c>
      <c r="B80" s="368"/>
      <c r="C80" s="225"/>
      <c r="D80" s="225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2"/>
        <v>8</v>
      </c>
      <c r="B81" s="368"/>
      <c r="C81" s="225"/>
      <c r="D81" s="225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2"/>
        <v>9</v>
      </c>
      <c r="B82" s="368"/>
      <c r="C82" s="225"/>
      <c r="D82" s="225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6" thickBot="1">
      <c r="A83" s="380" t="s">
        <v>332</v>
      </c>
      <c r="B83" s="380"/>
      <c r="C83" s="380"/>
      <c r="D83" s="380"/>
      <c r="E83" s="380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81" t="s">
        <v>113</v>
      </c>
      <c r="B84" s="382"/>
      <c r="C84" s="372" t="s">
        <v>52</v>
      </c>
      <c r="D84" s="372"/>
      <c r="E84" s="372" t="s">
        <v>53</v>
      </c>
      <c r="F84" s="372"/>
      <c r="G84" s="372"/>
      <c r="H84" s="372"/>
      <c r="I84" s="372"/>
      <c r="J84" s="372"/>
      <c r="K84" s="372" t="s">
        <v>54</v>
      </c>
      <c r="L84" s="372"/>
      <c r="M84" s="372"/>
      <c r="N84" s="372"/>
      <c r="O84" s="372"/>
      <c r="P84" s="372"/>
      <c r="Q84" s="372"/>
      <c r="R84" s="372"/>
      <c r="S84" s="372"/>
      <c r="T84" s="372" t="s">
        <v>55</v>
      </c>
      <c r="U84" s="372"/>
      <c r="V84" s="372" t="s">
        <v>56</v>
      </c>
      <c r="W84" s="372"/>
      <c r="X84" s="372"/>
      <c r="Y84" s="372" t="s">
        <v>51</v>
      </c>
      <c r="Z84" s="372"/>
      <c r="AA84" s="372"/>
      <c r="AB84" s="372"/>
      <c r="AC84" s="372"/>
      <c r="AD84" s="373"/>
      <c r="AF84" s="50"/>
    </row>
    <row r="85" spans="1:32" ht="30.75" customHeight="1">
      <c r="A85" s="374">
        <v>1</v>
      </c>
      <c r="B85" s="375"/>
      <c r="C85" s="376">
        <v>11</v>
      </c>
      <c r="D85" s="376"/>
      <c r="E85" s="376" t="s">
        <v>162</v>
      </c>
      <c r="F85" s="376"/>
      <c r="G85" s="376"/>
      <c r="H85" s="376"/>
      <c r="I85" s="376"/>
      <c r="J85" s="376"/>
      <c r="K85" s="376" t="s">
        <v>163</v>
      </c>
      <c r="L85" s="376"/>
      <c r="M85" s="376"/>
      <c r="N85" s="376"/>
      <c r="O85" s="376"/>
      <c r="P85" s="376"/>
      <c r="Q85" s="376"/>
      <c r="R85" s="376"/>
      <c r="S85" s="376"/>
      <c r="T85" s="376" t="s">
        <v>164</v>
      </c>
      <c r="U85" s="376"/>
      <c r="V85" s="377">
        <v>700000</v>
      </c>
      <c r="W85" s="377"/>
      <c r="X85" s="377"/>
      <c r="Y85" s="378"/>
      <c r="Z85" s="378"/>
      <c r="AA85" s="378"/>
      <c r="AB85" s="378"/>
      <c r="AC85" s="378"/>
      <c r="AD85" s="379"/>
      <c r="AF85" s="50"/>
    </row>
    <row r="86" spans="1:32" ht="30.75" customHeight="1">
      <c r="A86" s="367">
        <v>2</v>
      </c>
      <c r="B86" s="368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70"/>
      <c r="U86" s="370"/>
      <c r="V86" s="371"/>
      <c r="W86" s="371"/>
      <c r="X86" s="371"/>
      <c r="Y86" s="360"/>
      <c r="Z86" s="360"/>
      <c r="AA86" s="360"/>
      <c r="AB86" s="360"/>
      <c r="AC86" s="360"/>
      <c r="AD86" s="361"/>
      <c r="AF86" s="50"/>
    </row>
    <row r="87" spans="1:32" ht="30.75" customHeight="1" thickBot="1">
      <c r="A87" s="362">
        <v>3</v>
      </c>
      <c r="B87" s="363"/>
      <c r="C87" s="364"/>
      <c r="D87" s="364"/>
      <c r="E87" s="364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5"/>
      <c r="Z87" s="365"/>
      <c r="AA87" s="365"/>
      <c r="AB87" s="365"/>
      <c r="AC87" s="365"/>
      <c r="AD87" s="366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FC93-D063-4CE1-AD23-9F2257314FC8}">
  <dimension ref="A1:AF86"/>
  <sheetViews>
    <sheetView zoomScale="72" zoomScaleNormal="72" zoomScaleSheetLayoutView="70" workbookViewId="0">
      <selection activeCell="F78" sqref="F78:J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334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35" t="s">
        <v>17</v>
      </c>
      <c r="L5" s="235" t="s">
        <v>18</v>
      </c>
      <c r="M5" s="235" t="s">
        <v>19</v>
      </c>
      <c r="N5" s="23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0.18333333333333332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0.18333333333333332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30000</v>
      </c>
      <c r="J8" s="14">
        <v>1722</v>
      </c>
      <c r="K8" s="15">
        <f>L8</f>
        <v>1722</v>
      </c>
      <c r="L8" s="15">
        <v>1722</v>
      </c>
      <c r="M8" s="15">
        <f t="shared" si="1"/>
        <v>1722</v>
      </c>
      <c r="N8" s="15">
        <v>0</v>
      </c>
      <c r="O8" s="58">
        <f t="shared" si="2"/>
        <v>0</v>
      </c>
      <c r="P8" s="39">
        <f t="shared" si="3"/>
        <v>10</v>
      </c>
      <c r="Q8" s="40">
        <f t="shared" si="4"/>
        <v>14</v>
      </c>
      <c r="R8" s="7"/>
      <c r="S8" s="6"/>
      <c r="T8" s="16">
        <v>1</v>
      </c>
      <c r="U8" s="16"/>
      <c r="V8" s="17">
        <v>13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0.41666666666666669</v>
      </c>
      <c r="AD8" s="10">
        <f t="shared" si="7"/>
        <v>0.41666666666666669</v>
      </c>
      <c r="AE8" s="36">
        <f t="shared" si="8"/>
        <v>0.18333333333333332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650</v>
      </c>
      <c r="K9" s="15">
        <f>L9+1593+1896+2807+1401+3459+1160+3830</f>
        <v>16796</v>
      </c>
      <c r="L9" s="15">
        <v>650</v>
      </c>
      <c r="M9" s="15">
        <f t="shared" si="1"/>
        <v>650</v>
      </c>
      <c r="N9" s="15">
        <v>0</v>
      </c>
      <c r="O9" s="58">
        <f t="shared" si="2"/>
        <v>0</v>
      </c>
      <c r="P9" s="39">
        <f t="shared" si="3"/>
        <v>4</v>
      </c>
      <c r="Q9" s="40">
        <f t="shared" si="4"/>
        <v>20</v>
      </c>
      <c r="R9" s="7"/>
      <c r="S9" s="6">
        <v>20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0.16666666666666666</v>
      </c>
      <c r="AD9" s="10">
        <f t="shared" si="7"/>
        <v>0.16666666666666666</v>
      </c>
      <c r="AE9" s="36">
        <f t="shared" si="8"/>
        <v>0.18333333333333332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234</v>
      </c>
      <c r="E10" s="53" t="s">
        <v>235</v>
      </c>
      <c r="F10" s="30" t="s">
        <v>249</v>
      </c>
      <c r="G10" s="33">
        <v>32</v>
      </c>
      <c r="H10" s="35">
        <v>24</v>
      </c>
      <c r="I10" s="7">
        <v>200000</v>
      </c>
      <c r="J10" s="5">
        <v>33810</v>
      </c>
      <c r="K10" s="15">
        <f>L10+7584+107552+162750</f>
        <v>311696</v>
      </c>
      <c r="L10" s="15">
        <f>1127*30</f>
        <v>33810</v>
      </c>
      <c r="M10" s="15">
        <f t="shared" si="1"/>
        <v>33810</v>
      </c>
      <c r="N10" s="15">
        <v>0</v>
      </c>
      <c r="O10" s="58">
        <f t="shared" si="2"/>
        <v>0</v>
      </c>
      <c r="P10" s="39">
        <f t="shared" si="3"/>
        <v>10</v>
      </c>
      <c r="Q10" s="40">
        <f t="shared" si="4"/>
        <v>14</v>
      </c>
      <c r="R10" s="7"/>
      <c r="S10" s="6"/>
      <c r="T10" s="16"/>
      <c r="U10" s="16"/>
      <c r="V10" s="17">
        <v>14</v>
      </c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0.41666666666666669</v>
      </c>
      <c r="AD10" s="10">
        <f>AC10*AB10*(1-O10)</f>
        <v>0.41666666666666669</v>
      </c>
      <c r="AE10" s="36">
        <f t="shared" si="8"/>
        <v>0.18333333333333332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125</v>
      </c>
      <c r="E11" s="53" t="s">
        <v>317</v>
      </c>
      <c r="F11" s="30" t="s">
        <v>130</v>
      </c>
      <c r="G11" s="33">
        <v>1</v>
      </c>
      <c r="H11" s="35">
        <v>24</v>
      </c>
      <c r="I11" s="7">
        <v>2500</v>
      </c>
      <c r="J11" s="14">
        <v>182</v>
      </c>
      <c r="K11" s="15">
        <f>L11+1682</f>
        <v>1864</v>
      </c>
      <c r="L11" s="15">
        <v>182</v>
      </c>
      <c r="M11" s="15">
        <f t="shared" si="1"/>
        <v>182</v>
      </c>
      <c r="N11" s="15">
        <v>0</v>
      </c>
      <c r="O11" s="58">
        <f t="shared" si="2"/>
        <v>0</v>
      </c>
      <c r="P11" s="39">
        <f t="shared" si="3"/>
        <v>4</v>
      </c>
      <c r="Q11" s="40">
        <f t="shared" si="4"/>
        <v>20</v>
      </c>
      <c r="R11" s="7"/>
      <c r="S11" s="6">
        <v>20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0.16666666666666666</v>
      </c>
      <c r="AD11" s="10">
        <f t="shared" ref="AD11" si="10">AC11*AB11*(1-O11)</f>
        <v>0.16666666666666666</v>
      </c>
      <c r="AE11" s="36">
        <f t="shared" si="8"/>
        <v>0.18333333333333332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867</v>
      </c>
      <c r="K12" s="15">
        <f>L12+3015+1279+2974+4822+1084+3847+1268</f>
        <v>19156</v>
      </c>
      <c r="L12" s="15">
        <v>867</v>
      </c>
      <c r="M12" s="15">
        <f t="shared" si="1"/>
        <v>867</v>
      </c>
      <c r="N12" s="15">
        <v>0</v>
      </c>
      <c r="O12" s="58">
        <f t="shared" si="2"/>
        <v>0</v>
      </c>
      <c r="P12" s="39">
        <f t="shared" si="3"/>
        <v>5</v>
      </c>
      <c r="Q12" s="40">
        <f t="shared" si="4"/>
        <v>19</v>
      </c>
      <c r="R12" s="7"/>
      <c r="S12" s="6">
        <v>19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0.20833333333333334</v>
      </c>
      <c r="AD12" s="10">
        <f t="shared" si="7"/>
        <v>0.20833333333333334</v>
      </c>
      <c r="AE12" s="36">
        <f t="shared" si="8"/>
        <v>0.18333333333333332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128</v>
      </c>
      <c r="E13" s="53" t="s">
        <v>335</v>
      </c>
      <c r="F13" s="30" t="s">
        <v>129</v>
      </c>
      <c r="G13" s="33">
        <v>1</v>
      </c>
      <c r="H13" s="35">
        <v>24</v>
      </c>
      <c r="I13" s="7">
        <v>2500</v>
      </c>
      <c r="J13" s="14">
        <v>2663</v>
      </c>
      <c r="K13" s="15">
        <f>L13</f>
        <v>2663</v>
      </c>
      <c r="L13" s="15">
        <v>2663</v>
      </c>
      <c r="M13" s="15">
        <f t="shared" si="1"/>
        <v>2663</v>
      </c>
      <c r="N13" s="15">
        <v>0</v>
      </c>
      <c r="O13" s="58">
        <f t="shared" si="2"/>
        <v>0</v>
      </c>
      <c r="P13" s="39">
        <f t="shared" si="3"/>
        <v>12</v>
      </c>
      <c r="Q13" s="40">
        <f t="shared" si="4"/>
        <v>12</v>
      </c>
      <c r="R13" s="7"/>
      <c r="S13" s="6"/>
      <c r="T13" s="16"/>
      <c r="U13" s="16"/>
      <c r="V13" s="17"/>
      <c r="W13" s="5">
        <v>12</v>
      </c>
      <c r="X13" s="16"/>
      <c r="Y13" s="16"/>
      <c r="Z13" s="16"/>
      <c r="AA13" s="18"/>
      <c r="AB13" s="8">
        <f t="shared" si="5"/>
        <v>1</v>
      </c>
      <c r="AC13" s="9">
        <f t="shared" si="6"/>
        <v>0.5</v>
      </c>
      <c r="AD13" s="10">
        <f t="shared" si="7"/>
        <v>0.5</v>
      </c>
      <c r="AE13" s="36">
        <f t="shared" si="8"/>
        <v>0.18333333333333332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1045</v>
      </c>
      <c r="K14" s="15">
        <f>L14+620+500+1045</f>
        <v>2165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0.18333333333333332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0.18333333333333332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0.18333333333333332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291</v>
      </c>
      <c r="D17" s="52" t="s">
        <v>149</v>
      </c>
      <c r="E17" s="53" t="s">
        <v>298</v>
      </c>
      <c r="F17" s="30" t="s">
        <v>271</v>
      </c>
      <c r="G17" s="33" t="s">
        <v>293</v>
      </c>
      <c r="H17" s="35">
        <v>20</v>
      </c>
      <c r="I17" s="7">
        <v>3000</v>
      </c>
      <c r="J17" s="14">
        <v>3600</v>
      </c>
      <c r="K17" s="15">
        <f>L17+3593</f>
        <v>3593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0.18333333333333332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133</v>
      </c>
      <c r="D18" s="52" t="s">
        <v>117</v>
      </c>
      <c r="E18" s="53" t="s">
        <v>277</v>
      </c>
      <c r="F18" s="30" t="s">
        <v>144</v>
      </c>
      <c r="G18" s="33">
        <v>1</v>
      </c>
      <c r="H18" s="35">
        <v>24</v>
      </c>
      <c r="I18" s="7">
        <v>30000</v>
      </c>
      <c r="J18" s="5">
        <v>2363</v>
      </c>
      <c r="K18" s="15">
        <f>L18+2111+5079+5209+4959</f>
        <v>19721</v>
      </c>
      <c r="L18" s="15">
        <v>2363</v>
      </c>
      <c r="M18" s="15">
        <f t="shared" si="1"/>
        <v>2363</v>
      </c>
      <c r="N18" s="15">
        <v>0</v>
      </c>
      <c r="O18" s="58">
        <f t="shared" si="2"/>
        <v>0</v>
      </c>
      <c r="P18" s="39">
        <f t="shared" si="3"/>
        <v>11</v>
      </c>
      <c r="Q18" s="40">
        <f t="shared" si="4"/>
        <v>13</v>
      </c>
      <c r="R18" s="7"/>
      <c r="S18" s="6"/>
      <c r="T18" s="16"/>
      <c r="U18" s="16"/>
      <c r="V18" s="17">
        <v>13</v>
      </c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0.45833333333333331</v>
      </c>
      <c r="AD18" s="10">
        <f>AC18*AB18*(1-O18)</f>
        <v>0.45833333333333331</v>
      </c>
      <c r="AE18" s="36">
        <f t="shared" si="8"/>
        <v>0.18333333333333332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318</v>
      </c>
      <c r="F19" s="30" t="s">
        <v>212</v>
      </c>
      <c r="G19" s="33">
        <v>1</v>
      </c>
      <c r="H19" s="35">
        <v>24</v>
      </c>
      <c r="I19" s="7">
        <v>25000</v>
      </c>
      <c r="J19" s="14">
        <v>1351</v>
      </c>
      <c r="K19" s="15">
        <f>L19+3185</f>
        <v>4536</v>
      </c>
      <c r="L19" s="15">
        <v>1351</v>
      </c>
      <c r="M19" s="15">
        <f t="shared" si="1"/>
        <v>1351</v>
      </c>
      <c r="N19" s="15">
        <v>0</v>
      </c>
      <c r="O19" s="58">
        <f t="shared" si="2"/>
        <v>0</v>
      </c>
      <c r="P19" s="39">
        <f t="shared" si="3"/>
        <v>10</v>
      </c>
      <c r="Q19" s="40">
        <f t="shared" si="4"/>
        <v>14</v>
      </c>
      <c r="R19" s="7"/>
      <c r="S19" s="6"/>
      <c r="T19" s="16"/>
      <c r="U19" s="16"/>
      <c r="V19" s="17">
        <v>14</v>
      </c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0.41666666666666669</v>
      </c>
      <c r="AD19" s="10">
        <f t="shared" ref="AD19:AD20" si="11">AC19*AB19*(1-O19)</f>
        <v>0.41666666666666669</v>
      </c>
      <c r="AE19" s="36">
        <f t="shared" si="8"/>
        <v>0.18333333333333332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25017</v>
      </c>
      <c r="K20" s="15">
        <f>L20+54642+62589+25017</f>
        <v>142248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11"/>
        <v>0</v>
      </c>
      <c r="AE20" s="36">
        <f t="shared" si="8"/>
        <v>0.18333333333333332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735000</v>
      </c>
      <c r="J21" s="19">
        <f t="shared" si="12"/>
        <v>87267</v>
      </c>
      <c r="K21" s="20">
        <f t="shared" si="12"/>
        <v>582932</v>
      </c>
      <c r="L21" s="21">
        <f t="shared" si="12"/>
        <v>43608</v>
      </c>
      <c r="M21" s="20">
        <f t="shared" si="12"/>
        <v>43608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66</v>
      </c>
      <c r="Q21" s="43">
        <f t="shared" si="13"/>
        <v>294</v>
      </c>
      <c r="R21" s="23">
        <f t="shared" si="13"/>
        <v>48</v>
      </c>
      <c r="S21" s="24">
        <f t="shared" si="13"/>
        <v>83</v>
      </c>
      <c r="T21" s="24">
        <f t="shared" si="13"/>
        <v>1</v>
      </c>
      <c r="U21" s="24">
        <f t="shared" si="13"/>
        <v>0</v>
      </c>
      <c r="V21" s="25">
        <f t="shared" si="13"/>
        <v>78</v>
      </c>
      <c r="W21" s="26">
        <f t="shared" si="13"/>
        <v>84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0.53333333333333333</v>
      </c>
      <c r="AC21" s="4">
        <f>SUM(AC6:AC20)/15</f>
        <v>0.18333333333333332</v>
      </c>
      <c r="AD21" s="4">
        <f>SUM(AD6:AD20)/15</f>
        <v>0.18333333333333332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336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337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234" t="s">
        <v>46</v>
      </c>
      <c r="D50" s="234" t="s">
        <v>47</v>
      </c>
      <c r="E50" s="234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234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124</v>
      </c>
      <c r="B51" s="420"/>
      <c r="C51" s="232" t="s">
        <v>184</v>
      </c>
      <c r="D51" s="232" t="s">
        <v>148</v>
      </c>
      <c r="E51" s="232" t="s">
        <v>191</v>
      </c>
      <c r="F51" s="421" t="s">
        <v>230</v>
      </c>
      <c r="G51" s="422"/>
      <c r="H51" s="422"/>
      <c r="I51" s="422"/>
      <c r="J51" s="422"/>
      <c r="K51" s="422"/>
      <c r="L51" s="422"/>
      <c r="M51" s="423"/>
      <c r="N51" s="231" t="s">
        <v>114</v>
      </c>
      <c r="O51" s="229" t="s">
        <v>200</v>
      </c>
      <c r="P51" s="433" t="s">
        <v>125</v>
      </c>
      <c r="Q51" s="434"/>
      <c r="R51" s="420" t="s">
        <v>317</v>
      </c>
      <c r="S51" s="420"/>
      <c r="T51" s="420"/>
      <c r="U51" s="420"/>
      <c r="V51" s="410" t="s">
        <v>126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114</v>
      </c>
      <c r="B52" s="420"/>
      <c r="C52" s="232" t="s">
        <v>143</v>
      </c>
      <c r="D52" s="232" t="s">
        <v>128</v>
      </c>
      <c r="E52" s="232" t="s">
        <v>335</v>
      </c>
      <c r="F52" s="421" t="s">
        <v>120</v>
      </c>
      <c r="G52" s="422"/>
      <c r="H52" s="422"/>
      <c r="I52" s="422"/>
      <c r="J52" s="422"/>
      <c r="K52" s="422"/>
      <c r="L52" s="422"/>
      <c r="M52" s="423"/>
      <c r="N52" s="231" t="s">
        <v>124</v>
      </c>
      <c r="O52" s="229" t="s">
        <v>139</v>
      </c>
      <c r="P52" s="433" t="s">
        <v>117</v>
      </c>
      <c r="Q52" s="434"/>
      <c r="R52" s="420" t="s">
        <v>168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124</v>
      </c>
      <c r="B53" s="420"/>
      <c r="C53" s="232" t="s">
        <v>139</v>
      </c>
      <c r="D53" s="232" t="s">
        <v>117</v>
      </c>
      <c r="E53" s="232" t="s">
        <v>168</v>
      </c>
      <c r="F53" s="421" t="s">
        <v>230</v>
      </c>
      <c r="G53" s="422"/>
      <c r="H53" s="422"/>
      <c r="I53" s="422"/>
      <c r="J53" s="422"/>
      <c r="K53" s="422"/>
      <c r="L53" s="422"/>
      <c r="M53" s="423"/>
      <c r="N53" s="231" t="s">
        <v>124</v>
      </c>
      <c r="O53" s="229" t="s">
        <v>184</v>
      </c>
      <c r="P53" s="433" t="s">
        <v>148</v>
      </c>
      <c r="Q53" s="434"/>
      <c r="R53" s="420" t="s">
        <v>191</v>
      </c>
      <c r="S53" s="420"/>
      <c r="T53" s="420"/>
      <c r="U53" s="420"/>
      <c r="V53" s="410" t="s">
        <v>126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114</v>
      </c>
      <c r="B54" s="420"/>
      <c r="C54" s="232" t="s">
        <v>200</v>
      </c>
      <c r="D54" s="232" t="s">
        <v>125</v>
      </c>
      <c r="E54" s="232" t="s">
        <v>317</v>
      </c>
      <c r="F54" s="421" t="s">
        <v>338</v>
      </c>
      <c r="G54" s="422"/>
      <c r="H54" s="422"/>
      <c r="I54" s="422"/>
      <c r="J54" s="422"/>
      <c r="K54" s="422"/>
      <c r="L54" s="422"/>
      <c r="M54" s="423"/>
      <c r="N54" s="231"/>
      <c r="O54" s="229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124</v>
      </c>
      <c r="B55" s="420"/>
      <c r="C55" s="232" t="s">
        <v>136</v>
      </c>
      <c r="D55" s="232" t="s">
        <v>128</v>
      </c>
      <c r="E55" s="232" t="s">
        <v>322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231"/>
      <c r="O55" s="229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232"/>
      <c r="D56" s="232"/>
      <c r="E56" s="232"/>
      <c r="F56" s="421"/>
      <c r="G56" s="422"/>
      <c r="H56" s="422"/>
      <c r="I56" s="422"/>
      <c r="J56" s="422"/>
      <c r="K56" s="422"/>
      <c r="L56" s="422"/>
      <c r="M56" s="423"/>
      <c r="N56" s="231"/>
      <c r="O56" s="229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32"/>
      <c r="D57" s="232"/>
      <c r="E57" s="232"/>
      <c r="F57" s="421"/>
      <c r="G57" s="422"/>
      <c r="H57" s="422"/>
      <c r="I57" s="422"/>
      <c r="J57" s="422"/>
      <c r="K57" s="422"/>
      <c r="L57" s="422"/>
      <c r="M57" s="423"/>
      <c r="N57" s="231"/>
      <c r="O57" s="229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32"/>
      <c r="D58" s="232"/>
      <c r="E58" s="232"/>
      <c r="F58" s="421"/>
      <c r="G58" s="422"/>
      <c r="H58" s="422"/>
      <c r="I58" s="422"/>
      <c r="J58" s="422"/>
      <c r="K58" s="422"/>
      <c r="L58" s="422"/>
      <c r="M58" s="423"/>
      <c r="N58" s="231"/>
      <c r="O58" s="229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32"/>
      <c r="D59" s="232"/>
      <c r="E59" s="232"/>
      <c r="F59" s="421"/>
      <c r="G59" s="422"/>
      <c r="H59" s="422"/>
      <c r="I59" s="422"/>
      <c r="J59" s="422"/>
      <c r="K59" s="422"/>
      <c r="L59" s="422"/>
      <c r="M59" s="423"/>
      <c r="N59" s="231"/>
      <c r="O59" s="229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33"/>
      <c r="D60" s="233"/>
      <c r="E60" s="233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339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30" t="s">
        <v>2</v>
      </c>
      <c r="D62" s="230" t="s">
        <v>37</v>
      </c>
      <c r="E62" s="230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30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/>
      <c r="D63" s="225"/>
      <c r="E63" s="228"/>
      <c r="F63" s="408"/>
      <c r="G63" s="400"/>
      <c r="H63" s="400"/>
      <c r="I63" s="400"/>
      <c r="J63" s="400"/>
      <c r="K63" s="400"/>
      <c r="L63" s="400"/>
      <c r="M63" s="51"/>
      <c r="N63" s="411"/>
      <c r="O63" s="411"/>
      <c r="P63" s="409"/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225"/>
      <c r="E64" s="228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225"/>
      <c r="E65" s="228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225"/>
      <c r="E66" s="228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25"/>
      <c r="E67" s="228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25"/>
      <c r="E68" s="228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25"/>
      <c r="E69" s="228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25"/>
      <c r="E70" s="228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340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27" t="s">
        <v>2</v>
      </c>
      <c r="D72" s="227" t="s">
        <v>37</v>
      </c>
      <c r="E72" s="227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26" t="s">
        <v>114</v>
      </c>
      <c r="D73" s="226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25"/>
      <c r="D74" s="225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25"/>
      <c r="D75" s="225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25"/>
      <c r="D76" s="225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25"/>
      <c r="D77" s="225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25"/>
      <c r="D78" s="225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25"/>
      <c r="D79" s="225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25"/>
      <c r="D80" s="225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25"/>
      <c r="D81" s="225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341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1992-F796-4C13-AE7E-100C3A4065D2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342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35" t="s">
        <v>17</v>
      </c>
      <c r="L5" s="235" t="s">
        <v>18</v>
      </c>
      <c r="M5" s="235" t="s">
        <v>19</v>
      </c>
      <c r="N5" s="23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0.16944444444444445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0.16944444444444445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30000</v>
      </c>
      <c r="J8" s="14">
        <v>1917</v>
      </c>
      <c r="K8" s="15">
        <f>L8+1722</f>
        <v>3639</v>
      </c>
      <c r="L8" s="15">
        <v>1917</v>
      </c>
      <c r="M8" s="15">
        <f t="shared" si="1"/>
        <v>1917</v>
      </c>
      <c r="N8" s="15">
        <v>0</v>
      </c>
      <c r="O8" s="58">
        <f t="shared" si="2"/>
        <v>0</v>
      </c>
      <c r="P8" s="39">
        <f t="shared" si="3"/>
        <v>12</v>
      </c>
      <c r="Q8" s="40">
        <f t="shared" si="4"/>
        <v>12</v>
      </c>
      <c r="R8" s="7"/>
      <c r="S8" s="6"/>
      <c r="T8" s="16"/>
      <c r="U8" s="16"/>
      <c r="V8" s="17">
        <v>12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0.5</v>
      </c>
      <c r="AD8" s="10">
        <f t="shared" si="7"/>
        <v>0.5</v>
      </c>
      <c r="AE8" s="36">
        <f t="shared" si="8"/>
        <v>0.16944444444444445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1584</v>
      </c>
      <c r="K9" s="15">
        <f>L9+1593+1896+2807+1401+3459+1160+3830+650</f>
        <v>18380</v>
      </c>
      <c r="L9" s="15">
        <v>1584</v>
      </c>
      <c r="M9" s="15">
        <f t="shared" si="1"/>
        <v>1584</v>
      </c>
      <c r="N9" s="15">
        <v>0</v>
      </c>
      <c r="O9" s="58">
        <f t="shared" si="2"/>
        <v>0</v>
      </c>
      <c r="P9" s="39">
        <f t="shared" si="3"/>
        <v>9</v>
      </c>
      <c r="Q9" s="40">
        <f t="shared" si="4"/>
        <v>15</v>
      </c>
      <c r="R9" s="7"/>
      <c r="S9" s="6">
        <v>3</v>
      </c>
      <c r="T9" s="16"/>
      <c r="U9" s="16"/>
      <c r="V9" s="17">
        <v>12</v>
      </c>
      <c r="W9" s="5"/>
      <c r="X9" s="16"/>
      <c r="Y9" s="16"/>
      <c r="Z9" s="16"/>
      <c r="AA9" s="18"/>
      <c r="AB9" s="8">
        <f t="shared" si="5"/>
        <v>1</v>
      </c>
      <c r="AC9" s="9">
        <f t="shared" si="6"/>
        <v>0.375</v>
      </c>
      <c r="AD9" s="10">
        <f t="shared" si="7"/>
        <v>0.375</v>
      </c>
      <c r="AE9" s="36">
        <f t="shared" si="8"/>
        <v>0.16944444444444445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234</v>
      </c>
      <c r="E10" s="53" t="s">
        <v>235</v>
      </c>
      <c r="F10" s="30" t="s">
        <v>249</v>
      </c>
      <c r="G10" s="33">
        <v>32</v>
      </c>
      <c r="H10" s="35">
        <v>24</v>
      </c>
      <c r="I10" s="7">
        <v>200000</v>
      </c>
      <c r="J10" s="5">
        <v>33810</v>
      </c>
      <c r="K10" s="15">
        <f>L10+7584+107552+162750+33810</f>
        <v>311696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/>
      <c r="T10" s="16"/>
      <c r="U10" s="16"/>
      <c r="V10" s="17">
        <v>24</v>
      </c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0.16944444444444445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125</v>
      </c>
      <c r="E11" s="53" t="s">
        <v>317</v>
      </c>
      <c r="F11" s="30" t="s">
        <v>130</v>
      </c>
      <c r="G11" s="33">
        <v>1</v>
      </c>
      <c r="H11" s="35">
        <v>24</v>
      </c>
      <c r="I11" s="7">
        <v>2500</v>
      </c>
      <c r="J11" s="14">
        <v>637</v>
      </c>
      <c r="K11" s="15">
        <f>L11+1682+182</f>
        <v>2501</v>
      </c>
      <c r="L11" s="15">
        <v>637</v>
      </c>
      <c r="M11" s="15">
        <f t="shared" si="1"/>
        <v>637</v>
      </c>
      <c r="N11" s="15">
        <v>0</v>
      </c>
      <c r="O11" s="58">
        <f t="shared" si="2"/>
        <v>0</v>
      </c>
      <c r="P11" s="39">
        <f t="shared" si="3"/>
        <v>4</v>
      </c>
      <c r="Q11" s="40">
        <f t="shared" si="4"/>
        <v>20</v>
      </c>
      <c r="R11" s="7"/>
      <c r="S11" s="6">
        <v>20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0.16666666666666666</v>
      </c>
      <c r="AD11" s="10">
        <f t="shared" ref="AD11" si="10">AC11*AB11*(1-O11)</f>
        <v>0.16666666666666666</v>
      </c>
      <c r="AE11" s="36">
        <f t="shared" si="8"/>
        <v>0.16944444444444445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2160</v>
      </c>
      <c r="K12" s="15">
        <f>L12+3015+1279+2974+4822+1084+3847+1268+867</f>
        <v>21316</v>
      </c>
      <c r="L12" s="15">
        <v>2160</v>
      </c>
      <c r="M12" s="15">
        <f t="shared" si="1"/>
        <v>2160</v>
      </c>
      <c r="N12" s="15">
        <v>0</v>
      </c>
      <c r="O12" s="58">
        <f t="shared" si="2"/>
        <v>0</v>
      </c>
      <c r="P12" s="39">
        <f t="shared" si="3"/>
        <v>12</v>
      </c>
      <c r="Q12" s="40">
        <f t="shared" si="4"/>
        <v>12</v>
      </c>
      <c r="R12" s="7"/>
      <c r="S12" s="6"/>
      <c r="T12" s="16"/>
      <c r="U12" s="16"/>
      <c r="V12" s="17">
        <v>12</v>
      </c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</v>
      </c>
      <c r="AD12" s="10">
        <f t="shared" si="7"/>
        <v>0.5</v>
      </c>
      <c r="AE12" s="36">
        <f t="shared" si="8"/>
        <v>0.16944444444444445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128</v>
      </c>
      <c r="E13" s="53" t="s">
        <v>335</v>
      </c>
      <c r="F13" s="30" t="s">
        <v>129</v>
      </c>
      <c r="G13" s="33">
        <v>1</v>
      </c>
      <c r="H13" s="35">
        <v>24</v>
      </c>
      <c r="I13" s="7">
        <v>2500</v>
      </c>
      <c r="J13" s="14">
        <v>2663</v>
      </c>
      <c r="K13" s="15">
        <f>L13+2663</f>
        <v>2663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0.16944444444444445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1045</v>
      </c>
      <c r="K14" s="15">
        <f>L14+620+500+1045</f>
        <v>2165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0.16944444444444445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0.16944444444444445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0.16944444444444445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291</v>
      </c>
      <c r="D17" s="52" t="s">
        <v>149</v>
      </c>
      <c r="E17" s="53" t="s">
        <v>298</v>
      </c>
      <c r="F17" s="30" t="s">
        <v>271</v>
      </c>
      <c r="G17" s="33" t="s">
        <v>293</v>
      </c>
      <c r="H17" s="35">
        <v>20</v>
      </c>
      <c r="I17" s="7">
        <v>3000</v>
      </c>
      <c r="J17" s="14">
        <v>3600</v>
      </c>
      <c r="K17" s="15">
        <f>L17+3593</f>
        <v>3593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0.16944444444444445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133</v>
      </c>
      <c r="D18" s="52" t="s">
        <v>117</v>
      </c>
      <c r="E18" s="53" t="s">
        <v>277</v>
      </c>
      <c r="F18" s="30" t="s">
        <v>144</v>
      </c>
      <c r="G18" s="33">
        <v>1</v>
      </c>
      <c r="H18" s="35">
        <v>24</v>
      </c>
      <c r="I18" s="7">
        <v>30000</v>
      </c>
      <c r="J18" s="5">
        <v>2106</v>
      </c>
      <c r="K18" s="15">
        <f>L18+2111+5079+5209+4959+2363</f>
        <v>21827</v>
      </c>
      <c r="L18" s="15">
        <v>2106</v>
      </c>
      <c r="M18" s="15">
        <f t="shared" si="1"/>
        <v>2106</v>
      </c>
      <c r="N18" s="15">
        <v>0</v>
      </c>
      <c r="O18" s="58">
        <f t="shared" si="2"/>
        <v>0</v>
      </c>
      <c r="P18" s="39">
        <f t="shared" si="3"/>
        <v>12</v>
      </c>
      <c r="Q18" s="40">
        <f t="shared" si="4"/>
        <v>12</v>
      </c>
      <c r="R18" s="7"/>
      <c r="S18" s="6"/>
      <c r="T18" s="16"/>
      <c r="U18" s="16"/>
      <c r="V18" s="17">
        <v>12</v>
      </c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0.5</v>
      </c>
      <c r="AD18" s="10">
        <f>AC18*AB18*(1-O18)</f>
        <v>0.5</v>
      </c>
      <c r="AE18" s="36">
        <f t="shared" si="8"/>
        <v>0.16944444444444445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318</v>
      </c>
      <c r="F19" s="30" t="s">
        <v>212</v>
      </c>
      <c r="G19" s="33">
        <v>1</v>
      </c>
      <c r="H19" s="35">
        <v>24</v>
      </c>
      <c r="I19" s="7">
        <v>25000</v>
      </c>
      <c r="J19" s="14">
        <v>2264</v>
      </c>
      <c r="K19" s="15">
        <f>L19+3185+1351</f>
        <v>6800</v>
      </c>
      <c r="L19" s="15">
        <v>2264</v>
      </c>
      <c r="M19" s="15">
        <f t="shared" si="1"/>
        <v>2264</v>
      </c>
      <c r="N19" s="15">
        <v>0</v>
      </c>
      <c r="O19" s="58">
        <f t="shared" si="2"/>
        <v>0</v>
      </c>
      <c r="P19" s="39">
        <f t="shared" si="3"/>
        <v>12</v>
      </c>
      <c r="Q19" s="40">
        <f t="shared" si="4"/>
        <v>12</v>
      </c>
      <c r="R19" s="7"/>
      <c r="S19" s="6"/>
      <c r="T19" s="16"/>
      <c r="U19" s="16"/>
      <c r="V19" s="17">
        <v>12</v>
      </c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0.5</v>
      </c>
      <c r="AD19" s="10">
        <f t="shared" ref="AD19:AD20" si="11">AC19*AB19*(1-O19)</f>
        <v>0.5</v>
      </c>
      <c r="AE19" s="36">
        <f t="shared" si="8"/>
        <v>0.16944444444444445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25017</v>
      </c>
      <c r="K20" s="15">
        <f>L20+54642+62589+25017</f>
        <v>142248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11"/>
        <v>0</v>
      </c>
      <c r="AE20" s="36">
        <f t="shared" si="8"/>
        <v>0.16944444444444445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735000</v>
      </c>
      <c r="J21" s="19">
        <f t="shared" si="12"/>
        <v>90800</v>
      </c>
      <c r="K21" s="20">
        <f t="shared" si="12"/>
        <v>593600</v>
      </c>
      <c r="L21" s="21">
        <f t="shared" si="12"/>
        <v>10668</v>
      </c>
      <c r="M21" s="20">
        <f t="shared" si="12"/>
        <v>10668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61</v>
      </c>
      <c r="Q21" s="43">
        <f t="shared" si="13"/>
        <v>299</v>
      </c>
      <c r="R21" s="23">
        <f t="shared" si="13"/>
        <v>48</v>
      </c>
      <c r="S21" s="24">
        <f t="shared" si="13"/>
        <v>47</v>
      </c>
      <c r="T21" s="24">
        <f t="shared" si="13"/>
        <v>0</v>
      </c>
      <c r="U21" s="24">
        <f t="shared" si="13"/>
        <v>0</v>
      </c>
      <c r="V21" s="25">
        <f t="shared" si="13"/>
        <v>108</v>
      </c>
      <c r="W21" s="26">
        <f t="shared" si="13"/>
        <v>96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0.4</v>
      </c>
      <c r="AC21" s="4">
        <f>SUM(AC6:AC20)/15</f>
        <v>0.16944444444444445</v>
      </c>
      <c r="AD21" s="4">
        <f>SUM(AD6:AD20)/15</f>
        <v>0.16944444444444445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343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344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234" t="s">
        <v>46</v>
      </c>
      <c r="D50" s="234" t="s">
        <v>47</v>
      </c>
      <c r="E50" s="234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234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124</v>
      </c>
      <c r="B51" s="420"/>
      <c r="C51" s="232" t="s">
        <v>184</v>
      </c>
      <c r="D51" s="232" t="s">
        <v>148</v>
      </c>
      <c r="E51" s="232" t="s">
        <v>191</v>
      </c>
      <c r="F51" s="421" t="s">
        <v>126</v>
      </c>
      <c r="G51" s="422"/>
      <c r="H51" s="422"/>
      <c r="I51" s="422"/>
      <c r="J51" s="422"/>
      <c r="K51" s="422"/>
      <c r="L51" s="422"/>
      <c r="M51" s="423"/>
      <c r="N51" s="231" t="s">
        <v>114</v>
      </c>
      <c r="O51" s="229" t="s">
        <v>200</v>
      </c>
      <c r="P51" s="433" t="s">
        <v>125</v>
      </c>
      <c r="Q51" s="434"/>
      <c r="R51" s="420" t="s">
        <v>317</v>
      </c>
      <c r="S51" s="420"/>
      <c r="T51" s="420"/>
      <c r="U51" s="420"/>
      <c r="V51" s="410" t="s">
        <v>126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124</v>
      </c>
      <c r="B52" s="420"/>
      <c r="C52" s="232" t="s">
        <v>139</v>
      </c>
      <c r="D52" s="232" t="s">
        <v>117</v>
      </c>
      <c r="E52" s="232" t="s">
        <v>168</v>
      </c>
      <c r="F52" s="421" t="s">
        <v>126</v>
      </c>
      <c r="G52" s="422"/>
      <c r="H52" s="422"/>
      <c r="I52" s="422"/>
      <c r="J52" s="422"/>
      <c r="K52" s="422"/>
      <c r="L52" s="422"/>
      <c r="M52" s="423"/>
      <c r="N52" s="231"/>
      <c r="O52" s="229"/>
      <c r="P52" s="433"/>
      <c r="Q52" s="434"/>
      <c r="R52" s="420"/>
      <c r="S52" s="420"/>
      <c r="T52" s="420"/>
      <c r="U52" s="420"/>
      <c r="V52" s="410"/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114</v>
      </c>
      <c r="B53" s="420"/>
      <c r="C53" s="232" t="s">
        <v>200</v>
      </c>
      <c r="D53" s="232" t="s">
        <v>125</v>
      </c>
      <c r="E53" s="232" t="s">
        <v>317</v>
      </c>
      <c r="F53" s="421" t="s">
        <v>345</v>
      </c>
      <c r="G53" s="422"/>
      <c r="H53" s="422"/>
      <c r="I53" s="422"/>
      <c r="J53" s="422"/>
      <c r="K53" s="422"/>
      <c r="L53" s="422"/>
      <c r="M53" s="423"/>
      <c r="N53" s="231"/>
      <c r="O53" s="229"/>
      <c r="P53" s="433"/>
      <c r="Q53" s="434"/>
      <c r="R53" s="420"/>
      <c r="S53" s="420"/>
      <c r="T53" s="420"/>
      <c r="U53" s="420"/>
      <c r="V53" s="410"/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/>
      <c r="B54" s="420"/>
      <c r="C54" s="232"/>
      <c r="D54" s="232"/>
      <c r="E54" s="232"/>
      <c r="F54" s="421"/>
      <c r="G54" s="422"/>
      <c r="H54" s="422"/>
      <c r="I54" s="422"/>
      <c r="J54" s="422"/>
      <c r="K54" s="422"/>
      <c r="L54" s="422"/>
      <c r="M54" s="423"/>
      <c r="N54" s="231"/>
      <c r="O54" s="229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/>
      <c r="B55" s="420"/>
      <c r="C55" s="232"/>
      <c r="D55" s="232"/>
      <c r="E55" s="232"/>
      <c r="F55" s="421"/>
      <c r="G55" s="422"/>
      <c r="H55" s="422"/>
      <c r="I55" s="422"/>
      <c r="J55" s="422"/>
      <c r="K55" s="422"/>
      <c r="L55" s="422"/>
      <c r="M55" s="423"/>
      <c r="N55" s="231"/>
      <c r="O55" s="229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232"/>
      <c r="D56" s="232"/>
      <c r="E56" s="232"/>
      <c r="F56" s="421"/>
      <c r="G56" s="422"/>
      <c r="H56" s="422"/>
      <c r="I56" s="422"/>
      <c r="J56" s="422"/>
      <c r="K56" s="422"/>
      <c r="L56" s="422"/>
      <c r="M56" s="423"/>
      <c r="N56" s="231"/>
      <c r="O56" s="229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32"/>
      <c r="D57" s="232"/>
      <c r="E57" s="232"/>
      <c r="F57" s="421"/>
      <c r="G57" s="422"/>
      <c r="H57" s="422"/>
      <c r="I57" s="422"/>
      <c r="J57" s="422"/>
      <c r="K57" s="422"/>
      <c r="L57" s="422"/>
      <c r="M57" s="423"/>
      <c r="N57" s="231"/>
      <c r="O57" s="229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32"/>
      <c r="D58" s="232"/>
      <c r="E58" s="232"/>
      <c r="F58" s="421"/>
      <c r="G58" s="422"/>
      <c r="H58" s="422"/>
      <c r="I58" s="422"/>
      <c r="J58" s="422"/>
      <c r="K58" s="422"/>
      <c r="L58" s="422"/>
      <c r="M58" s="423"/>
      <c r="N58" s="231"/>
      <c r="O58" s="229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32"/>
      <c r="D59" s="232"/>
      <c r="E59" s="232"/>
      <c r="F59" s="421"/>
      <c r="G59" s="422"/>
      <c r="H59" s="422"/>
      <c r="I59" s="422"/>
      <c r="J59" s="422"/>
      <c r="K59" s="422"/>
      <c r="L59" s="422"/>
      <c r="M59" s="423"/>
      <c r="N59" s="231"/>
      <c r="O59" s="229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33"/>
      <c r="D60" s="233"/>
      <c r="E60" s="233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346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30" t="s">
        <v>2</v>
      </c>
      <c r="D62" s="230" t="s">
        <v>37</v>
      </c>
      <c r="E62" s="230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30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/>
      <c r="D63" s="225"/>
      <c r="E63" s="228"/>
      <c r="F63" s="408"/>
      <c r="G63" s="400"/>
      <c r="H63" s="400"/>
      <c r="I63" s="400"/>
      <c r="J63" s="400"/>
      <c r="K63" s="400"/>
      <c r="L63" s="400"/>
      <c r="M63" s="51"/>
      <c r="N63" s="411"/>
      <c r="O63" s="411"/>
      <c r="P63" s="409"/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/>
      <c r="D64" s="225"/>
      <c r="E64" s="228"/>
      <c r="F64" s="408"/>
      <c r="G64" s="400"/>
      <c r="H64" s="400"/>
      <c r="I64" s="400"/>
      <c r="J64" s="400"/>
      <c r="K64" s="400"/>
      <c r="L64" s="400"/>
      <c r="M64" s="51"/>
      <c r="N64" s="411"/>
      <c r="O64" s="411"/>
      <c r="P64" s="409"/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225"/>
      <c r="E65" s="228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225"/>
      <c r="E66" s="228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25"/>
      <c r="E67" s="228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25"/>
      <c r="E68" s="228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25"/>
      <c r="E69" s="228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25"/>
      <c r="E70" s="228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347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27" t="s">
        <v>2</v>
      </c>
      <c r="D72" s="227" t="s">
        <v>37</v>
      </c>
      <c r="E72" s="227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26" t="s">
        <v>114</v>
      </c>
      <c r="D73" s="226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25"/>
      <c r="D74" s="225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25"/>
      <c r="D75" s="225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25"/>
      <c r="D76" s="225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25"/>
      <c r="D77" s="225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25"/>
      <c r="D78" s="225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25"/>
      <c r="D79" s="225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25"/>
      <c r="D80" s="225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25"/>
      <c r="D81" s="225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348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015F-5289-420A-83A6-FA399BC0CBEC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349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36" t="s">
        <v>17</v>
      </c>
      <c r="L5" s="236" t="s">
        <v>18</v>
      </c>
      <c r="M5" s="236" t="s">
        <v>19</v>
      </c>
      <c r="N5" s="23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0.18333333333333332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0.18333333333333332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30000</v>
      </c>
      <c r="J8" s="14">
        <v>1867</v>
      </c>
      <c r="K8" s="15">
        <f>L8+1722+1917</f>
        <v>5506</v>
      </c>
      <c r="L8" s="15">
        <v>1867</v>
      </c>
      <c r="M8" s="15">
        <f t="shared" si="1"/>
        <v>1867</v>
      </c>
      <c r="N8" s="15">
        <v>0</v>
      </c>
      <c r="O8" s="58">
        <f t="shared" si="2"/>
        <v>0</v>
      </c>
      <c r="P8" s="39">
        <f t="shared" si="3"/>
        <v>11</v>
      </c>
      <c r="Q8" s="40">
        <f t="shared" si="4"/>
        <v>13</v>
      </c>
      <c r="R8" s="7"/>
      <c r="S8" s="6"/>
      <c r="T8" s="16"/>
      <c r="U8" s="16"/>
      <c r="V8" s="17">
        <v>13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0.45833333333333331</v>
      </c>
      <c r="AD8" s="10">
        <f t="shared" si="7"/>
        <v>0.45833333333333331</v>
      </c>
      <c r="AE8" s="36">
        <f t="shared" si="8"/>
        <v>0.18333333333333332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2358</v>
      </c>
      <c r="K9" s="15">
        <f>L9+1593+1896+2807+1401+3459+1160+3830+650+1584</f>
        <v>20738</v>
      </c>
      <c r="L9" s="15">
        <v>2358</v>
      </c>
      <c r="M9" s="15">
        <f t="shared" si="1"/>
        <v>2358</v>
      </c>
      <c r="N9" s="15">
        <v>0</v>
      </c>
      <c r="O9" s="58">
        <f t="shared" si="2"/>
        <v>0</v>
      </c>
      <c r="P9" s="39">
        <f t="shared" si="3"/>
        <v>11</v>
      </c>
      <c r="Q9" s="40">
        <f t="shared" si="4"/>
        <v>13</v>
      </c>
      <c r="R9" s="7"/>
      <c r="S9" s="6"/>
      <c r="T9" s="16"/>
      <c r="U9" s="16"/>
      <c r="V9" s="17">
        <v>13</v>
      </c>
      <c r="W9" s="5"/>
      <c r="X9" s="16"/>
      <c r="Y9" s="16"/>
      <c r="Z9" s="16"/>
      <c r="AA9" s="18"/>
      <c r="AB9" s="8">
        <f t="shared" si="5"/>
        <v>1</v>
      </c>
      <c r="AC9" s="9">
        <f t="shared" si="6"/>
        <v>0.45833333333333331</v>
      </c>
      <c r="AD9" s="10">
        <f t="shared" si="7"/>
        <v>0.45833333333333331</v>
      </c>
      <c r="AE9" s="36">
        <f t="shared" si="8"/>
        <v>0.18333333333333332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234</v>
      </c>
      <c r="E10" s="53" t="s">
        <v>235</v>
      </c>
      <c r="F10" s="30" t="s">
        <v>249</v>
      </c>
      <c r="G10" s="33">
        <v>32</v>
      </c>
      <c r="H10" s="35">
        <v>24</v>
      </c>
      <c r="I10" s="7">
        <v>200000</v>
      </c>
      <c r="J10" s="5">
        <v>33810</v>
      </c>
      <c r="K10" s="15">
        <f>L10+7584+107552+162750+33810</f>
        <v>311696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/>
      <c r="T10" s="16"/>
      <c r="U10" s="16"/>
      <c r="V10" s="17">
        <v>24</v>
      </c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0.18333333333333332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125</v>
      </c>
      <c r="E11" s="53" t="s">
        <v>317</v>
      </c>
      <c r="F11" s="30" t="s">
        <v>130</v>
      </c>
      <c r="G11" s="33">
        <v>1</v>
      </c>
      <c r="H11" s="35">
        <v>24</v>
      </c>
      <c r="I11" s="7">
        <v>2500</v>
      </c>
      <c r="J11" s="14">
        <v>1839</v>
      </c>
      <c r="K11" s="15">
        <f>L11+1682+182+637</f>
        <v>4340</v>
      </c>
      <c r="L11" s="15">
        <v>1839</v>
      </c>
      <c r="M11" s="15">
        <f t="shared" si="1"/>
        <v>1839</v>
      </c>
      <c r="N11" s="15">
        <v>0</v>
      </c>
      <c r="O11" s="58">
        <f t="shared" si="2"/>
        <v>0</v>
      </c>
      <c r="P11" s="39">
        <f t="shared" si="3"/>
        <v>10</v>
      </c>
      <c r="Q11" s="40">
        <f t="shared" si="4"/>
        <v>14</v>
      </c>
      <c r="R11" s="7"/>
      <c r="S11" s="6">
        <v>14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0.41666666666666669</v>
      </c>
      <c r="AD11" s="10">
        <f t="shared" ref="AD11" si="10">AC11*AB11*(1-O11)</f>
        <v>0.41666666666666669</v>
      </c>
      <c r="AE11" s="36">
        <f t="shared" si="8"/>
        <v>0.18333333333333332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1718</v>
      </c>
      <c r="K12" s="15">
        <f>L12+3015+1279+2974+4822+1084+3847+1268+867+2160</f>
        <v>23034</v>
      </c>
      <c r="L12" s="15">
        <v>1718</v>
      </c>
      <c r="M12" s="15">
        <f t="shared" si="1"/>
        <v>1718</v>
      </c>
      <c r="N12" s="15">
        <v>0</v>
      </c>
      <c r="O12" s="58">
        <f t="shared" si="2"/>
        <v>0</v>
      </c>
      <c r="P12" s="39">
        <f t="shared" si="3"/>
        <v>10</v>
      </c>
      <c r="Q12" s="40">
        <f t="shared" si="4"/>
        <v>14</v>
      </c>
      <c r="R12" s="7"/>
      <c r="S12" s="6">
        <v>14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0.41666666666666669</v>
      </c>
      <c r="AD12" s="10">
        <f t="shared" si="7"/>
        <v>0.41666666666666669</v>
      </c>
      <c r="AE12" s="36">
        <f t="shared" si="8"/>
        <v>0.18333333333333332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128</v>
      </c>
      <c r="E13" s="53" t="s">
        <v>335</v>
      </c>
      <c r="F13" s="30" t="s">
        <v>129</v>
      </c>
      <c r="G13" s="33">
        <v>1</v>
      </c>
      <c r="H13" s="35">
        <v>24</v>
      </c>
      <c r="I13" s="7">
        <v>2500</v>
      </c>
      <c r="J13" s="14">
        <v>2663</v>
      </c>
      <c r="K13" s="15">
        <f>L13+2663</f>
        <v>2663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0.18333333333333332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1045</v>
      </c>
      <c r="K14" s="15">
        <f>L14+620+500+1045</f>
        <v>2165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0.18333333333333332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0.18333333333333332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0.18333333333333332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291</v>
      </c>
      <c r="D17" s="52" t="s">
        <v>149</v>
      </c>
      <c r="E17" s="53" t="s">
        <v>298</v>
      </c>
      <c r="F17" s="30" t="s">
        <v>271</v>
      </c>
      <c r="G17" s="33" t="s">
        <v>293</v>
      </c>
      <c r="H17" s="35">
        <v>20</v>
      </c>
      <c r="I17" s="7">
        <v>3000</v>
      </c>
      <c r="J17" s="14">
        <v>3600</v>
      </c>
      <c r="K17" s="15">
        <f>L17+3593</f>
        <v>3593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0.18333333333333332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133</v>
      </c>
      <c r="D18" s="52" t="s">
        <v>117</v>
      </c>
      <c r="E18" s="53" t="s">
        <v>277</v>
      </c>
      <c r="F18" s="30" t="s">
        <v>144</v>
      </c>
      <c r="G18" s="33">
        <v>1</v>
      </c>
      <c r="H18" s="35">
        <v>24</v>
      </c>
      <c r="I18" s="7">
        <v>30000</v>
      </c>
      <c r="J18" s="5">
        <v>2334</v>
      </c>
      <c r="K18" s="15">
        <f>L18+2111+5079+5209+4959+2363+2106</f>
        <v>24161</v>
      </c>
      <c r="L18" s="15">
        <v>2334</v>
      </c>
      <c r="M18" s="15">
        <f t="shared" si="1"/>
        <v>2334</v>
      </c>
      <c r="N18" s="15">
        <v>0</v>
      </c>
      <c r="O18" s="58">
        <f t="shared" si="2"/>
        <v>0</v>
      </c>
      <c r="P18" s="39">
        <f t="shared" si="3"/>
        <v>12</v>
      </c>
      <c r="Q18" s="40">
        <f t="shared" si="4"/>
        <v>12</v>
      </c>
      <c r="R18" s="7"/>
      <c r="S18" s="6"/>
      <c r="T18" s="16"/>
      <c r="U18" s="16"/>
      <c r="V18" s="17">
        <v>12</v>
      </c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0.5</v>
      </c>
      <c r="AD18" s="10">
        <f>AC18*AB18*(1-O18)</f>
        <v>0.5</v>
      </c>
      <c r="AE18" s="36">
        <f t="shared" si="8"/>
        <v>0.18333333333333332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318</v>
      </c>
      <c r="F19" s="30" t="s">
        <v>212</v>
      </c>
      <c r="G19" s="33">
        <v>1</v>
      </c>
      <c r="H19" s="35">
        <v>24</v>
      </c>
      <c r="I19" s="7">
        <v>25000</v>
      </c>
      <c r="J19" s="14">
        <v>2350</v>
      </c>
      <c r="K19" s="15">
        <f>L19+3185+1351+2264</f>
        <v>9150</v>
      </c>
      <c r="L19" s="15">
        <v>2350</v>
      </c>
      <c r="M19" s="15">
        <f t="shared" si="1"/>
        <v>2350</v>
      </c>
      <c r="N19" s="15">
        <v>0</v>
      </c>
      <c r="O19" s="58">
        <f t="shared" si="2"/>
        <v>0</v>
      </c>
      <c r="P19" s="39">
        <f t="shared" si="3"/>
        <v>12</v>
      </c>
      <c r="Q19" s="40">
        <f t="shared" si="4"/>
        <v>12</v>
      </c>
      <c r="R19" s="7"/>
      <c r="S19" s="6"/>
      <c r="T19" s="16"/>
      <c r="U19" s="16"/>
      <c r="V19" s="17">
        <v>12</v>
      </c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0.5</v>
      </c>
      <c r="AD19" s="10">
        <f t="shared" ref="AD19:AD20" si="11">AC19*AB19*(1-O19)</f>
        <v>0.5</v>
      </c>
      <c r="AE19" s="36">
        <f t="shared" si="8"/>
        <v>0.18333333333333332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25017</v>
      </c>
      <c r="K20" s="15">
        <f>L20+54642+62589+25017</f>
        <v>142248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11"/>
        <v>0</v>
      </c>
      <c r="AE20" s="36">
        <f t="shared" si="8"/>
        <v>0.18333333333333332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735000</v>
      </c>
      <c r="J21" s="19">
        <f t="shared" si="12"/>
        <v>92598</v>
      </c>
      <c r="K21" s="20">
        <f t="shared" si="12"/>
        <v>606066</v>
      </c>
      <c r="L21" s="21">
        <f t="shared" si="12"/>
        <v>12466</v>
      </c>
      <c r="M21" s="20">
        <f t="shared" si="12"/>
        <v>12466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66</v>
      </c>
      <c r="Q21" s="43">
        <f t="shared" si="13"/>
        <v>294</v>
      </c>
      <c r="R21" s="23">
        <f t="shared" si="13"/>
        <v>48</v>
      </c>
      <c r="S21" s="24">
        <f t="shared" si="13"/>
        <v>52</v>
      </c>
      <c r="T21" s="24">
        <f t="shared" si="13"/>
        <v>0</v>
      </c>
      <c r="U21" s="24">
        <f t="shared" si="13"/>
        <v>0</v>
      </c>
      <c r="V21" s="25">
        <f t="shared" si="13"/>
        <v>98</v>
      </c>
      <c r="W21" s="26">
        <f t="shared" si="13"/>
        <v>96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0.4</v>
      </c>
      <c r="AC21" s="4">
        <f>SUM(AC6:AC20)/15</f>
        <v>0.18333333333333332</v>
      </c>
      <c r="AD21" s="4">
        <f>SUM(AD6:AD20)/15</f>
        <v>0.18333333333333332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350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352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237" t="s">
        <v>46</v>
      </c>
      <c r="D50" s="237" t="s">
        <v>47</v>
      </c>
      <c r="E50" s="237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237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124</v>
      </c>
      <c r="B51" s="420"/>
      <c r="C51" s="239" t="s">
        <v>139</v>
      </c>
      <c r="D51" s="239" t="s">
        <v>117</v>
      </c>
      <c r="E51" s="239" t="s">
        <v>168</v>
      </c>
      <c r="F51" s="421" t="s">
        <v>179</v>
      </c>
      <c r="G51" s="422"/>
      <c r="H51" s="422"/>
      <c r="I51" s="422"/>
      <c r="J51" s="422"/>
      <c r="K51" s="422"/>
      <c r="L51" s="422"/>
      <c r="M51" s="423"/>
      <c r="N51" s="238" t="s">
        <v>114</v>
      </c>
      <c r="O51" s="243" t="s">
        <v>200</v>
      </c>
      <c r="P51" s="433" t="s">
        <v>125</v>
      </c>
      <c r="Q51" s="434"/>
      <c r="R51" s="420" t="s">
        <v>317</v>
      </c>
      <c r="S51" s="420"/>
      <c r="T51" s="420"/>
      <c r="U51" s="420"/>
      <c r="V51" s="410" t="s">
        <v>126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114</v>
      </c>
      <c r="B52" s="420"/>
      <c r="C52" s="239" t="s">
        <v>200</v>
      </c>
      <c r="D52" s="239" t="s">
        <v>125</v>
      </c>
      <c r="E52" s="239" t="s">
        <v>317</v>
      </c>
      <c r="F52" s="421" t="s">
        <v>351</v>
      </c>
      <c r="G52" s="422"/>
      <c r="H52" s="422"/>
      <c r="I52" s="422"/>
      <c r="J52" s="422"/>
      <c r="K52" s="422"/>
      <c r="L52" s="422"/>
      <c r="M52" s="423"/>
      <c r="N52" s="238" t="s">
        <v>114</v>
      </c>
      <c r="O52" s="243" t="s">
        <v>143</v>
      </c>
      <c r="P52" s="433" t="s">
        <v>117</v>
      </c>
      <c r="Q52" s="434"/>
      <c r="R52" s="420" t="s">
        <v>309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/>
      <c r="B53" s="420"/>
      <c r="C53" s="239"/>
      <c r="D53" s="239"/>
      <c r="E53" s="239"/>
      <c r="F53" s="421"/>
      <c r="G53" s="422"/>
      <c r="H53" s="422"/>
      <c r="I53" s="422"/>
      <c r="J53" s="422"/>
      <c r="K53" s="422"/>
      <c r="L53" s="422"/>
      <c r="M53" s="423"/>
      <c r="N53" s="238" t="s">
        <v>124</v>
      </c>
      <c r="O53" s="243" t="s">
        <v>139</v>
      </c>
      <c r="P53" s="433" t="s">
        <v>117</v>
      </c>
      <c r="Q53" s="434"/>
      <c r="R53" s="420" t="s">
        <v>168</v>
      </c>
      <c r="S53" s="420"/>
      <c r="T53" s="420"/>
      <c r="U53" s="420"/>
      <c r="V53" s="410" t="s">
        <v>126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/>
      <c r="B54" s="420"/>
      <c r="C54" s="239"/>
      <c r="D54" s="239"/>
      <c r="E54" s="239"/>
      <c r="F54" s="421"/>
      <c r="G54" s="422"/>
      <c r="H54" s="422"/>
      <c r="I54" s="422"/>
      <c r="J54" s="422"/>
      <c r="K54" s="422"/>
      <c r="L54" s="422"/>
      <c r="M54" s="423"/>
      <c r="N54" s="238"/>
      <c r="O54" s="243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/>
      <c r="B55" s="420"/>
      <c r="C55" s="239"/>
      <c r="D55" s="239"/>
      <c r="E55" s="239"/>
      <c r="F55" s="421"/>
      <c r="G55" s="422"/>
      <c r="H55" s="422"/>
      <c r="I55" s="422"/>
      <c r="J55" s="422"/>
      <c r="K55" s="422"/>
      <c r="L55" s="422"/>
      <c r="M55" s="423"/>
      <c r="N55" s="238"/>
      <c r="O55" s="243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239"/>
      <c r="D56" s="239"/>
      <c r="E56" s="239"/>
      <c r="F56" s="421"/>
      <c r="G56" s="422"/>
      <c r="H56" s="422"/>
      <c r="I56" s="422"/>
      <c r="J56" s="422"/>
      <c r="K56" s="422"/>
      <c r="L56" s="422"/>
      <c r="M56" s="423"/>
      <c r="N56" s="238"/>
      <c r="O56" s="243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39"/>
      <c r="D57" s="239"/>
      <c r="E57" s="239"/>
      <c r="F57" s="421"/>
      <c r="G57" s="422"/>
      <c r="H57" s="422"/>
      <c r="I57" s="422"/>
      <c r="J57" s="422"/>
      <c r="K57" s="422"/>
      <c r="L57" s="422"/>
      <c r="M57" s="423"/>
      <c r="N57" s="238"/>
      <c r="O57" s="243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39"/>
      <c r="D58" s="239"/>
      <c r="E58" s="239"/>
      <c r="F58" s="421"/>
      <c r="G58" s="422"/>
      <c r="H58" s="422"/>
      <c r="I58" s="422"/>
      <c r="J58" s="422"/>
      <c r="K58" s="422"/>
      <c r="L58" s="422"/>
      <c r="M58" s="423"/>
      <c r="N58" s="238"/>
      <c r="O58" s="243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39"/>
      <c r="D59" s="239"/>
      <c r="E59" s="239"/>
      <c r="F59" s="421"/>
      <c r="G59" s="422"/>
      <c r="H59" s="422"/>
      <c r="I59" s="422"/>
      <c r="J59" s="422"/>
      <c r="K59" s="422"/>
      <c r="L59" s="422"/>
      <c r="M59" s="423"/>
      <c r="N59" s="238"/>
      <c r="O59" s="243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40"/>
      <c r="D60" s="240"/>
      <c r="E60" s="240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353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41" t="s">
        <v>2</v>
      </c>
      <c r="D62" s="241" t="s">
        <v>37</v>
      </c>
      <c r="E62" s="241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41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124</v>
      </c>
      <c r="D63" s="245"/>
      <c r="E63" s="242" t="s">
        <v>117</v>
      </c>
      <c r="F63" s="408" t="s">
        <v>354</v>
      </c>
      <c r="G63" s="400"/>
      <c r="H63" s="400"/>
      <c r="I63" s="400"/>
      <c r="J63" s="400"/>
      <c r="K63" s="400" t="s">
        <v>212</v>
      </c>
      <c r="L63" s="400"/>
      <c r="M63" s="51" t="s">
        <v>240</v>
      </c>
      <c r="N63" s="411" t="s">
        <v>143</v>
      </c>
      <c r="O63" s="411"/>
      <c r="P63" s="409">
        <v>50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 t="s">
        <v>124</v>
      </c>
      <c r="D64" s="245"/>
      <c r="E64" s="242" t="s">
        <v>117</v>
      </c>
      <c r="F64" s="408" t="s">
        <v>211</v>
      </c>
      <c r="G64" s="400"/>
      <c r="H64" s="400"/>
      <c r="I64" s="400"/>
      <c r="J64" s="400"/>
      <c r="K64" s="400" t="s">
        <v>212</v>
      </c>
      <c r="L64" s="400"/>
      <c r="M64" s="51" t="s">
        <v>240</v>
      </c>
      <c r="N64" s="411" t="s">
        <v>143</v>
      </c>
      <c r="O64" s="411"/>
      <c r="P64" s="409">
        <v>50</v>
      </c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245"/>
      <c r="E65" s="242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245"/>
      <c r="E66" s="242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45"/>
      <c r="E67" s="242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45"/>
      <c r="E68" s="242"/>
      <c r="F68" s="408"/>
      <c r="G68" s="400"/>
      <c r="H68" s="400"/>
      <c r="I68" s="400"/>
      <c r="J68" s="400"/>
      <c r="K68" s="400"/>
      <c r="L68" s="400"/>
      <c r="M68" s="51"/>
      <c r="N68" s="400"/>
      <c r="O68" s="400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45"/>
      <c r="E69" s="242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45"/>
      <c r="E70" s="242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355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44" t="s">
        <v>2</v>
      </c>
      <c r="D72" s="244" t="s">
        <v>37</v>
      </c>
      <c r="E72" s="244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46" t="s">
        <v>114</v>
      </c>
      <c r="D73" s="246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45"/>
      <c r="D74" s="245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45"/>
      <c r="D75" s="245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45"/>
      <c r="D76" s="245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45"/>
      <c r="D77" s="245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45"/>
      <c r="D78" s="245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45"/>
      <c r="D79" s="245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45"/>
      <c r="D80" s="245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45"/>
      <c r="D81" s="245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356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AB19-470E-4F6B-AFDB-D3A491E60895}">
  <dimension ref="A1:AF86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357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36" t="s">
        <v>17</v>
      </c>
      <c r="L5" s="236" t="s">
        <v>18</v>
      </c>
      <c r="M5" s="236" t="s">
        <v>19</v>
      </c>
      <c r="N5" s="23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0.34166666666666667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0.34166666666666667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30000</v>
      </c>
      <c r="J8" s="14">
        <v>4092</v>
      </c>
      <c r="K8" s="15">
        <f>L8+1722+1917+1867</f>
        <v>9598</v>
      </c>
      <c r="L8" s="15">
        <f>2123+1969</f>
        <v>4092</v>
      </c>
      <c r="M8" s="15">
        <f t="shared" si="1"/>
        <v>4092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0.34166666666666667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4249</v>
      </c>
      <c r="K9" s="15">
        <f>L9+1593+1896+2807+1401+3459+1160+3830+650+1584+2358</f>
        <v>24987</v>
      </c>
      <c r="L9" s="15">
        <f>1830+2419</f>
        <v>4249</v>
      </c>
      <c r="M9" s="15">
        <f t="shared" si="1"/>
        <v>4249</v>
      </c>
      <c r="N9" s="15">
        <v>0</v>
      </c>
      <c r="O9" s="58">
        <f t="shared" si="2"/>
        <v>0</v>
      </c>
      <c r="P9" s="39">
        <f t="shared" si="3"/>
        <v>21</v>
      </c>
      <c r="Q9" s="40">
        <f t="shared" si="4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0.875</v>
      </c>
      <c r="AD9" s="10">
        <f t="shared" si="7"/>
        <v>0.875</v>
      </c>
      <c r="AE9" s="36">
        <f t="shared" si="8"/>
        <v>0.34166666666666667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234</v>
      </c>
      <c r="E10" s="53" t="s">
        <v>235</v>
      </c>
      <c r="F10" s="30" t="s">
        <v>249</v>
      </c>
      <c r="G10" s="33">
        <v>32</v>
      </c>
      <c r="H10" s="35">
        <v>24</v>
      </c>
      <c r="I10" s="7">
        <v>200000</v>
      </c>
      <c r="J10" s="5">
        <v>118350</v>
      </c>
      <c r="K10" s="15">
        <f>L10+7584+107552+162750+33810</f>
        <v>430046</v>
      </c>
      <c r="L10" s="15">
        <f>3022*30+923*30</f>
        <v>118350</v>
      </c>
      <c r="M10" s="15">
        <f t="shared" si="1"/>
        <v>118350</v>
      </c>
      <c r="N10" s="15">
        <v>0</v>
      </c>
      <c r="O10" s="58">
        <f t="shared" si="2"/>
        <v>0</v>
      </c>
      <c r="P10" s="39">
        <f t="shared" si="3"/>
        <v>18</v>
      </c>
      <c r="Q10" s="40">
        <f t="shared" si="4"/>
        <v>6</v>
      </c>
      <c r="R10" s="7">
        <v>6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0.75</v>
      </c>
      <c r="AD10" s="10">
        <f>AC10*AB10*(1-O10)</f>
        <v>0.75</v>
      </c>
      <c r="AE10" s="36">
        <f t="shared" si="8"/>
        <v>0.34166666666666667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125</v>
      </c>
      <c r="E11" s="53" t="s">
        <v>317</v>
      </c>
      <c r="F11" s="30" t="s">
        <v>130</v>
      </c>
      <c r="G11" s="33">
        <v>1</v>
      </c>
      <c r="H11" s="35">
        <v>24</v>
      </c>
      <c r="I11" s="7">
        <v>2500</v>
      </c>
      <c r="J11" s="14">
        <v>2158</v>
      </c>
      <c r="K11" s="15">
        <f>L11+1682+182+637+1839</f>
        <v>6498</v>
      </c>
      <c r="L11" s="15">
        <f>1322+836</f>
        <v>2158</v>
      </c>
      <c r="M11" s="15">
        <f t="shared" si="1"/>
        <v>2158</v>
      </c>
      <c r="N11" s="15">
        <v>0</v>
      </c>
      <c r="O11" s="58">
        <f t="shared" si="2"/>
        <v>0</v>
      </c>
      <c r="P11" s="39">
        <f t="shared" si="3"/>
        <v>14</v>
      </c>
      <c r="Q11" s="40">
        <f t="shared" si="4"/>
        <v>10</v>
      </c>
      <c r="R11" s="7"/>
      <c r="S11" s="6">
        <v>4</v>
      </c>
      <c r="T11" s="16"/>
      <c r="U11" s="16"/>
      <c r="V11" s="17"/>
      <c r="W11" s="5">
        <v>6</v>
      </c>
      <c r="X11" s="16"/>
      <c r="Y11" s="16"/>
      <c r="Z11" s="16"/>
      <c r="AA11" s="18"/>
      <c r="AB11" s="8">
        <f t="shared" si="5"/>
        <v>1</v>
      </c>
      <c r="AC11" s="9">
        <f t="shared" si="6"/>
        <v>0.58333333333333337</v>
      </c>
      <c r="AD11" s="10">
        <f t="shared" ref="AD11" si="10">AC11*AB11*(1-O11)</f>
        <v>0.58333333333333337</v>
      </c>
      <c r="AE11" s="36">
        <f t="shared" si="8"/>
        <v>0.34166666666666667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2836</v>
      </c>
      <c r="K12" s="15">
        <f>L12+3015+1279+2974+4822+1084+3847+1268+867+2160+1718</f>
        <v>25870</v>
      </c>
      <c r="L12" s="15">
        <f>2543+293</f>
        <v>2836</v>
      </c>
      <c r="M12" s="15">
        <f t="shared" si="1"/>
        <v>2836</v>
      </c>
      <c r="N12" s="15">
        <v>0</v>
      </c>
      <c r="O12" s="58">
        <f t="shared" si="2"/>
        <v>0</v>
      </c>
      <c r="P12" s="39">
        <f t="shared" si="3"/>
        <v>17</v>
      </c>
      <c r="Q12" s="40">
        <f t="shared" si="4"/>
        <v>7</v>
      </c>
      <c r="R12" s="7"/>
      <c r="S12" s="6">
        <v>7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0.70833333333333337</v>
      </c>
      <c r="AD12" s="10">
        <f t="shared" si="7"/>
        <v>0.70833333333333337</v>
      </c>
      <c r="AE12" s="36">
        <f t="shared" si="8"/>
        <v>0.34166666666666667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117</v>
      </c>
      <c r="E13" s="53" t="s">
        <v>309</v>
      </c>
      <c r="F13" s="30" t="s">
        <v>121</v>
      </c>
      <c r="G13" s="33">
        <v>1</v>
      </c>
      <c r="H13" s="35">
        <v>24</v>
      </c>
      <c r="I13" s="7">
        <v>2500</v>
      </c>
      <c r="J13" s="14">
        <v>963</v>
      </c>
      <c r="K13" s="15">
        <f>L13</f>
        <v>963</v>
      </c>
      <c r="L13" s="15">
        <v>963</v>
      </c>
      <c r="M13" s="15">
        <f t="shared" si="1"/>
        <v>963</v>
      </c>
      <c r="N13" s="15">
        <v>0</v>
      </c>
      <c r="O13" s="58">
        <f t="shared" si="2"/>
        <v>0</v>
      </c>
      <c r="P13" s="39">
        <f t="shared" si="3"/>
        <v>5</v>
      </c>
      <c r="Q13" s="40">
        <f t="shared" si="4"/>
        <v>19</v>
      </c>
      <c r="R13" s="7"/>
      <c r="S13" s="6">
        <v>19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0.20833333333333334</v>
      </c>
      <c r="AD13" s="10">
        <f t="shared" si="7"/>
        <v>0.20833333333333334</v>
      </c>
      <c r="AE13" s="36">
        <f t="shared" si="8"/>
        <v>0.34166666666666667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1045</v>
      </c>
      <c r="K14" s="15">
        <f>L14+620+500+1045</f>
        <v>2165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0.34166666666666667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0.34166666666666667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0.34166666666666667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291</v>
      </c>
      <c r="D17" s="52" t="s">
        <v>149</v>
      </c>
      <c r="E17" s="53" t="s">
        <v>298</v>
      </c>
      <c r="F17" s="30" t="s">
        <v>271</v>
      </c>
      <c r="G17" s="33" t="s">
        <v>293</v>
      </c>
      <c r="H17" s="35">
        <v>20</v>
      </c>
      <c r="I17" s="7">
        <v>3000</v>
      </c>
      <c r="J17" s="14">
        <v>3600</v>
      </c>
      <c r="K17" s="15">
        <f>L17+3593</f>
        <v>3593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0.34166666666666667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133</v>
      </c>
      <c r="D18" s="52" t="s">
        <v>117</v>
      </c>
      <c r="E18" s="53" t="s">
        <v>277</v>
      </c>
      <c r="F18" s="30" t="s">
        <v>144</v>
      </c>
      <c r="G18" s="33">
        <v>1</v>
      </c>
      <c r="H18" s="35">
        <v>24</v>
      </c>
      <c r="I18" s="7">
        <v>30000</v>
      </c>
      <c r="J18" s="5">
        <v>2334</v>
      </c>
      <c r="K18" s="15">
        <f>L18+2111+5079+5209+4959+2363+2106+2334</f>
        <v>24161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5"/>
        <v>0</v>
      </c>
      <c r="AC18" s="9">
        <f t="shared" si="6"/>
        <v>0</v>
      </c>
      <c r="AD18" s="10">
        <f>AC18*AB18*(1-O18)</f>
        <v>0</v>
      </c>
      <c r="AE18" s="36">
        <f t="shared" si="8"/>
        <v>0.34166666666666667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318</v>
      </c>
      <c r="F19" s="30" t="s">
        <v>212</v>
      </c>
      <c r="G19" s="33">
        <v>1</v>
      </c>
      <c r="H19" s="35">
        <v>24</v>
      </c>
      <c r="I19" s="7">
        <v>25000</v>
      </c>
      <c r="J19" s="14">
        <v>5185</v>
      </c>
      <c r="K19" s="15">
        <f>L19+3185+1351+2264+2350</f>
        <v>14335</v>
      </c>
      <c r="L19" s="15">
        <f>2796+2389</f>
        <v>5185</v>
      </c>
      <c r="M19" s="15">
        <f t="shared" si="1"/>
        <v>5185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:AD20" si="11">AC19*AB19*(1-O19)</f>
        <v>1</v>
      </c>
      <c r="AE19" s="36">
        <f t="shared" si="8"/>
        <v>0.34166666666666667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25017</v>
      </c>
      <c r="K20" s="15">
        <f>L20+54642+62589+25017</f>
        <v>142248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11"/>
        <v>0</v>
      </c>
      <c r="AE20" s="36">
        <f t="shared" si="8"/>
        <v>0.34166666666666667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735000</v>
      </c>
      <c r="J21" s="19">
        <f t="shared" si="12"/>
        <v>183826</v>
      </c>
      <c r="K21" s="20">
        <f t="shared" si="12"/>
        <v>741236</v>
      </c>
      <c r="L21" s="21">
        <f t="shared" si="12"/>
        <v>137833</v>
      </c>
      <c r="M21" s="20">
        <f t="shared" si="12"/>
        <v>137833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123</v>
      </c>
      <c r="Q21" s="43">
        <f t="shared" si="13"/>
        <v>237</v>
      </c>
      <c r="R21" s="23">
        <f t="shared" si="13"/>
        <v>54</v>
      </c>
      <c r="S21" s="24">
        <f t="shared" si="13"/>
        <v>57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78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24</v>
      </c>
      <c r="AB21" s="28">
        <f>SUM(AB6:AB20)/15</f>
        <v>0.46666666666666667</v>
      </c>
      <c r="AC21" s="4">
        <f>SUM(AC6:AC20)/15</f>
        <v>0.34166666666666667</v>
      </c>
      <c r="AD21" s="4">
        <f>SUM(AD6:AD20)/15</f>
        <v>0.34166666666666667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358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366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237" t="s">
        <v>46</v>
      </c>
      <c r="D50" s="237" t="s">
        <v>47</v>
      </c>
      <c r="E50" s="237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237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124</v>
      </c>
      <c r="B51" s="420"/>
      <c r="C51" s="239" t="s">
        <v>139</v>
      </c>
      <c r="D51" s="239" t="s">
        <v>117</v>
      </c>
      <c r="E51" s="239" t="s">
        <v>168</v>
      </c>
      <c r="F51" s="421" t="s">
        <v>126</v>
      </c>
      <c r="G51" s="422"/>
      <c r="H51" s="422"/>
      <c r="I51" s="422"/>
      <c r="J51" s="422"/>
      <c r="K51" s="422"/>
      <c r="L51" s="422"/>
      <c r="M51" s="423"/>
      <c r="N51" s="238" t="s">
        <v>114</v>
      </c>
      <c r="O51" s="243" t="s">
        <v>200</v>
      </c>
      <c r="P51" s="433" t="s">
        <v>122</v>
      </c>
      <c r="Q51" s="434"/>
      <c r="R51" s="420" t="s">
        <v>367</v>
      </c>
      <c r="S51" s="420"/>
      <c r="T51" s="420"/>
      <c r="U51" s="420"/>
      <c r="V51" s="410" t="s">
        <v>120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114</v>
      </c>
      <c r="B52" s="420"/>
      <c r="C52" s="239" t="s">
        <v>200</v>
      </c>
      <c r="D52" s="239" t="s">
        <v>125</v>
      </c>
      <c r="E52" s="239" t="s">
        <v>317</v>
      </c>
      <c r="F52" s="421" t="s">
        <v>126</v>
      </c>
      <c r="G52" s="422"/>
      <c r="H52" s="422"/>
      <c r="I52" s="422"/>
      <c r="J52" s="422"/>
      <c r="K52" s="422"/>
      <c r="L52" s="422"/>
      <c r="M52" s="423"/>
      <c r="N52" s="238" t="s">
        <v>114</v>
      </c>
      <c r="O52" s="243" t="s">
        <v>143</v>
      </c>
      <c r="P52" s="433" t="s">
        <v>117</v>
      </c>
      <c r="Q52" s="434"/>
      <c r="R52" s="420" t="s">
        <v>309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114</v>
      </c>
      <c r="B53" s="420"/>
      <c r="C53" s="239" t="s">
        <v>359</v>
      </c>
      <c r="D53" s="239" t="s">
        <v>117</v>
      </c>
      <c r="E53" s="239" t="s">
        <v>360</v>
      </c>
      <c r="F53" s="421" t="s">
        <v>361</v>
      </c>
      <c r="G53" s="422"/>
      <c r="H53" s="422"/>
      <c r="I53" s="422"/>
      <c r="J53" s="422"/>
      <c r="K53" s="422"/>
      <c r="L53" s="422"/>
      <c r="M53" s="423"/>
      <c r="N53" s="238" t="s">
        <v>114</v>
      </c>
      <c r="O53" s="243" t="s">
        <v>131</v>
      </c>
      <c r="P53" s="433" t="s">
        <v>248</v>
      </c>
      <c r="Q53" s="434"/>
      <c r="R53" s="420" t="s">
        <v>368</v>
      </c>
      <c r="S53" s="420"/>
      <c r="T53" s="420"/>
      <c r="U53" s="420"/>
      <c r="V53" s="410" t="s">
        <v>120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239" t="s">
        <v>362</v>
      </c>
      <c r="D54" s="239" t="s">
        <v>363</v>
      </c>
      <c r="E54" s="239" t="s">
        <v>364</v>
      </c>
      <c r="F54" s="421" t="s">
        <v>365</v>
      </c>
      <c r="G54" s="422"/>
      <c r="H54" s="422"/>
      <c r="I54" s="422"/>
      <c r="J54" s="422"/>
      <c r="K54" s="422"/>
      <c r="L54" s="422"/>
      <c r="M54" s="423"/>
      <c r="N54" s="238" t="s">
        <v>369</v>
      </c>
      <c r="O54" s="243" t="s">
        <v>362</v>
      </c>
      <c r="P54" s="433" t="s">
        <v>363</v>
      </c>
      <c r="Q54" s="434"/>
      <c r="R54" s="420" t="s">
        <v>364</v>
      </c>
      <c r="S54" s="420"/>
      <c r="T54" s="420"/>
      <c r="U54" s="420"/>
      <c r="V54" s="410" t="s">
        <v>126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/>
      <c r="B55" s="420"/>
      <c r="C55" s="239"/>
      <c r="D55" s="239"/>
      <c r="E55" s="239"/>
      <c r="F55" s="421"/>
      <c r="G55" s="422"/>
      <c r="H55" s="422"/>
      <c r="I55" s="422"/>
      <c r="J55" s="422"/>
      <c r="K55" s="422"/>
      <c r="L55" s="422"/>
      <c r="M55" s="423"/>
      <c r="N55" s="238" t="s">
        <v>371</v>
      </c>
      <c r="O55" s="243" t="s">
        <v>372</v>
      </c>
      <c r="P55" s="433"/>
      <c r="Q55" s="434"/>
      <c r="R55" s="420" t="s">
        <v>370</v>
      </c>
      <c r="S55" s="420"/>
      <c r="T55" s="420"/>
      <c r="U55" s="420"/>
      <c r="V55" s="410" t="s">
        <v>120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/>
      <c r="B56" s="420"/>
      <c r="C56" s="239"/>
      <c r="D56" s="239"/>
      <c r="E56" s="239"/>
      <c r="F56" s="421"/>
      <c r="G56" s="422"/>
      <c r="H56" s="422"/>
      <c r="I56" s="422"/>
      <c r="J56" s="422"/>
      <c r="K56" s="422"/>
      <c r="L56" s="422"/>
      <c r="M56" s="423"/>
      <c r="N56" s="238"/>
      <c r="O56" s="243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39"/>
      <c r="D57" s="239"/>
      <c r="E57" s="239"/>
      <c r="F57" s="421"/>
      <c r="G57" s="422"/>
      <c r="H57" s="422"/>
      <c r="I57" s="422"/>
      <c r="J57" s="422"/>
      <c r="K57" s="422"/>
      <c r="L57" s="422"/>
      <c r="M57" s="423"/>
      <c r="N57" s="238"/>
      <c r="O57" s="243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39"/>
      <c r="D58" s="239"/>
      <c r="E58" s="239"/>
      <c r="F58" s="421"/>
      <c r="G58" s="422"/>
      <c r="H58" s="422"/>
      <c r="I58" s="422"/>
      <c r="J58" s="422"/>
      <c r="K58" s="422"/>
      <c r="L58" s="422"/>
      <c r="M58" s="423"/>
      <c r="N58" s="238"/>
      <c r="O58" s="243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39"/>
      <c r="D59" s="239"/>
      <c r="E59" s="239"/>
      <c r="F59" s="421"/>
      <c r="G59" s="422"/>
      <c r="H59" s="422"/>
      <c r="I59" s="422"/>
      <c r="J59" s="422"/>
      <c r="K59" s="422"/>
      <c r="L59" s="422"/>
      <c r="M59" s="423"/>
      <c r="N59" s="238"/>
      <c r="O59" s="243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40"/>
      <c r="D60" s="240"/>
      <c r="E60" s="240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373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41" t="s">
        <v>2</v>
      </c>
      <c r="D62" s="241" t="s">
        <v>37</v>
      </c>
      <c r="E62" s="241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41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124</v>
      </c>
      <c r="D63" s="247"/>
      <c r="E63" s="248" t="s">
        <v>117</v>
      </c>
      <c r="F63" s="408" t="s">
        <v>211</v>
      </c>
      <c r="G63" s="400"/>
      <c r="H63" s="400"/>
      <c r="I63" s="400"/>
      <c r="J63" s="400"/>
      <c r="K63" s="400" t="s">
        <v>212</v>
      </c>
      <c r="L63" s="400"/>
      <c r="M63" s="51" t="s">
        <v>240</v>
      </c>
      <c r="N63" s="411" t="s">
        <v>180</v>
      </c>
      <c r="O63" s="411"/>
      <c r="P63" s="409">
        <v>50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 t="s">
        <v>381</v>
      </c>
      <c r="D64" s="245"/>
      <c r="E64" s="242"/>
      <c r="F64" s="408" t="s">
        <v>374</v>
      </c>
      <c r="G64" s="400"/>
      <c r="H64" s="400"/>
      <c r="I64" s="400"/>
      <c r="J64" s="400"/>
      <c r="K64" s="400" t="s">
        <v>379</v>
      </c>
      <c r="L64" s="400"/>
      <c r="M64" s="51" t="s">
        <v>240</v>
      </c>
      <c r="N64" s="411" t="s">
        <v>135</v>
      </c>
      <c r="O64" s="411"/>
      <c r="P64" s="409">
        <v>100</v>
      </c>
      <c r="Q64" s="409"/>
      <c r="R64" s="410" t="s">
        <v>380</v>
      </c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 t="s">
        <v>381</v>
      </c>
      <c r="D65" s="245"/>
      <c r="E65" s="242" t="s">
        <v>382</v>
      </c>
      <c r="F65" s="408" t="s">
        <v>375</v>
      </c>
      <c r="G65" s="400"/>
      <c r="H65" s="400"/>
      <c r="I65" s="400"/>
      <c r="J65" s="400"/>
      <c r="K65" s="400">
        <v>7301</v>
      </c>
      <c r="L65" s="400"/>
      <c r="M65" s="51" t="s">
        <v>327</v>
      </c>
      <c r="N65" s="411" t="s">
        <v>180</v>
      </c>
      <c r="O65" s="411"/>
      <c r="P65" s="409">
        <v>50</v>
      </c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 t="s">
        <v>381</v>
      </c>
      <c r="D66" s="245"/>
      <c r="E66" s="242" t="s">
        <v>383</v>
      </c>
      <c r="F66" s="408" t="s">
        <v>376</v>
      </c>
      <c r="G66" s="400"/>
      <c r="H66" s="400"/>
      <c r="I66" s="400"/>
      <c r="J66" s="400"/>
      <c r="K66" s="400">
        <v>7301</v>
      </c>
      <c r="L66" s="400"/>
      <c r="M66" s="51" t="s">
        <v>327</v>
      </c>
      <c r="N66" s="411" t="s">
        <v>180</v>
      </c>
      <c r="O66" s="411"/>
      <c r="P66" s="409">
        <v>50</v>
      </c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 t="s">
        <v>381</v>
      </c>
      <c r="D67" s="245"/>
      <c r="E67" s="242" t="s">
        <v>384</v>
      </c>
      <c r="F67" s="408" t="s">
        <v>377</v>
      </c>
      <c r="G67" s="400"/>
      <c r="H67" s="400"/>
      <c r="I67" s="400"/>
      <c r="J67" s="400"/>
      <c r="K67" s="400">
        <v>7301</v>
      </c>
      <c r="L67" s="400"/>
      <c r="M67" s="51" t="s">
        <v>327</v>
      </c>
      <c r="N67" s="411" t="s">
        <v>180</v>
      </c>
      <c r="O67" s="411"/>
      <c r="P67" s="409">
        <v>50</v>
      </c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 t="s">
        <v>381</v>
      </c>
      <c r="D68" s="245"/>
      <c r="E68" s="242" t="s">
        <v>385</v>
      </c>
      <c r="F68" s="408" t="s">
        <v>378</v>
      </c>
      <c r="G68" s="400"/>
      <c r="H68" s="400"/>
      <c r="I68" s="400"/>
      <c r="J68" s="400"/>
      <c r="K68" s="400">
        <v>7301</v>
      </c>
      <c r="L68" s="400"/>
      <c r="M68" s="51" t="s">
        <v>327</v>
      </c>
      <c r="N68" s="411" t="s">
        <v>180</v>
      </c>
      <c r="O68" s="411"/>
      <c r="P68" s="409">
        <v>50</v>
      </c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45"/>
      <c r="E69" s="242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45"/>
      <c r="E70" s="242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386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44" t="s">
        <v>2</v>
      </c>
      <c r="D72" s="244" t="s">
        <v>37</v>
      </c>
      <c r="E72" s="244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46" t="s">
        <v>114</v>
      </c>
      <c r="D73" s="246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45"/>
      <c r="D74" s="245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45"/>
      <c r="D75" s="245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45"/>
      <c r="D76" s="245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45"/>
      <c r="D77" s="245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45"/>
      <c r="D78" s="245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45"/>
      <c r="D79" s="245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45"/>
      <c r="D80" s="245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45"/>
      <c r="D81" s="245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387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8A32-7990-4403-8F3A-9804DA32DD63}">
  <dimension ref="A1:AF86"/>
  <sheetViews>
    <sheetView zoomScale="72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388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49" t="s">
        <v>17</v>
      </c>
      <c r="L5" s="249" t="s">
        <v>18</v>
      </c>
      <c r="M5" s="249" t="s">
        <v>19</v>
      </c>
      <c r="N5" s="24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0.31111111111111106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0.31111111111111106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30000</v>
      </c>
      <c r="J8" s="14">
        <v>4437</v>
      </c>
      <c r="K8" s="15">
        <f>L8+1722+1917+1867+4092</f>
        <v>14035</v>
      </c>
      <c r="L8" s="15">
        <f>2269+2168</f>
        <v>4437</v>
      </c>
      <c r="M8" s="15">
        <f t="shared" si="1"/>
        <v>4437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0.31111111111111106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584</v>
      </c>
      <c r="K9" s="15">
        <f>L9+1593+1896+2807+1401+3459+1160+3830+650+1584+2358+4249</f>
        <v>25571</v>
      </c>
      <c r="L9" s="15">
        <v>584</v>
      </c>
      <c r="M9" s="15">
        <f t="shared" si="1"/>
        <v>584</v>
      </c>
      <c r="N9" s="15">
        <v>0</v>
      </c>
      <c r="O9" s="58">
        <f t="shared" si="2"/>
        <v>0</v>
      </c>
      <c r="P9" s="39">
        <f t="shared" si="3"/>
        <v>4</v>
      </c>
      <c r="Q9" s="40">
        <f t="shared" si="4"/>
        <v>20</v>
      </c>
      <c r="R9" s="7"/>
      <c r="S9" s="6">
        <v>20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0.16666666666666666</v>
      </c>
      <c r="AD9" s="10">
        <f t="shared" si="7"/>
        <v>0.16666666666666666</v>
      </c>
      <c r="AE9" s="36">
        <f t="shared" si="8"/>
        <v>0.31111111111111106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248</v>
      </c>
      <c r="E10" s="53" t="s">
        <v>368</v>
      </c>
      <c r="F10" s="30" t="s">
        <v>127</v>
      </c>
      <c r="G10" s="33">
        <v>1</v>
      </c>
      <c r="H10" s="35">
        <v>24</v>
      </c>
      <c r="I10" s="7">
        <v>2500</v>
      </c>
      <c r="J10" s="5">
        <v>2621</v>
      </c>
      <c r="K10" s="15">
        <f>L10</f>
        <v>2621</v>
      </c>
      <c r="L10" s="15">
        <f>752+1869</f>
        <v>2621</v>
      </c>
      <c r="M10" s="15">
        <f t="shared" si="1"/>
        <v>2621</v>
      </c>
      <c r="N10" s="15">
        <v>0</v>
      </c>
      <c r="O10" s="58">
        <f t="shared" si="2"/>
        <v>0</v>
      </c>
      <c r="P10" s="39">
        <f t="shared" si="3"/>
        <v>13</v>
      </c>
      <c r="Q10" s="40">
        <f t="shared" si="4"/>
        <v>11</v>
      </c>
      <c r="R10" s="7"/>
      <c r="S10" s="6">
        <v>11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0.54166666666666663</v>
      </c>
      <c r="AD10" s="10">
        <f>AC10*AB10*(1-O10)</f>
        <v>0.54166666666666663</v>
      </c>
      <c r="AE10" s="36">
        <f t="shared" si="8"/>
        <v>0.31111111111111106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122</v>
      </c>
      <c r="E11" s="53" t="s">
        <v>367</v>
      </c>
      <c r="F11" s="30" t="s">
        <v>123</v>
      </c>
      <c r="G11" s="33">
        <v>1</v>
      </c>
      <c r="H11" s="35">
        <v>24</v>
      </c>
      <c r="I11" s="7">
        <v>2500</v>
      </c>
      <c r="J11" s="14">
        <v>2800</v>
      </c>
      <c r="K11" s="15">
        <f>L11</f>
        <v>2800</v>
      </c>
      <c r="L11" s="15">
        <f>2800</f>
        <v>2800</v>
      </c>
      <c r="M11" s="15">
        <f t="shared" si="1"/>
        <v>2800</v>
      </c>
      <c r="N11" s="15">
        <v>0</v>
      </c>
      <c r="O11" s="58">
        <f t="shared" si="2"/>
        <v>0</v>
      </c>
      <c r="P11" s="39">
        <f t="shared" si="3"/>
        <v>14</v>
      </c>
      <c r="Q11" s="40">
        <f t="shared" si="4"/>
        <v>10</v>
      </c>
      <c r="R11" s="7"/>
      <c r="S11" s="6">
        <v>10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0.58333333333333337</v>
      </c>
      <c r="AD11" s="10">
        <f t="shared" ref="AD11" si="10">AC11*AB11*(1-O11)</f>
        <v>0.58333333333333337</v>
      </c>
      <c r="AE11" s="36">
        <f t="shared" si="8"/>
        <v>0.31111111111111106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3448</v>
      </c>
      <c r="K12" s="15">
        <f>L12+3015+1279+2974+4822+1084+3847+1268+867+2160+1718+2836</f>
        <v>29318</v>
      </c>
      <c r="L12" s="15">
        <f>1178+2270</f>
        <v>3448</v>
      </c>
      <c r="M12" s="15">
        <f t="shared" si="1"/>
        <v>3448</v>
      </c>
      <c r="N12" s="15">
        <v>0</v>
      </c>
      <c r="O12" s="58">
        <f t="shared" si="2"/>
        <v>0</v>
      </c>
      <c r="P12" s="39">
        <f t="shared" si="3"/>
        <v>19</v>
      </c>
      <c r="Q12" s="40">
        <f t="shared" si="4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0.79166666666666663</v>
      </c>
      <c r="AD12" s="10">
        <f t="shared" si="7"/>
        <v>0.79166666666666663</v>
      </c>
      <c r="AE12" s="36">
        <f t="shared" si="8"/>
        <v>0.31111111111111106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117</v>
      </c>
      <c r="E13" s="53" t="s">
        <v>309</v>
      </c>
      <c r="F13" s="30" t="s">
        <v>121</v>
      </c>
      <c r="G13" s="33">
        <v>1</v>
      </c>
      <c r="H13" s="35">
        <v>24</v>
      </c>
      <c r="I13" s="7">
        <v>2500</v>
      </c>
      <c r="J13" s="14">
        <v>686</v>
      </c>
      <c r="K13" s="15">
        <f>L13+963</f>
        <v>1649</v>
      </c>
      <c r="L13" s="15">
        <f>436+250</f>
        <v>686</v>
      </c>
      <c r="M13" s="15">
        <f t="shared" si="1"/>
        <v>686</v>
      </c>
      <c r="N13" s="15">
        <v>0</v>
      </c>
      <c r="O13" s="58">
        <f t="shared" si="2"/>
        <v>0</v>
      </c>
      <c r="P13" s="39">
        <f t="shared" si="3"/>
        <v>4</v>
      </c>
      <c r="Q13" s="40">
        <f t="shared" si="4"/>
        <v>20</v>
      </c>
      <c r="R13" s="7"/>
      <c r="S13" s="6">
        <v>20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0.16666666666666666</v>
      </c>
      <c r="AD13" s="10">
        <f t="shared" si="7"/>
        <v>0.16666666666666666</v>
      </c>
      <c r="AE13" s="36">
        <f t="shared" si="8"/>
        <v>0.31111111111111106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1045</v>
      </c>
      <c r="K14" s="15">
        <f>L14+620+500+1045</f>
        <v>2165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0.31111111111111106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0.31111111111111106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0.31111111111111106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291</v>
      </c>
      <c r="D17" s="52" t="s">
        <v>149</v>
      </c>
      <c r="E17" s="53" t="s">
        <v>298</v>
      </c>
      <c r="F17" s="30" t="s">
        <v>271</v>
      </c>
      <c r="G17" s="33" t="s">
        <v>293</v>
      </c>
      <c r="H17" s="35">
        <v>20</v>
      </c>
      <c r="I17" s="7">
        <v>3000</v>
      </c>
      <c r="J17" s="14">
        <v>3600</v>
      </c>
      <c r="K17" s="15">
        <f>L17+3593</f>
        <v>3593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0.31111111111111106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133</v>
      </c>
      <c r="D18" s="52" t="s">
        <v>389</v>
      </c>
      <c r="E18" s="53" t="s">
        <v>390</v>
      </c>
      <c r="F18" s="30" t="s">
        <v>144</v>
      </c>
      <c r="G18" s="33" t="s">
        <v>293</v>
      </c>
      <c r="H18" s="35">
        <v>24</v>
      </c>
      <c r="I18" s="7">
        <v>2000</v>
      </c>
      <c r="J18" s="5">
        <v>2109</v>
      </c>
      <c r="K18" s="15">
        <f>L18</f>
        <v>2109</v>
      </c>
      <c r="L18" s="15">
        <f>2109</f>
        <v>2109</v>
      </c>
      <c r="M18" s="15">
        <f t="shared" si="1"/>
        <v>2109</v>
      </c>
      <c r="N18" s="15">
        <v>0</v>
      </c>
      <c r="O18" s="58">
        <f t="shared" si="2"/>
        <v>0</v>
      </c>
      <c r="P18" s="39">
        <f t="shared" si="3"/>
        <v>10</v>
      </c>
      <c r="Q18" s="40">
        <f t="shared" si="4"/>
        <v>14</v>
      </c>
      <c r="R18" s="7"/>
      <c r="S18" s="6"/>
      <c r="T18" s="16"/>
      <c r="U18" s="16"/>
      <c r="V18" s="17"/>
      <c r="W18" s="5">
        <v>14</v>
      </c>
      <c r="X18" s="16"/>
      <c r="Y18" s="16"/>
      <c r="Z18" s="16"/>
      <c r="AA18" s="18"/>
      <c r="AB18" s="8">
        <f t="shared" si="5"/>
        <v>1</v>
      </c>
      <c r="AC18" s="9">
        <f t="shared" si="6"/>
        <v>0.41666666666666669</v>
      </c>
      <c r="AD18" s="10">
        <f>AC18*AB18*(1-O18)</f>
        <v>0.41666666666666669</v>
      </c>
      <c r="AE18" s="36">
        <f t="shared" si="8"/>
        <v>0.31111111111111106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318</v>
      </c>
      <c r="F19" s="30" t="s">
        <v>212</v>
      </c>
      <c r="G19" s="33">
        <v>1</v>
      </c>
      <c r="H19" s="35">
        <v>24</v>
      </c>
      <c r="I19" s="7">
        <v>25000</v>
      </c>
      <c r="J19" s="14">
        <v>5271</v>
      </c>
      <c r="K19" s="15">
        <f>L19+3185+1351+2264+2350+5185</f>
        <v>19606</v>
      </c>
      <c r="L19" s="15">
        <f>2651+2620</f>
        <v>5271</v>
      </c>
      <c r="M19" s="15">
        <f t="shared" si="1"/>
        <v>5271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:AD20" si="11">AC19*AB19*(1-O19)</f>
        <v>1</v>
      </c>
      <c r="AE19" s="36">
        <f t="shared" si="8"/>
        <v>0.31111111111111106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25017</v>
      </c>
      <c r="K20" s="15">
        <f>L20+54642+62589+25017</f>
        <v>142248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11"/>
        <v>0</v>
      </c>
      <c r="AE20" s="36">
        <f t="shared" si="8"/>
        <v>0.31111111111111106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509500</v>
      </c>
      <c r="J21" s="19">
        <f t="shared" si="12"/>
        <v>65615</v>
      </c>
      <c r="K21" s="20">
        <f t="shared" si="12"/>
        <v>302487</v>
      </c>
      <c r="L21" s="21">
        <f t="shared" si="12"/>
        <v>21956</v>
      </c>
      <c r="M21" s="20">
        <f t="shared" si="12"/>
        <v>21956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112</v>
      </c>
      <c r="Q21" s="43">
        <f t="shared" si="13"/>
        <v>248</v>
      </c>
      <c r="R21" s="23">
        <f t="shared" si="13"/>
        <v>48</v>
      </c>
      <c r="S21" s="24">
        <f t="shared" si="13"/>
        <v>90</v>
      </c>
      <c r="T21" s="24">
        <f t="shared" si="13"/>
        <v>0</v>
      </c>
      <c r="U21" s="24">
        <f t="shared" si="13"/>
        <v>0</v>
      </c>
      <c r="V21" s="25">
        <f t="shared" si="13"/>
        <v>24</v>
      </c>
      <c r="W21" s="26">
        <f t="shared" si="13"/>
        <v>86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0.53333333333333333</v>
      </c>
      <c r="AC21" s="4">
        <f>SUM(AC6:AC20)/15</f>
        <v>0.31111111111111106</v>
      </c>
      <c r="AD21" s="4">
        <f>SUM(AD6:AD20)/15</f>
        <v>0.31111111111111106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391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395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250" t="s">
        <v>46</v>
      </c>
      <c r="D50" s="250" t="s">
        <v>47</v>
      </c>
      <c r="E50" s="250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250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124</v>
      </c>
      <c r="B51" s="420"/>
      <c r="C51" s="252" t="s">
        <v>139</v>
      </c>
      <c r="D51" s="252" t="s">
        <v>117</v>
      </c>
      <c r="E51" s="252" t="s">
        <v>168</v>
      </c>
      <c r="F51" s="421" t="s">
        <v>179</v>
      </c>
      <c r="G51" s="422"/>
      <c r="H51" s="422"/>
      <c r="I51" s="422"/>
      <c r="J51" s="422"/>
      <c r="K51" s="422"/>
      <c r="L51" s="422"/>
      <c r="M51" s="423"/>
      <c r="N51" s="251" t="s">
        <v>124</v>
      </c>
      <c r="O51" s="256" t="s">
        <v>184</v>
      </c>
      <c r="P51" s="433" t="s">
        <v>148</v>
      </c>
      <c r="Q51" s="434"/>
      <c r="R51" s="420" t="s">
        <v>191</v>
      </c>
      <c r="S51" s="420"/>
      <c r="T51" s="420"/>
      <c r="U51" s="420"/>
      <c r="V51" s="410" t="s">
        <v>126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114</v>
      </c>
      <c r="B52" s="420"/>
      <c r="C52" s="252" t="s">
        <v>131</v>
      </c>
      <c r="D52" s="252" t="s">
        <v>248</v>
      </c>
      <c r="E52" s="252" t="s">
        <v>368</v>
      </c>
      <c r="F52" s="421" t="s">
        <v>392</v>
      </c>
      <c r="G52" s="422"/>
      <c r="H52" s="422"/>
      <c r="I52" s="422"/>
      <c r="J52" s="422"/>
      <c r="K52" s="422"/>
      <c r="L52" s="422"/>
      <c r="M52" s="423"/>
      <c r="N52" s="251" t="s">
        <v>114</v>
      </c>
      <c r="O52" s="256" t="s">
        <v>143</v>
      </c>
      <c r="P52" s="433" t="s">
        <v>117</v>
      </c>
      <c r="Q52" s="434"/>
      <c r="R52" s="420" t="s">
        <v>309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114</v>
      </c>
      <c r="B53" s="420"/>
      <c r="C53" s="252" t="s">
        <v>143</v>
      </c>
      <c r="D53" s="252" t="s">
        <v>117</v>
      </c>
      <c r="E53" s="252" t="s">
        <v>309</v>
      </c>
      <c r="F53" s="421" t="s">
        <v>393</v>
      </c>
      <c r="G53" s="422"/>
      <c r="H53" s="422"/>
      <c r="I53" s="422"/>
      <c r="J53" s="422"/>
      <c r="K53" s="422"/>
      <c r="L53" s="422"/>
      <c r="M53" s="423"/>
      <c r="N53" s="251" t="s">
        <v>124</v>
      </c>
      <c r="O53" s="256" t="s">
        <v>131</v>
      </c>
      <c r="P53" s="433" t="s">
        <v>154</v>
      </c>
      <c r="Q53" s="434"/>
      <c r="R53" s="420" t="s">
        <v>160</v>
      </c>
      <c r="S53" s="420"/>
      <c r="T53" s="420"/>
      <c r="U53" s="420"/>
      <c r="V53" s="410" t="s">
        <v>120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252" t="s">
        <v>184</v>
      </c>
      <c r="D54" s="252" t="s">
        <v>148</v>
      </c>
      <c r="E54" s="252" t="s">
        <v>191</v>
      </c>
      <c r="F54" s="421" t="s">
        <v>274</v>
      </c>
      <c r="G54" s="422"/>
      <c r="H54" s="422"/>
      <c r="I54" s="422"/>
      <c r="J54" s="422"/>
      <c r="K54" s="422"/>
      <c r="L54" s="422"/>
      <c r="M54" s="423"/>
      <c r="N54" s="251" t="s">
        <v>133</v>
      </c>
      <c r="O54" s="256" t="s">
        <v>200</v>
      </c>
      <c r="P54" s="433" t="s">
        <v>122</v>
      </c>
      <c r="Q54" s="434"/>
      <c r="R54" s="420" t="s">
        <v>396</v>
      </c>
      <c r="S54" s="420"/>
      <c r="T54" s="420"/>
      <c r="U54" s="420"/>
      <c r="V54" s="410" t="s">
        <v>120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252" t="s">
        <v>200</v>
      </c>
      <c r="D55" s="252" t="s">
        <v>122</v>
      </c>
      <c r="E55" s="252" t="s">
        <v>367</v>
      </c>
      <c r="F55" s="421" t="s">
        <v>392</v>
      </c>
      <c r="G55" s="422"/>
      <c r="H55" s="422"/>
      <c r="I55" s="422"/>
      <c r="J55" s="422"/>
      <c r="K55" s="422"/>
      <c r="L55" s="422"/>
      <c r="M55" s="423"/>
      <c r="N55" s="251" t="s">
        <v>124</v>
      </c>
      <c r="O55" s="256" t="s">
        <v>139</v>
      </c>
      <c r="P55" s="433" t="s">
        <v>117</v>
      </c>
      <c r="Q55" s="434"/>
      <c r="R55" s="420" t="s">
        <v>168</v>
      </c>
      <c r="S55" s="420"/>
      <c r="T55" s="420"/>
      <c r="U55" s="420"/>
      <c r="V55" s="410" t="s">
        <v>126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133</v>
      </c>
      <c r="B56" s="420"/>
      <c r="C56" s="252" t="s">
        <v>180</v>
      </c>
      <c r="D56" s="252" t="s">
        <v>394</v>
      </c>
      <c r="E56" s="252" t="s">
        <v>390</v>
      </c>
      <c r="F56" s="421" t="s">
        <v>120</v>
      </c>
      <c r="G56" s="422"/>
      <c r="H56" s="422"/>
      <c r="I56" s="422"/>
      <c r="J56" s="422"/>
      <c r="K56" s="422"/>
      <c r="L56" s="422"/>
      <c r="M56" s="423"/>
      <c r="N56" s="251"/>
      <c r="O56" s="256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52"/>
      <c r="D57" s="252"/>
      <c r="E57" s="252"/>
      <c r="F57" s="421"/>
      <c r="G57" s="422"/>
      <c r="H57" s="422"/>
      <c r="I57" s="422"/>
      <c r="J57" s="422"/>
      <c r="K57" s="422"/>
      <c r="L57" s="422"/>
      <c r="M57" s="423"/>
      <c r="N57" s="251"/>
      <c r="O57" s="256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52"/>
      <c r="D58" s="252"/>
      <c r="E58" s="252"/>
      <c r="F58" s="421"/>
      <c r="G58" s="422"/>
      <c r="H58" s="422"/>
      <c r="I58" s="422"/>
      <c r="J58" s="422"/>
      <c r="K58" s="422"/>
      <c r="L58" s="422"/>
      <c r="M58" s="423"/>
      <c r="N58" s="251"/>
      <c r="O58" s="256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52"/>
      <c r="D59" s="252"/>
      <c r="E59" s="252"/>
      <c r="F59" s="421"/>
      <c r="G59" s="422"/>
      <c r="H59" s="422"/>
      <c r="I59" s="422"/>
      <c r="J59" s="422"/>
      <c r="K59" s="422"/>
      <c r="L59" s="422"/>
      <c r="M59" s="423"/>
      <c r="N59" s="251"/>
      <c r="O59" s="256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53"/>
      <c r="D60" s="253"/>
      <c r="E60" s="253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397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54" t="s">
        <v>2</v>
      </c>
      <c r="D62" s="254" t="s">
        <v>37</v>
      </c>
      <c r="E62" s="254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54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114</v>
      </c>
      <c r="D63" s="258"/>
      <c r="E63" s="255" t="s">
        <v>382</v>
      </c>
      <c r="F63" s="408" t="s">
        <v>375</v>
      </c>
      <c r="G63" s="400"/>
      <c r="H63" s="400"/>
      <c r="I63" s="400"/>
      <c r="J63" s="400"/>
      <c r="K63" s="400">
        <v>8301</v>
      </c>
      <c r="L63" s="400"/>
      <c r="M63" s="51" t="s">
        <v>327</v>
      </c>
      <c r="N63" s="411" t="s">
        <v>135</v>
      </c>
      <c r="O63" s="411"/>
      <c r="P63" s="409">
        <v>50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 t="s">
        <v>114</v>
      </c>
      <c r="D64" s="258"/>
      <c r="E64" s="255" t="s">
        <v>117</v>
      </c>
      <c r="F64" s="408" t="s">
        <v>398</v>
      </c>
      <c r="G64" s="400"/>
      <c r="H64" s="400"/>
      <c r="I64" s="400"/>
      <c r="J64" s="400"/>
      <c r="K64" s="400" t="s">
        <v>127</v>
      </c>
      <c r="L64" s="400"/>
      <c r="M64" s="51" t="s">
        <v>327</v>
      </c>
      <c r="N64" s="411" t="s">
        <v>180</v>
      </c>
      <c r="O64" s="411"/>
      <c r="P64" s="409"/>
      <c r="Q64" s="409"/>
      <c r="R64" s="410" t="s">
        <v>399</v>
      </c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 t="s">
        <v>324</v>
      </c>
      <c r="D65" s="258"/>
      <c r="E65" s="255"/>
      <c r="F65" s="408" t="s">
        <v>400</v>
      </c>
      <c r="G65" s="400"/>
      <c r="H65" s="400"/>
      <c r="I65" s="400"/>
      <c r="J65" s="400"/>
      <c r="K65" s="400" t="s">
        <v>326</v>
      </c>
      <c r="L65" s="400"/>
      <c r="M65" s="51" t="s">
        <v>327</v>
      </c>
      <c r="N65" s="411" t="s">
        <v>180</v>
      </c>
      <c r="O65" s="411"/>
      <c r="P65" s="409">
        <v>100</v>
      </c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258"/>
      <c r="E66" s="255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58"/>
      <c r="E67" s="255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58"/>
      <c r="E68" s="255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58"/>
      <c r="E69" s="255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58"/>
      <c r="E70" s="255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401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57" t="s">
        <v>2</v>
      </c>
      <c r="D72" s="257" t="s">
        <v>37</v>
      </c>
      <c r="E72" s="257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59" t="s">
        <v>114</v>
      </c>
      <c r="D73" s="259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58"/>
      <c r="D74" s="258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58"/>
      <c r="D75" s="258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58"/>
      <c r="D76" s="258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58"/>
      <c r="D77" s="258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58"/>
      <c r="D78" s="258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58"/>
      <c r="D79" s="258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58"/>
      <c r="D80" s="258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58"/>
      <c r="D81" s="258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402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6BCE-49C2-4EE7-BB5B-F340B35DC4F5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403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70" t="s">
        <v>17</v>
      </c>
      <c r="L5" s="270" t="s">
        <v>18</v>
      </c>
      <c r="M5" s="270" t="s">
        <v>19</v>
      </c>
      <c r="N5" s="27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0.50555555555555554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0.50555555555555554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30000</v>
      </c>
      <c r="J8" s="14">
        <v>4478</v>
      </c>
      <c r="K8" s="15">
        <f>L8+1722+1917+1867+4092+4437</f>
        <v>18513</v>
      </c>
      <c r="L8" s="15">
        <f>2313+2165</f>
        <v>4478</v>
      </c>
      <c r="M8" s="15">
        <f t="shared" si="1"/>
        <v>4478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0.50555555555555554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4731</v>
      </c>
      <c r="K9" s="15">
        <f>L9+1593+1896+2807+1401+3459+1160+3830+650+1584+2358+4249+584</f>
        <v>30302</v>
      </c>
      <c r="L9" s="15">
        <f>2845+1886</f>
        <v>4731</v>
      </c>
      <c r="M9" s="15">
        <f t="shared" si="1"/>
        <v>4731</v>
      </c>
      <c r="N9" s="15">
        <v>0</v>
      </c>
      <c r="O9" s="58">
        <f t="shared" si="2"/>
        <v>0</v>
      </c>
      <c r="P9" s="39">
        <f t="shared" si="3"/>
        <v>21</v>
      </c>
      <c r="Q9" s="40">
        <f t="shared" si="4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0.875</v>
      </c>
      <c r="AD9" s="10">
        <f t="shared" si="7"/>
        <v>0.875</v>
      </c>
      <c r="AE9" s="36">
        <f t="shared" si="8"/>
        <v>0.50555555555555554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154</v>
      </c>
      <c r="E10" s="53" t="s">
        <v>160</v>
      </c>
      <c r="F10" s="30" t="s">
        <v>127</v>
      </c>
      <c r="G10" s="33">
        <v>2</v>
      </c>
      <c r="H10" s="35">
        <v>24</v>
      </c>
      <c r="I10" s="7">
        <v>50000</v>
      </c>
      <c r="J10" s="5">
        <v>10866</v>
      </c>
      <c r="K10" s="15">
        <f>L10</f>
        <v>10866</v>
      </c>
      <c r="L10" s="15">
        <f>2500*2+2933*2</f>
        <v>10866</v>
      </c>
      <c r="M10" s="15">
        <f t="shared" si="1"/>
        <v>10866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0.50555555555555554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133</v>
      </c>
      <c r="D11" s="52" t="s">
        <v>122</v>
      </c>
      <c r="E11" s="53" t="s">
        <v>396</v>
      </c>
      <c r="F11" s="30" t="s">
        <v>121</v>
      </c>
      <c r="G11" s="33">
        <v>2</v>
      </c>
      <c r="H11" s="35">
        <v>24</v>
      </c>
      <c r="I11" s="7">
        <v>15000</v>
      </c>
      <c r="J11" s="14">
        <v>9704</v>
      </c>
      <c r="K11" s="15">
        <f>L11</f>
        <v>9704</v>
      </c>
      <c r="L11" s="15">
        <f>2061*2+2791*2</f>
        <v>9704</v>
      </c>
      <c r="M11" s="15">
        <f t="shared" si="1"/>
        <v>9704</v>
      </c>
      <c r="N11" s="15">
        <v>0</v>
      </c>
      <c r="O11" s="58">
        <f t="shared" si="2"/>
        <v>0</v>
      </c>
      <c r="P11" s="39">
        <f t="shared" si="3"/>
        <v>23</v>
      </c>
      <c r="Q11" s="40">
        <f t="shared" si="4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0.95833333333333337</v>
      </c>
      <c r="AD11" s="10">
        <f t="shared" ref="AD11" si="10">AC11*AB11*(1-O11)</f>
        <v>0.95833333333333337</v>
      </c>
      <c r="AE11" s="36">
        <f t="shared" si="8"/>
        <v>0.50555555555555554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3511</v>
      </c>
      <c r="K12" s="15">
        <f>L12+3015+1279+2974+4822+1084+3847+1268+867+2160+1718+2836+3448</f>
        <v>32829</v>
      </c>
      <c r="L12" s="15">
        <f>2500+1011</f>
        <v>3511</v>
      </c>
      <c r="M12" s="15">
        <f t="shared" si="1"/>
        <v>3511</v>
      </c>
      <c r="N12" s="15">
        <v>0</v>
      </c>
      <c r="O12" s="58">
        <f t="shared" si="2"/>
        <v>0</v>
      </c>
      <c r="P12" s="39">
        <f t="shared" si="3"/>
        <v>19</v>
      </c>
      <c r="Q12" s="40">
        <f t="shared" si="4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0.79166666666666663</v>
      </c>
      <c r="AD12" s="10">
        <f t="shared" si="7"/>
        <v>0.79166666666666663</v>
      </c>
      <c r="AE12" s="36">
        <f t="shared" si="8"/>
        <v>0.50555555555555554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117</v>
      </c>
      <c r="E13" s="53" t="s">
        <v>309</v>
      </c>
      <c r="F13" s="30" t="s">
        <v>121</v>
      </c>
      <c r="G13" s="33">
        <v>1</v>
      </c>
      <c r="H13" s="35">
        <v>24</v>
      </c>
      <c r="I13" s="7">
        <v>2500</v>
      </c>
      <c r="J13" s="14">
        <v>3711</v>
      </c>
      <c r="K13" s="15">
        <f>L13+963+686</f>
        <v>5360</v>
      </c>
      <c r="L13" s="15">
        <f>2546+1165</f>
        <v>3711</v>
      </c>
      <c r="M13" s="15">
        <f t="shared" si="1"/>
        <v>3711</v>
      </c>
      <c r="N13" s="15">
        <v>0</v>
      </c>
      <c r="O13" s="58">
        <f t="shared" si="2"/>
        <v>0</v>
      </c>
      <c r="P13" s="39">
        <f t="shared" si="3"/>
        <v>19</v>
      </c>
      <c r="Q13" s="40">
        <f t="shared" si="4"/>
        <v>5</v>
      </c>
      <c r="R13" s="7"/>
      <c r="S13" s="6">
        <v>5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0.79166666666666663</v>
      </c>
      <c r="AD13" s="10">
        <f t="shared" si="7"/>
        <v>0.79166666666666663</v>
      </c>
      <c r="AE13" s="36">
        <f t="shared" si="8"/>
        <v>0.50555555555555554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196</v>
      </c>
      <c r="E14" s="53" t="s">
        <v>189</v>
      </c>
      <c r="F14" s="30" t="s">
        <v>197</v>
      </c>
      <c r="G14" s="12">
        <v>1</v>
      </c>
      <c r="H14" s="13">
        <v>28</v>
      </c>
      <c r="I14" s="7">
        <v>2000</v>
      </c>
      <c r="J14" s="5">
        <v>1045</v>
      </c>
      <c r="K14" s="15">
        <f>L14+620+500+1045</f>
        <v>2165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0.50555555555555554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156</v>
      </c>
      <c r="D15" s="52"/>
      <c r="E15" s="53" t="s">
        <v>157</v>
      </c>
      <c r="F15" s="12" t="s">
        <v>158</v>
      </c>
      <c r="G15" s="12">
        <v>8</v>
      </c>
      <c r="H15" s="13">
        <v>24</v>
      </c>
      <c r="I15" s="31">
        <v>10000</v>
      </c>
      <c r="J15" s="14">
        <v>7008</v>
      </c>
      <c r="K15" s="15">
        <f>L15+17192+7008</f>
        <v>24200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0.50555555555555554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128</v>
      </c>
      <c r="E16" s="53" t="s">
        <v>150</v>
      </c>
      <c r="F16" s="30" t="s">
        <v>129</v>
      </c>
      <c r="G16" s="12">
        <v>1</v>
      </c>
      <c r="H16" s="13">
        <v>28</v>
      </c>
      <c r="I16" s="7">
        <v>9000</v>
      </c>
      <c r="J16" s="14">
        <v>4928</v>
      </c>
      <c r="K16" s="15">
        <f>L16+5027+5503+5566+4928</f>
        <v>21024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0.50555555555555554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114</v>
      </c>
      <c r="D17" s="52" t="s">
        <v>404</v>
      </c>
      <c r="E17" s="53" t="s">
        <v>405</v>
      </c>
      <c r="F17" s="30" t="s">
        <v>406</v>
      </c>
      <c r="G17" s="33">
        <v>2</v>
      </c>
      <c r="H17" s="35">
        <v>20</v>
      </c>
      <c r="I17" s="7">
        <v>5000</v>
      </c>
      <c r="J17" s="14">
        <v>5368</v>
      </c>
      <c r="K17" s="15">
        <f>L17</f>
        <v>5368</v>
      </c>
      <c r="L17" s="15">
        <f>2684*2</f>
        <v>5368</v>
      </c>
      <c r="M17" s="15">
        <f t="shared" si="1"/>
        <v>5368</v>
      </c>
      <c r="N17" s="15">
        <v>0</v>
      </c>
      <c r="O17" s="58">
        <f t="shared" si="2"/>
        <v>0</v>
      </c>
      <c r="P17" s="39">
        <f t="shared" si="3"/>
        <v>14</v>
      </c>
      <c r="Q17" s="40">
        <f t="shared" si="4"/>
        <v>10</v>
      </c>
      <c r="R17" s="7"/>
      <c r="S17" s="6"/>
      <c r="T17" s="16"/>
      <c r="U17" s="16"/>
      <c r="V17" s="17">
        <v>10</v>
      </c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0.58333333333333337</v>
      </c>
      <c r="AD17" s="10">
        <f t="shared" si="7"/>
        <v>0.58333333333333337</v>
      </c>
      <c r="AE17" s="36">
        <f t="shared" si="8"/>
        <v>0.50555555555555554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117</v>
      </c>
      <c r="E18" s="53" t="s">
        <v>407</v>
      </c>
      <c r="F18" s="30" t="s">
        <v>129</v>
      </c>
      <c r="G18" s="33">
        <v>1</v>
      </c>
      <c r="H18" s="35">
        <v>24</v>
      </c>
      <c r="I18" s="7">
        <v>2000</v>
      </c>
      <c r="J18" s="5">
        <v>2150</v>
      </c>
      <c r="K18" s="15">
        <f>L18</f>
        <v>2150</v>
      </c>
      <c r="L18" s="15">
        <f>2150</f>
        <v>2150</v>
      </c>
      <c r="M18" s="15">
        <f t="shared" si="1"/>
        <v>2150</v>
      </c>
      <c r="N18" s="15">
        <v>0</v>
      </c>
      <c r="O18" s="58">
        <f t="shared" si="2"/>
        <v>0</v>
      </c>
      <c r="P18" s="39">
        <f t="shared" si="3"/>
        <v>14</v>
      </c>
      <c r="Q18" s="40">
        <f t="shared" si="4"/>
        <v>10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10</v>
      </c>
      <c r="AB18" s="8">
        <f t="shared" si="5"/>
        <v>1</v>
      </c>
      <c r="AC18" s="9">
        <f t="shared" si="6"/>
        <v>0.58333333333333337</v>
      </c>
      <c r="AD18" s="10">
        <f>AC18*AB18*(1-O18)</f>
        <v>0.58333333333333337</v>
      </c>
      <c r="AE18" s="36">
        <f t="shared" si="8"/>
        <v>0.50555555555555554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318</v>
      </c>
      <c r="F19" s="30" t="s">
        <v>212</v>
      </c>
      <c r="G19" s="33">
        <v>1</v>
      </c>
      <c r="H19" s="35">
        <v>24</v>
      </c>
      <c r="I19" s="7">
        <v>25000</v>
      </c>
      <c r="J19" s="14">
        <v>5269</v>
      </c>
      <c r="K19" s="15">
        <f>L19+3185+1351+2264+2350+5185+5271</f>
        <v>24875</v>
      </c>
      <c r="L19" s="15">
        <f>2545+2724</f>
        <v>5269</v>
      </c>
      <c r="M19" s="15">
        <f t="shared" si="1"/>
        <v>5269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:AD20" si="11">AC19*AB19*(1-O19)</f>
        <v>1</v>
      </c>
      <c r="AE19" s="36">
        <f t="shared" si="8"/>
        <v>0.50555555555555554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152</v>
      </c>
      <c r="F20" s="12" t="s">
        <v>116</v>
      </c>
      <c r="G20" s="12">
        <v>3</v>
      </c>
      <c r="H20" s="35">
        <v>20</v>
      </c>
      <c r="I20" s="7">
        <v>300000</v>
      </c>
      <c r="J20" s="14">
        <v>25017</v>
      </c>
      <c r="K20" s="15">
        <f>L20+54642+62589+25017</f>
        <v>142248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11"/>
        <v>0</v>
      </c>
      <c r="AE20" s="36">
        <f t="shared" si="8"/>
        <v>0.50555555555555554</v>
      </c>
      <c r="AF20" s="87">
        <f t="shared" si="9"/>
        <v>15</v>
      </c>
    </row>
    <row r="21" spans="1:32" ht="31.5" customHeight="1" thickBot="1">
      <c r="A21" s="437" t="s">
        <v>34</v>
      </c>
      <c r="B21" s="438"/>
      <c r="C21" s="438"/>
      <c r="D21" s="438"/>
      <c r="E21" s="438"/>
      <c r="F21" s="438"/>
      <c r="G21" s="438"/>
      <c r="H21" s="439"/>
      <c r="I21" s="22">
        <f t="shared" ref="I21:N21" si="12">SUM(I6:I20)</f>
        <v>571500</v>
      </c>
      <c r="J21" s="19">
        <f t="shared" si="12"/>
        <v>89847</v>
      </c>
      <c r="K21" s="20">
        <f t="shared" si="12"/>
        <v>341152</v>
      </c>
      <c r="L21" s="21">
        <f t="shared" si="12"/>
        <v>49788</v>
      </c>
      <c r="M21" s="20">
        <f t="shared" si="12"/>
        <v>49788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182</v>
      </c>
      <c r="Q21" s="43">
        <f t="shared" si="13"/>
        <v>178</v>
      </c>
      <c r="R21" s="23">
        <f t="shared" si="13"/>
        <v>48</v>
      </c>
      <c r="S21" s="24">
        <f t="shared" si="13"/>
        <v>37</v>
      </c>
      <c r="T21" s="24">
        <f t="shared" si="13"/>
        <v>1</v>
      </c>
      <c r="U21" s="24">
        <f t="shared" si="13"/>
        <v>0</v>
      </c>
      <c r="V21" s="25">
        <f t="shared" si="13"/>
        <v>34</v>
      </c>
      <c r="W21" s="26">
        <f t="shared" si="13"/>
        <v>48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10</v>
      </c>
      <c r="AB21" s="28">
        <f>SUM(AB6:AB20)/15</f>
        <v>0.6</v>
      </c>
      <c r="AC21" s="4">
        <f>SUM(AC6:AC20)/15</f>
        <v>0.50555555555555554</v>
      </c>
      <c r="AD21" s="4">
        <f>SUM(AD6:AD20)/15</f>
        <v>0.50555555555555554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40" t="s">
        <v>45</v>
      </c>
      <c r="B48" s="440"/>
      <c r="C48" s="440"/>
      <c r="D48" s="440"/>
      <c r="E48" s="44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41" t="s">
        <v>408</v>
      </c>
      <c r="B49" s="442"/>
      <c r="C49" s="442"/>
      <c r="D49" s="442"/>
      <c r="E49" s="442"/>
      <c r="F49" s="442"/>
      <c r="G49" s="442"/>
      <c r="H49" s="442"/>
      <c r="I49" s="442"/>
      <c r="J49" s="442"/>
      <c r="K49" s="442"/>
      <c r="L49" s="442"/>
      <c r="M49" s="443"/>
      <c r="N49" s="444" t="s">
        <v>411</v>
      </c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6"/>
    </row>
    <row r="50" spans="1:32" ht="27" customHeight="1">
      <c r="A50" s="447" t="s">
        <v>2</v>
      </c>
      <c r="B50" s="448"/>
      <c r="C50" s="269" t="s">
        <v>46</v>
      </c>
      <c r="D50" s="269" t="s">
        <v>47</v>
      </c>
      <c r="E50" s="269" t="s">
        <v>108</v>
      </c>
      <c r="F50" s="448" t="s">
        <v>107</v>
      </c>
      <c r="G50" s="448"/>
      <c r="H50" s="448"/>
      <c r="I50" s="448"/>
      <c r="J50" s="448"/>
      <c r="K50" s="448"/>
      <c r="L50" s="448"/>
      <c r="M50" s="449"/>
      <c r="N50" s="67" t="s">
        <v>112</v>
      </c>
      <c r="O50" s="269" t="s">
        <v>46</v>
      </c>
      <c r="P50" s="450" t="s">
        <v>47</v>
      </c>
      <c r="Q50" s="451"/>
      <c r="R50" s="450" t="s">
        <v>38</v>
      </c>
      <c r="S50" s="452"/>
      <c r="T50" s="452"/>
      <c r="U50" s="451"/>
      <c r="V50" s="450" t="s">
        <v>48</v>
      </c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19" t="s">
        <v>124</v>
      </c>
      <c r="B51" s="420"/>
      <c r="C51" s="267" t="s">
        <v>139</v>
      </c>
      <c r="D51" s="267" t="s">
        <v>117</v>
      </c>
      <c r="E51" s="267" t="s">
        <v>168</v>
      </c>
      <c r="F51" s="421" t="s">
        <v>126</v>
      </c>
      <c r="G51" s="422"/>
      <c r="H51" s="422"/>
      <c r="I51" s="422"/>
      <c r="J51" s="422"/>
      <c r="K51" s="422"/>
      <c r="L51" s="422"/>
      <c r="M51" s="423"/>
      <c r="N51" s="266" t="s">
        <v>114</v>
      </c>
      <c r="O51" s="264" t="s">
        <v>180</v>
      </c>
      <c r="P51" s="433" t="s">
        <v>117</v>
      </c>
      <c r="Q51" s="434"/>
      <c r="R51" s="420" t="s">
        <v>412</v>
      </c>
      <c r="S51" s="420"/>
      <c r="T51" s="420"/>
      <c r="U51" s="420"/>
      <c r="V51" s="410" t="s">
        <v>126</v>
      </c>
      <c r="W51" s="410"/>
      <c r="X51" s="410"/>
      <c r="Y51" s="410"/>
      <c r="Z51" s="410"/>
      <c r="AA51" s="410"/>
      <c r="AB51" s="410"/>
      <c r="AC51" s="410"/>
      <c r="AD51" s="424"/>
    </row>
    <row r="52" spans="1:32" ht="27" customHeight="1">
      <c r="A52" s="419" t="s">
        <v>124</v>
      </c>
      <c r="B52" s="420"/>
      <c r="C52" s="267" t="s">
        <v>131</v>
      </c>
      <c r="D52" s="267" t="s">
        <v>154</v>
      </c>
      <c r="E52" s="267" t="s">
        <v>160</v>
      </c>
      <c r="F52" s="421" t="s">
        <v>120</v>
      </c>
      <c r="G52" s="422"/>
      <c r="H52" s="422"/>
      <c r="I52" s="422"/>
      <c r="J52" s="422"/>
      <c r="K52" s="422"/>
      <c r="L52" s="422"/>
      <c r="M52" s="423"/>
      <c r="N52" s="266" t="s">
        <v>114</v>
      </c>
      <c r="O52" s="264" t="s">
        <v>180</v>
      </c>
      <c r="P52" s="433" t="s">
        <v>122</v>
      </c>
      <c r="Q52" s="434"/>
      <c r="R52" s="420" t="s">
        <v>413</v>
      </c>
      <c r="S52" s="420"/>
      <c r="T52" s="420"/>
      <c r="U52" s="420"/>
      <c r="V52" s="410" t="s">
        <v>120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114</v>
      </c>
      <c r="B53" s="420"/>
      <c r="C53" s="267" t="s">
        <v>143</v>
      </c>
      <c r="D53" s="267" t="s">
        <v>117</v>
      </c>
      <c r="E53" s="267" t="s">
        <v>309</v>
      </c>
      <c r="F53" s="421" t="s">
        <v>409</v>
      </c>
      <c r="G53" s="422"/>
      <c r="H53" s="422"/>
      <c r="I53" s="422"/>
      <c r="J53" s="422"/>
      <c r="K53" s="422"/>
      <c r="L53" s="422"/>
      <c r="M53" s="423"/>
      <c r="N53" s="266" t="s">
        <v>114</v>
      </c>
      <c r="O53" s="264" t="s">
        <v>143</v>
      </c>
      <c r="P53" s="433" t="s">
        <v>248</v>
      </c>
      <c r="Q53" s="434"/>
      <c r="R53" s="420" t="s">
        <v>414</v>
      </c>
      <c r="S53" s="420"/>
      <c r="T53" s="420"/>
      <c r="U53" s="420"/>
      <c r="V53" s="410" t="s">
        <v>120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267" t="s">
        <v>184</v>
      </c>
      <c r="D54" s="267" t="s">
        <v>148</v>
      </c>
      <c r="E54" s="267" t="s">
        <v>191</v>
      </c>
      <c r="F54" s="421" t="s">
        <v>126</v>
      </c>
      <c r="G54" s="422"/>
      <c r="H54" s="422"/>
      <c r="I54" s="422"/>
      <c r="J54" s="422"/>
      <c r="K54" s="422"/>
      <c r="L54" s="422"/>
      <c r="M54" s="423"/>
      <c r="N54" s="266"/>
      <c r="O54" s="264"/>
      <c r="P54" s="433"/>
      <c r="Q54" s="434"/>
      <c r="R54" s="420"/>
      <c r="S54" s="420"/>
      <c r="T54" s="420"/>
      <c r="U54" s="420"/>
      <c r="V54" s="410"/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133</v>
      </c>
      <c r="B55" s="420"/>
      <c r="C55" s="267" t="s">
        <v>200</v>
      </c>
      <c r="D55" s="267" t="s">
        <v>122</v>
      </c>
      <c r="E55" s="267" t="s">
        <v>410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266"/>
      <c r="O55" s="264"/>
      <c r="P55" s="433"/>
      <c r="Q55" s="434"/>
      <c r="R55" s="420"/>
      <c r="S55" s="420"/>
      <c r="T55" s="420"/>
      <c r="U55" s="420"/>
      <c r="V55" s="410"/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114</v>
      </c>
      <c r="B56" s="420"/>
      <c r="C56" s="267" t="s">
        <v>180</v>
      </c>
      <c r="D56" s="267" t="s">
        <v>117</v>
      </c>
      <c r="E56" s="267" t="s">
        <v>407</v>
      </c>
      <c r="F56" s="421" t="s">
        <v>120</v>
      </c>
      <c r="G56" s="422"/>
      <c r="H56" s="422"/>
      <c r="I56" s="422"/>
      <c r="J56" s="422"/>
      <c r="K56" s="422"/>
      <c r="L56" s="422"/>
      <c r="M56" s="423"/>
      <c r="N56" s="266"/>
      <c r="O56" s="264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67"/>
      <c r="D57" s="267"/>
      <c r="E57" s="267"/>
      <c r="F57" s="421"/>
      <c r="G57" s="422"/>
      <c r="H57" s="422"/>
      <c r="I57" s="422"/>
      <c r="J57" s="422"/>
      <c r="K57" s="422"/>
      <c r="L57" s="422"/>
      <c r="M57" s="423"/>
      <c r="N57" s="266"/>
      <c r="O57" s="264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67"/>
      <c r="D58" s="267"/>
      <c r="E58" s="267"/>
      <c r="F58" s="421"/>
      <c r="G58" s="422"/>
      <c r="H58" s="422"/>
      <c r="I58" s="422"/>
      <c r="J58" s="422"/>
      <c r="K58" s="422"/>
      <c r="L58" s="422"/>
      <c r="M58" s="423"/>
      <c r="N58" s="266"/>
      <c r="O58" s="264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67"/>
      <c r="D59" s="267"/>
      <c r="E59" s="267"/>
      <c r="F59" s="421"/>
      <c r="G59" s="422"/>
      <c r="H59" s="422"/>
      <c r="I59" s="422"/>
      <c r="J59" s="422"/>
      <c r="K59" s="422"/>
      <c r="L59" s="422"/>
      <c r="M59" s="423"/>
      <c r="N59" s="266"/>
      <c r="O59" s="264"/>
      <c r="P59" s="420"/>
      <c r="Q59" s="420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  <c r="AF59" s="87">
        <f>8*3000</f>
        <v>24000</v>
      </c>
    </row>
    <row r="60" spans="1:32" ht="27" customHeight="1" thickBot="1">
      <c r="A60" s="425"/>
      <c r="B60" s="426"/>
      <c r="C60" s="268"/>
      <c r="D60" s="268"/>
      <c r="E60" s="268"/>
      <c r="F60" s="427"/>
      <c r="G60" s="428"/>
      <c r="H60" s="428"/>
      <c r="I60" s="428"/>
      <c r="J60" s="428"/>
      <c r="K60" s="428"/>
      <c r="L60" s="428"/>
      <c r="M60" s="429"/>
      <c r="N60" s="124"/>
      <c r="O60" s="114"/>
      <c r="P60" s="430"/>
      <c r="Q60" s="430"/>
      <c r="R60" s="430"/>
      <c r="S60" s="430"/>
      <c r="T60" s="430"/>
      <c r="U60" s="430"/>
      <c r="V60" s="431"/>
      <c r="W60" s="431"/>
      <c r="X60" s="431"/>
      <c r="Y60" s="431"/>
      <c r="Z60" s="431"/>
      <c r="AA60" s="431"/>
      <c r="AB60" s="431"/>
      <c r="AC60" s="431"/>
      <c r="AD60" s="432"/>
      <c r="AF60" s="87">
        <f>16*3000</f>
        <v>48000</v>
      </c>
    </row>
    <row r="61" spans="1:32" ht="27.75" thickBot="1">
      <c r="A61" s="417" t="s">
        <v>415</v>
      </c>
      <c r="B61" s="417"/>
      <c r="C61" s="417"/>
      <c r="D61" s="417"/>
      <c r="E61" s="41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18" t="s">
        <v>113</v>
      </c>
      <c r="B62" s="415"/>
      <c r="C62" s="265" t="s">
        <v>2</v>
      </c>
      <c r="D62" s="265" t="s">
        <v>37</v>
      </c>
      <c r="E62" s="265" t="s">
        <v>3</v>
      </c>
      <c r="F62" s="415" t="s">
        <v>110</v>
      </c>
      <c r="G62" s="415"/>
      <c r="H62" s="415"/>
      <c r="I62" s="415"/>
      <c r="J62" s="415"/>
      <c r="K62" s="415" t="s">
        <v>39</v>
      </c>
      <c r="L62" s="415"/>
      <c r="M62" s="265" t="s">
        <v>40</v>
      </c>
      <c r="N62" s="415" t="s">
        <v>41</v>
      </c>
      <c r="O62" s="415"/>
      <c r="P62" s="412" t="s">
        <v>42</v>
      </c>
      <c r="Q62" s="414"/>
      <c r="R62" s="412" t="s">
        <v>43</v>
      </c>
      <c r="S62" s="413"/>
      <c r="T62" s="413"/>
      <c r="U62" s="413"/>
      <c r="V62" s="413"/>
      <c r="W62" s="413"/>
      <c r="X62" s="413"/>
      <c r="Y62" s="413"/>
      <c r="Z62" s="413"/>
      <c r="AA62" s="414"/>
      <c r="AB62" s="415" t="s">
        <v>44</v>
      </c>
      <c r="AC62" s="415"/>
      <c r="AD62" s="416"/>
      <c r="AF62" s="87">
        <f>SUM(AF59:AF61)</f>
        <v>96000</v>
      </c>
    </row>
    <row r="63" spans="1:32" ht="25.5" customHeight="1">
      <c r="A63" s="406">
        <v>1</v>
      </c>
      <c r="B63" s="407"/>
      <c r="C63" s="117" t="s">
        <v>114</v>
      </c>
      <c r="D63" s="260"/>
      <c r="E63" s="263" t="s">
        <v>192</v>
      </c>
      <c r="F63" s="408" t="s">
        <v>416</v>
      </c>
      <c r="G63" s="400"/>
      <c r="H63" s="400"/>
      <c r="I63" s="400"/>
      <c r="J63" s="400"/>
      <c r="K63" s="400" t="s">
        <v>314</v>
      </c>
      <c r="L63" s="400"/>
      <c r="M63" s="51" t="s">
        <v>240</v>
      </c>
      <c r="N63" s="411" t="s">
        <v>135</v>
      </c>
      <c r="O63" s="411"/>
      <c r="P63" s="409">
        <v>50</v>
      </c>
      <c r="Q63" s="409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00"/>
      <c r="AC63" s="400"/>
      <c r="AD63" s="401"/>
      <c r="AF63" s="50"/>
    </row>
    <row r="64" spans="1:32" ht="25.5" customHeight="1">
      <c r="A64" s="406">
        <v>2</v>
      </c>
      <c r="B64" s="407"/>
      <c r="C64" s="117" t="s">
        <v>114</v>
      </c>
      <c r="D64" s="260"/>
      <c r="E64" s="263" t="s">
        <v>117</v>
      </c>
      <c r="F64" s="408" t="s">
        <v>398</v>
      </c>
      <c r="G64" s="400"/>
      <c r="H64" s="400"/>
      <c r="I64" s="400"/>
      <c r="J64" s="400"/>
      <c r="K64" s="400" t="s">
        <v>127</v>
      </c>
      <c r="L64" s="400"/>
      <c r="M64" s="51" t="s">
        <v>327</v>
      </c>
      <c r="N64" s="411" t="s">
        <v>180</v>
      </c>
      <c r="O64" s="411"/>
      <c r="P64" s="409"/>
      <c r="Q64" s="409"/>
      <c r="R64" s="410" t="s">
        <v>399</v>
      </c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3</v>
      </c>
      <c r="B65" s="407"/>
      <c r="C65" s="117"/>
      <c r="D65" s="260"/>
      <c r="E65" s="263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4</v>
      </c>
      <c r="B66" s="407"/>
      <c r="C66" s="117"/>
      <c r="D66" s="260"/>
      <c r="E66" s="263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5</v>
      </c>
      <c r="B67" s="407"/>
      <c r="C67" s="117"/>
      <c r="D67" s="260"/>
      <c r="E67" s="263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6</v>
      </c>
      <c r="B68" s="407"/>
      <c r="C68" s="117"/>
      <c r="D68" s="260"/>
      <c r="E68" s="263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7</v>
      </c>
      <c r="B69" s="407"/>
      <c r="C69" s="117"/>
      <c r="D69" s="260"/>
      <c r="E69" s="263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8</v>
      </c>
      <c r="B70" s="407"/>
      <c r="C70" s="117"/>
      <c r="D70" s="260"/>
      <c r="E70" s="263"/>
      <c r="F70" s="408"/>
      <c r="G70" s="400"/>
      <c r="H70" s="400"/>
      <c r="I70" s="400"/>
      <c r="J70" s="400"/>
      <c r="K70" s="400"/>
      <c r="L70" s="400"/>
      <c r="M70" s="51"/>
      <c r="N70" s="400"/>
      <c r="O70" s="400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6.25" customHeight="1" thickBot="1">
      <c r="A71" s="380" t="s">
        <v>417</v>
      </c>
      <c r="B71" s="380"/>
      <c r="C71" s="380"/>
      <c r="D71" s="380"/>
      <c r="E71" s="380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381" t="s">
        <v>113</v>
      </c>
      <c r="B72" s="382"/>
      <c r="C72" s="262" t="s">
        <v>2</v>
      </c>
      <c r="D72" s="262" t="s">
        <v>37</v>
      </c>
      <c r="E72" s="262" t="s">
        <v>3</v>
      </c>
      <c r="F72" s="382" t="s">
        <v>38</v>
      </c>
      <c r="G72" s="382"/>
      <c r="H72" s="382"/>
      <c r="I72" s="382"/>
      <c r="J72" s="382"/>
      <c r="K72" s="402" t="s">
        <v>58</v>
      </c>
      <c r="L72" s="403"/>
      <c r="M72" s="403"/>
      <c r="N72" s="403"/>
      <c r="O72" s="403"/>
      <c r="P72" s="403"/>
      <c r="Q72" s="403"/>
      <c r="R72" s="403"/>
      <c r="S72" s="404"/>
      <c r="T72" s="382" t="s">
        <v>49</v>
      </c>
      <c r="U72" s="382"/>
      <c r="V72" s="402" t="s">
        <v>50</v>
      </c>
      <c r="W72" s="404"/>
      <c r="X72" s="403" t="s">
        <v>51</v>
      </c>
      <c r="Y72" s="403"/>
      <c r="Z72" s="403"/>
      <c r="AA72" s="403"/>
      <c r="AB72" s="403"/>
      <c r="AC72" s="403"/>
      <c r="AD72" s="405"/>
      <c r="AF72" s="50"/>
    </row>
    <row r="73" spans="1:32" ht="33.75" customHeight="1">
      <c r="A73" s="374">
        <v>1</v>
      </c>
      <c r="B73" s="375"/>
      <c r="C73" s="261" t="s">
        <v>114</v>
      </c>
      <c r="D73" s="261"/>
      <c r="E73" s="65" t="s">
        <v>119</v>
      </c>
      <c r="F73" s="389" t="s">
        <v>118</v>
      </c>
      <c r="G73" s="390"/>
      <c r="H73" s="390"/>
      <c r="I73" s="390"/>
      <c r="J73" s="391"/>
      <c r="K73" s="392" t="s">
        <v>137</v>
      </c>
      <c r="L73" s="393"/>
      <c r="M73" s="393"/>
      <c r="N73" s="393"/>
      <c r="O73" s="393"/>
      <c r="P73" s="393"/>
      <c r="Q73" s="393"/>
      <c r="R73" s="393"/>
      <c r="S73" s="394"/>
      <c r="T73" s="395">
        <v>43675</v>
      </c>
      <c r="U73" s="396"/>
      <c r="V73" s="397"/>
      <c r="W73" s="397"/>
      <c r="X73" s="398"/>
      <c r="Y73" s="398"/>
      <c r="Z73" s="398"/>
      <c r="AA73" s="398"/>
      <c r="AB73" s="398"/>
      <c r="AC73" s="398"/>
      <c r="AD73" s="399"/>
      <c r="AF73" s="50"/>
    </row>
    <row r="74" spans="1:32" ht="30" customHeight="1">
      <c r="A74" s="367">
        <f>A73+1</f>
        <v>2</v>
      </c>
      <c r="B74" s="368"/>
      <c r="C74" s="260"/>
      <c r="D74" s="260"/>
      <c r="E74" s="32"/>
      <c r="F74" s="368"/>
      <c r="G74" s="368"/>
      <c r="H74" s="368"/>
      <c r="I74" s="368"/>
      <c r="J74" s="368"/>
      <c r="K74" s="383"/>
      <c r="L74" s="384"/>
      <c r="M74" s="384"/>
      <c r="N74" s="384"/>
      <c r="O74" s="384"/>
      <c r="P74" s="384"/>
      <c r="Q74" s="384"/>
      <c r="R74" s="384"/>
      <c r="S74" s="385"/>
      <c r="T74" s="386"/>
      <c r="U74" s="386"/>
      <c r="V74" s="386"/>
      <c r="W74" s="386"/>
      <c r="X74" s="387"/>
      <c r="Y74" s="387"/>
      <c r="Z74" s="387"/>
      <c r="AA74" s="387"/>
      <c r="AB74" s="387"/>
      <c r="AC74" s="387"/>
      <c r="AD74" s="388"/>
      <c r="AF74" s="50"/>
    </row>
    <row r="75" spans="1:32" ht="30" customHeight="1">
      <c r="A75" s="367">
        <f t="shared" ref="A75:A81" si="14">A74+1</f>
        <v>3</v>
      </c>
      <c r="B75" s="368"/>
      <c r="C75" s="260"/>
      <c r="D75" s="260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si="14"/>
        <v>4</v>
      </c>
      <c r="B76" s="368"/>
      <c r="C76" s="260"/>
      <c r="D76" s="260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5</v>
      </c>
      <c r="B77" s="368"/>
      <c r="C77" s="260"/>
      <c r="D77" s="260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6</v>
      </c>
      <c r="B78" s="368"/>
      <c r="C78" s="260"/>
      <c r="D78" s="260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7</v>
      </c>
      <c r="B79" s="368"/>
      <c r="C79" s="260"/>
      <c r="D79" s="260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8</v>
      </c>
      <c r="B80" s="368"/>
      <c r="C80" s="260"/>
      <c r="D80" s="260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9</v>
      </c>
      <c r="B81" s="368"/>
      <c r="C81" s="260"/>
      <c r="D81" s="260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6" thickBot="1">
      <c r="A82" s="380" t="s">
        <v>418</v>
      </c>
      <c r="B82" s="380"/>
      <c r="C82" s="380"/>
      <c r="D82" s="380"/>
      <c r="E82" s="380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381" t="s">
        <v>113</v>
      </c>
      <c r="B83" s="382"/>
      <c r="C83" s="372" t="s">
        <v>52</v>
      </c>
      <c r="D83" s="372"/>
      <c r="E83" s="372" t="s">
        <v>53</v>
      </c>
      <c r="F83" s="372"/>
      <c r="G83" s="372"/>
      <c r="H83" s="372"/>
      <c r="I83" s="372"/>
      <c r="J83" s="372"/>
      <c r="K83" s="372" t="s">
        <v>54</v>
      </c>
      <c r="L83" s="372"/>
      <c r="M83" s="372"/>
      <c r="N83" s="372"/>
      <c r="O83" s="372"/>
      <c r="P83" s="372"/>
      <c r="Q83" s="372"/>
      <c r="R83" s="372"/>
      <c r="S83" s="372"/>
      <c r="T83" s="372" t="s">
        <v>55</v>
      </c>
      <c r="U83" s="372"/>
      <c r="V83" s="372" t="s">
        <v>56</v>
      </c>
      <c r="W83" s="372"/>
      <c r="X83" s="372"/>
      <c r="Y83" s="372" t="s">
        <v>51</v>
      </c>
      <c r="Z83" s="372"/>
      <c r="AA83" s="372"/>
      <c r="AB83" s="372"/>
      <c r="AC83" s="372"/>
      <c r="AD83" s="373"/>
      <c r="AF83" s="50"/>
    </row>
    <row r="84" spans="1:32" ht="30.75" customHeight="1">
      <c r="A84" s="374">
        <v>1</v>
      </c>
      <c r="B84" s="375"/>
      <c r="C84" s="376">
        <v>11</v>
      </c>
      <c r="D84" s="376"/>
      <c r="E84" s="376" t="s">
        <v>162</v>
      </c>
      <c r="F84" s="376"/>
      <c r="G84" s="376"/>
      <c r="H84" s="376"/>
      <c r="I84" s="376"/>
      <c r="J84" s="376"/>
      <c r="K84" s="376" t="s">
        <v>163</v>
      </c>
      <c r="L84" s="376"/>
      <c r="M84" s="376"/>
      <c r="N84" s="376"/>
      <c r="O84" s="376"/>
      <c r="P84" s="376"/>
      <c r="Q84" s="376"/>
      <c r="R84" s="376"/>
      <c r="S84" s="376"/>
      <c r="T84" s="376" t="s">
        <v>164</v>
      </c>
      <c r="U84" s="376"/>
      <c r="V84" s="377">
        <v>700000</v>
      </c>
      <c r="W84" s="377"/>
      <c r="X84" s="377"/>
      <c r="Y84" s="378"/>
      <c r="Z84" s="378"/>
      <c r="AA84" s="378"/>
      <c r="AB84" s="378"/>
      <c r="AC84" s="378"/>
      <c r="AD84" s="379"/>
      <c r="AF84" s="50"/>
    </row>
    <row r="85" spans="1:32" ht="30.75" customHeight="1">
      <c r="A85" s="367">
        <v>2</v>
      </c>
      <c r="B85" s="368"/>
      <c r="C85" s="36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69"/>
      <c r="S85" s="369"/>
      <c r="T85" s="370"/>
      <c r="U85" s="370"/>
      <c r="V85" s="371"/>
      <c r="W85" s="371"/>
      <c r="X85" s="371"/>
      <c r="Y85" s="360"/>
      <c r="Z85" s="360"/>
      <c r="AA85" s="360"/>
      <c r="AB85" s="360"/>
      <c r="AC85" s="360"/>
      <c r="AD85" s="361"/>
      <c r="AF85" s="50"/>
    </row>
    <row r="86" spans="1:32" ht="30.75" customHeight="1" thickBot="1">
      <c r="A86" s="362">
        <v>3</v>
      </c>
      <c r="B86" s="363"/>
      <c r="C86" s="364"/>
      <c r="D86" s="364"/>
      <c r="E86" s="364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5"/>
      <c r="Z86" s="365"/>
      <c r="AA86" s="365"/>
      <c r="AB86" s="365"/>
      <c r="AC86" s="365"/>
      <c r="AD86" s="366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BAE-8F25-478F-9EC4-B5DFF7489C76}">
  <dimension ref="A1:AF90"/>
  <sheetViews>
    <sheetView zoomScale="72" zoomScaleNormal="72" zoomScaleSheetLayoutView="70" workbookViewId="0">
      <selection activeCell="K81" sqref="K81:S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419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71" t="s">
        <v>17</v>
      </c>
      <c r="L5" s="271" t="s">
        <v>18</v>
      </c>
      <c r="M5" s="271" t="s">
        <v>19</v>
      </c>
      <c r="N5" s="27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4" si="1">L6-N6</f>
        <v>0</v>
      </c>
      <c r="N6" s="15">
        <v>0</v>
      </c>
      <c r="O6" s="58" t="str">
        <f t="shared" ref="O6:O25" si="2">IF(L6=0,"0",N6/L6)</f>
        <v>0</v>
      </c>
      <c r="P6" s="39" t="str">
        <f t="shared" ref="P6:P24" si="3">IF(L6=0,"0",(24-Q6))</f>
        <v>0</v>
      </c>
      <c r="Q6" s="40">
        <f t="shared" ref="Q6:Q24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4" si="5">IF(J6=0,"0",(L6/J6))</f>
        <v>0</v>
      </c>
      <c r="AC6" s="9">
        <f t="shared" ref="AC6:AC24" si="6">IF(P6=0,"0",(P6/24))</f>
        <v>0</v>
      </c>
      <c r="AD6" s="10">
        <f t="shared" ref="AD6:AD18" si="7">AC6*AB6*(1-O6)</f>
        <v>0</v>
      </c>
      <c r="AE6" s="36">
        <f t="shared" ref="AE6:AE24" si="8">$AD$25</f>
        <v>0.54444444444444451</v>
      </c>
      <c r="AF6" s="87">
        <f t="shared" ref="AF6:AF24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0.54444444444444451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30000</v>
      </c>
      <c r="J8" s="14">
        <v>4488</v>
      </c>
      <c r="K8" s="15">
        <f>L8+1722+1917+1867+4092+4437+4478</f>
        <v>23001</v>
      </c>
      <c r="L8" s="15">
        <f>2278+2210</f>
        <v>4488</v>
      </c>
      <c r="M8" s="15">
        <f t="shared" si="1"/>
        <v>4488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0.54444444444444451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3038</v>
      </c>
      <c r="K9" s="15">
        <f>L9+1593+1896+2807+1401+3459+1160+3830+650+1584+2358+4249+584+4731</f>
        <v>33340</v>
      </c>
      <c r="L9" s="15">
        <f>985+2053</f>
        <v>3038</v>
      </c>
      <c r="M9" s="15">
        <f t="shared" si="1"/>
        <v>3038</v>
      </c>
      <c r="N9" s="15">
        <v>0</v>
      </c>
      <c r="O9" s="58">
        <f t="shared" si="2"/>
        <v>0</v>
      </c>
      <c r="P9" s="39">
        <f t="shared" si="3"/>
        <v>14</v>
      </c>
      <c r="Q9" s="40">
        <f t="shared" si="4"/>
        <v>10</v>
      </c>
      <c r="R9" s="7"/>
      <c r="S9" s="6">
        <v>10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0.58333333333333337</v>
      </c>
      <c r="AD9" s="10">
        <f t="shared" si="7"/>
        <v>0.58333333333333337</v>
      </c>
      <c r="AE9" s="36">
        <f t="shared" si="8"/>
        <v>0.54444444444444451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154</v>
      </c>
      <c r="E10" s="53" t="s">
        <v>160</v>
      </c>
      <c r="F10" s="30" t="s">
        <v>127</v>
      </c>
      <c r="G10" s="33">
        <v>2</v>
      </c>
      <c r="H10" s="35">
        <v>24</v>
      </c>
      <c r="I10" s="7">
        <v>50000</v>
      </c>
      <c r="J10" s="5">
        <v>11456</v>
      </c>
      <c r="K10" s="15">
        <f>L10+10866</f>
        <v>22322</v>
      </c>
      <c r="L10" s="15">
        <f>2915*2+2813*2</f>
        <v>11456</v>
      </c>
      <c r="M10" s="15">
        <f t="shared" si="1"/>
        <v>11456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0.54444444444444451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133</v>
      </c>
      <c r="D11" s="52" t="s">
        <v>122</v>
      </c>
      <c r="E11" s="53" t="s">
        <v>396</v>
      </c>
      <c r="F11" s="30" t="s">
        <v>121</v>
      </c>
      <c r="G11" s="33">
        <v>2</v>
      </c>
      <c r="H11" s="35">
        <v>24</v>
      </c>
      <c r="I11" s="7">
        <v>15000</v>
      </c>
      <c r="J11" s="14">
        <v>10038</v>
      </c>
      <c r="K11" s="15">
        <f>L11+9704</f>
        <v>19742</v>
      </c>
      <c r="L11" s="15">
        <f>2398*2+2621*2</f>
        <v>10038</v>
      </c>
      <c r="M11" s="15">
        <f t="shared" si="1"/>
        <v>10038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 t="shared" ref="AD11" si="10">AC11*AB11*(1-O11)</f>
        <v>1</v>
      </c>
      <c r="AE11" s="36">
        <f t="shared" si="8"/>
        <v>0.54444444444444451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168</v>
      </c>
      <c r="F12" s="30" t="s">
        <v>121</v>
      </c>
      <c r="G12" s="33">
        <v>1</v>
      </c>
      <c r="H12" s="35">
        <v>20</v>
      </c>
      <c r="I12" s="7">
        <v>50000</v>
      </c>
      <c r="J12" s="14">
        <v>4955</v>
      </c>
      <c r="K12" s="15">
        <f>L12+3015+1279+2974+4822+1084+3847+1268+867+2160+1718+2836+3448+3511</f>
        <v>37784</v>
      </c>
      <c r="L12" s="15">
        <f>2425+134+2396</f>
        <v>4955</v>
      </c>
      <c r="M12" s="15">
        <f t="shared" si="1"/>
        <v>4955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0.54444444444444451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248</v>
      </c>
      <c r="E13" s="53" t="s">
        <v>414</v>
      </c>
      <c r="F13" s="30" t="s">
        <v>420</v>
      </c>
      <c r="G13" s="33">
        <v>1</v>
      </c>
      <c r="H13" s="35">
        <v>24</v>
      </c>
      <c r="I13" s="7">
        <v>2000</v>
      </c>
      <c r="J13" s="14">
        <v>2132</v>
      </c>
      <c r="K13" s="15">
        <f>L13</f>
        <v>2132</v>
      </c>
      <c r="L13" s="15">
        <v>2132</v>
      </c>
      <c r="M13" s="15">
        <f t="shared" si="1"/>
        <v>2132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si="7"/>
        <v>0.41666666666666669</v>
      </c>
      <c r="AE13" s="36">
        <f t="shared" si="8"/>
        <v>0.54444444444444451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133</v>
      </c>
      <c r="D14" s="52" t="s">
        <v>117</v>
      </c>
      <c r="E14" s="53" t="s">
        <v>239</v>
      </c>
      <c r="F14" s="30" t="s">
        <v>121</v>
      </c>
      <c r="G14" s="33">
        <v>1</v>
      </c>
      <c r="H14" s="35">
        <v>24</v>
      </c>
      <c r="I14" s="7">
        <v>1000</v>
      </c>
      <c r="J14" s="14">
        <v>1778</v>
      </c>
      <c r="K14" s="15">
        <f>L14</f>
        <v>1778</v>
      </c>
      <c r="L14" s="15">
        <v>1778</v>
      </c>
      <c r="M14" s="15">
        <f t="shared" ref="M14" si="11">L14-N14</f>
        <v>1778</v>
      </c>
      <c r="N14" s="15">
        <v>0</v>
      </c>
      <c r="O14" s="58">
        <f t="shared" ref="O14" si="12">IF(L14=0,"0",N14/L14)</f>
        <v>0</v>
      </c>
      <c r="P14" s="39">
        <f t="shared" ref="P14" si="13">IF(L14=0,"0",(24-Q14))</f>
        <v>9</v>
      </c>
      <c r="Q14" s="40">
        <f t="shared" ref="Q14" si="14">SUM(R14:AA14)</f>
        <v>15</v>
      </c>
      <c r="R14" s="7"/>
      <c r="S14" s="6"/>
      <c r="T14" s="16"/>
      <c r="U14" s="16"/>
      <c r="V14" s="17"/>
      <c r="W14" s="5">
        <v>15</v>
      </c>
      <c r="X14" s="16"/>
      <c r="Y14" s="16"/>
      <c r="Z14" s="16"/>
      <c r="AA14" s="18"/>
      <c r="AB14" s="8">
        <f t="shared" ref="AB14" si="15">IF(J14=0,"0",(L14/J14))</f>
        <v>1</v>
      </c>
      <c r="AC14" s="9">
        <f t="shared" ref="AC14" si="16">IF(P14=0,"0",(P14/24))</f>
        <v>0.375</v>
      </c>
      <c r="AD14" s="10">
        <f t="shared" ref="AD14" si="17">AC14*AB14*(1-O14)</f>
        <v>0.375</v>
      </c>
      <c r="AE14" s="36">
        <f t="shared" si="8"/>
        <v>0.54444444444444451</v>
      </c>
      <c r="AF14" s="87">
        <f t="shared" ref="AF14" si="18">A14</f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196</v>
      </c>
      <c r="E15" s="53" t="s">
        <v>189</v>
      </c>
      <c r="F15" s="30" t="s">
        <v>197</v>
      </c>
      <c r="G15" s="12">
        <v>1</v>
      </c>
      <c r="H15" s="13">
        <v>28</v>
      </c>
      <c r="I15" s="7">
        <v>2000</v>
      </c>
      <c r="J15" s="5">
        <v>1045</v>
      </c>
      <c r="K15" s="15">
        <f>L15+620+500+1045</f>
        <v>2165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0.54444444444444451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133</v>
      </c>
      <c r="D16" s="52" t="s">
        <v>242</v>
      </c>
      <c r="E16" s="53" t="s">
        <v>241</v>
      </c>
      <c r="F16" s="12">
        <v>8301</v>
      </c>
      <c r="G16" s="12">
        <v>1</v>
      </c>
      <c r="H16" s="13">
        <v>24</v>
      </c>
      <c r="I16" s="31">
        <v>1000</v>
      </c>
      <c r="J16" s="14">
        <v>1194</v>
      </c>
      <c r="K16" s="15">
        <f>L16</f>
        <v>1194</v>
      </c>
      <c r="L16" s="15">
        <f>1194</f>
        <v>1194</v>
      </c>
      <c r="M16" s="15">
        <f t="shared" si="1"/>
        <v>1194</v>
      </c>
      <c r="N16" s="15">
        <v>0</v>
      </c>
      <c r="O16" s="58">
        <f t="shared" si="2"/>
        <v>0</v>
      </c>
      <c r="P16" s="39">
        <f t="shared" si="3"/>
        <v>8</v>
      </c>
      <c r="Q16" s="40">
        <f t="shared" si="4"/>
        <v>16</v>
      </c>
      <c r="R16" s="7"/>
      <c r="S16" s="6"/>
      <c r="T16" s="16"/>
      <c r="U16" s="16"/>
      <c r="V16" s="17"/>
      <c r="W16" s="5">
        <v>16</v>
      </c>
      <c r="X16" s="16"/>
      <c r="Y16" s="16"/>
      <c r="Z16" s="16"/>
      <c r="AA16" s="18"/>
      <c r="AB16" s="8">
        <f t="shared" si="5"/>
        <v>1</v>
      </c>
      <c r="AC16" s="9">
        <f t="shared" si="6"/>
        <v>0.33333333333333331</v>
      </c>
      <c r="AD16" s="10">
        <f t="shared" si="7"/>
        <v>0.33333333333333331</v>
      </c>
      <c r="AE16" s="36">
        <f t="shared" si="8"/>
        <v>0.54444444444444451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124</v>
      </c>
      <c r="D17" s="52" t="s">
        <v>128</v>
      </c>
      <c r="E17" s="53" t="s">
        <v>150</v>
      </c>
      <c r="F17" s="30" t="s">
        <v>129</v>
      </c>
      <c r="G17" s="12">
        <v>1</v>
      </c>
      <c r="H17" s="13">
        <v>28</v>
      </c>
      <c r="I17" s="7">
        <v>9000</v>
      </c>
      <c r="J17" s="14">
        <v>4928</v>
      </c>
      <c r="K17" s="15">
        <f>L17+5027+5503+5566+4928</f>
        <v>21024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0.54444444444444451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114</v>
      </c>
      <c r="D18" s="52" t="s">
        <v>192</v>
      </c>
      <c r="E18" s="53" t="s">
        <v>421</v>
      </c>
      <c r="F18" s="30" t="s">
        <v>314</v>
      </c>
      <c r="G18" s="33">
        <v>1</v>
      </c>
      <c r="H18" s="35">
        <v>20</v>
      </c>
      <c r="I18" s="7">
        <v>2000</v>
      </c>
      <c r="J18" s="14">
        <v>2084</v>
      </c>
      <c r="K18" s="15">
        <f>L18</f>
        <v>2084</v>
      </c>
      <c r="L18" s="15">
        <v>2084</v>
      </c>
      <c r="M18" s="15">
        <f t="shared" si="1"/>
        <v>2084</v>
      </c>
      <c r="N18" s="15">
        <v>0</v>
      </c>
      <c r="O18" s="58">
        <f t="shared" si="2"/>
        <v>0</v>
      </c>
      <c r="P18" s="39">
        <f t="shared" si="3"/>
        <v>11</v>
      </c>
      <c r="Q18" s="40">
        <f t="shared" si="4"/>
        <v>13</v>
      </c>
      <c r="R18" s="7"/>
      <c r="S18" s="6"/>
      <c r="T18" s="16"/>
      <c r="U18" s="16"/>
      <c r="V18" s="17"/>
      <c r="W18" s="5">
        <v>13</v>
      </c>
      <c r="X18" s="16"/>
      <c r="Y18" s="16"/>
      <c r="Z18" s="16"/>
      <c r="AA18" s="18"/>
      <c r="AB18" s="8">
        <f t="shared" si="5"/>
        <v>1</v>
      </c>
      <c r="AC18" s="9">
        <f t="shared" si="6"/>
        <v>0.45833333333333331</v>
      </c>
      <c r="AD18" s="10">
        <f t="shared" si="7"/>
        <v>0.45833333333333331</v>
      </c>
      <c r="AE18" s="36">
        <f t="shared" si="8"/>
        <v>0.54444444444444451</v>
      </c>
      <c r="AF18" s="87">
        <f t="shared" si="9"/>
        <v>12</v>
      </c>
    </row>
    <row r="19" spans="1:32" ht="27" customHeight="1">
      <c r="A19" s="102">
        <v>12</v>
      </c>
      <c r="B19" s="11" t="s">
        <v>57</v>
      </c>
      <c r="C19" s="11" t="s">
        <v>133</v>
      </c>
      <c r="D19" s="52" t="s">
        <v>128</v>
      </c>
      <c r="E19" s="53" t="s">
        <v>422</v>
      </c>
      <c r="F19" s="30" t="s">
        <v>151</v>
      </c>
      <c r="G19" s="33">
        <v>4</v>
      </c>
      <c r="H19" s="35">
        <v>20</v>
      </c>
      <c r="I19" s="7">
        <v>15000</v>
      </c>
      <c r="J19" s="14">
        <v>10472</v>
      </c>
      <c r="K19" s="15">
        <f>L19</f>
        <v>10472</v>
      </c>
      <c r="L19" s="15">
        <f>2618*4</f>
        <v>10472</v>
      </c>
      <c r="M19" s="15">
        <f t="shared" ref="M19" si="19">L19-N19</f>
        <v>10472</v>
      </c>
      <c r="N19" s="15">
        <v>0</v>
      </c>
      <c r="O19" s="58">
        <f t="shared" ref="O19" si="20">IF(L19=0,"0",N19/L19)</f>
        <v>0</v>
      </c>
      <c r="P19" s="39">
        <f t="shared" ref="P19" si="21">IF(L19=0,"0",(24-Q19))</f>
        <v>10</v>
      </c>
      <c r="Q19" s="40">
        <f t="shared" ref="Q19" si="22">SUM(R19:AA19)</f>
        <v>14</v>
      </c>
      <c r="R19" s="7"/>
      <c r="S19" s="6"/>
      <c r="T19" s="16">
        <v>14</v>
      </c>
      <c r="U19" s="16"/>
      <c r="V19" s="17"/>
      <c r="W19" s="5"/>
      <c r="X19" s="16"/>
      <c r="Y19" s="16"/>
      <c r="Z19" s="16"/>
      <c r="AA19" s="18"/>
      <c r="AB19" s="8">
        <f t="shared" ref="AB19" si="23">IF(J19=0,"0",(L19/J19))</f>
        <v>1</v>
      </c>
      <c r="AC19" s="9">
        <f t="shared" ref="AC19" si="24">IF(P19=0,"0",(P19/24))</f>
        <v>0.41666666666666669</v>
      </c>
      <c r="AD19" s="10">
        <f t="shared" ref="AD19" si="25">AC19*AB19*(1-O19)</f>
        <v>0.41666666666666669</v>
      </c>
      <c r="AE19" s="36">
        <f t="shared" si="8"/>
        <v>0.54444444444444451</v>
      </c>
      <c r="AF19" s="87">
        <f t="shared" ref="AF19" si="26">A19</f>
        <v>12</v>
      </c>
    </row>
    <row r="20" spans="1:32" ht="27" customHeight="1">
      <c r="A20" s="103">
        <v>13</v>
      </c>
      <c r="B20" s="11" t="s">
        <v>57</v>
      </c>
      <c r="C20" s="34" t="s">
        <v>114</v>
      </c>
      <c r="D20" s="52" t="s">
        <v>117</v>
      </c>
      <c r="E20" s="53" t="s">
        <v>412</v>
      </c>
      <c r="F20" s="30" t="s">
        <v>253</v>
      </c>
      <c r="G20" s="33">
        <v>1</v>
      </c>
      <c r="H20" s="35">
        <v>24</v>
      </c>
      <c r="I20" s="7">
        <v>250</v>
      </c>
      <c r="J20" s="5">
        <v>518</v>
      </c>
      <c r="K20" s="15">
        <f>L20</f>
        <v>518</v>
      </c>
      <c r="L20" s="15">
        <v>518</v>
      </c>
      <c r="M20" s="15">
        <f t="shared" si="1"/>
        <v>518</v>
      </c>
      <c r="N20" s="15">
        <v>0</v>
      </c>
      <c r="O20" s="58">
        <f t="shared" si="2"/>
        <v>0</v>
      </c>
      <c r="P20" s="39">
        <f t="shared" si="3"/>
        <v>4</v>
      </c>
      <c r="Q20" s="40">
        <f t="shared" si="4"/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si="5"/>
        <v>1</v>
      </c>
      <c r="AC20" s="9">
        <f t="shared" si="6"/>
        <v>0.16666666666666666</v>
      </c>
      <c r="AD20" s="10">
        <f>AC20*AB20*(1-O20)</f>
        <v>0.16666666666666666</v>
      </c>
      <c r="AE20" s="36">
        <f t="shared" si="8"/>
        <v>0.54444444444444451</v>
      </c>
      <c r="AF20" s="87">
        <f t="shared" si="9"/>
        <v>13</v>
      </c>
    </row>
    <row r="21" spans="1:32" ht="27" customHeight="1">
      <c r="A21" s="103">
        <v>13</v>
      </c>
      <c r="B21" s="11" t="s">
        <v>57</v>
      </c>
      <c r="C21" s="34" t="s">
        <v>114</v>
      </c>
      <c r="D21" s="52" t="s">
        <v>192</v>
      </c>
      <c r="E21" s="53" t="s">
        <v>413</v>
      </c>
      <c r="F21" s="30" t="s">
        <v>423</v>
      </c>
      <c r="G21" s="33">
        <v>1</v>
      </c>
      <c r="H21" s="35">
        <v>24</v>
      </c>
      <c r="I21" s="7">
        <v>1000</v>
      </c>
      <c r="J21" s="5">
        <v>2087</v>
      </c>
      <c r="K21" s="15">
        <f>L21</f>
        <v>2087</v>
      </c>
      <c r="L21" s="15">
        <v>2087</v>
      </c>
      <c r="M21" s="15">
        <f t="shared" ref="M21:M22" si="27">L21-N21</f>
        <v>2087</v>
      </c>
      <c r="N21" s="15">
        <v>0</v>
      </c>
      <c r="O21" s="58">
        <f t="shared" ref="O21:O22" si="28">IF(L21=0,"0",N21/L21)</f>
        <v>0</v>
      </c>
      <c r="P21" s="39">
        <f t="shared" ref="P21:P22" si="29">IF(L21=0,"0",(24-Q21))</f>
        <v>11</v>
      </c>
      <c r="Q21" s="40">
        <f t="shared" ref="Q21:Q22" si="30">SUM(R21:AA21)</f>
        <v>13</v>
      </c>
      <c r="R21" s="7"/>
      <c r="S21" s="6"/>
      <c r="T21" s="16">
        <v>13</v>
      </c>
      <c r="U21" s="16"/>
      <c r="V21" s="17"/>
      <c r="W21" s="5"/>
      <c r="X21" s="16"/>
      <c r="Y21" s="16"/>
      <c r="Z21" s="16"/>
      <c r="AA21" s="18"/>
      <c r="AB21" s="8">
        <f t="shared" ref="AB21:AB22" si="31">IF(J21=0,"0",(L21/J21))</f>
        <v>1</v>
      </c>
      <c r="AC21" s="9">
        <f t="shared" ref="AC21:AC22" si="32">IF(P21=0,"0",(P21/24))</f>
        <v>0.45833333333333331</v>
      </c>
      <c r="AD21" s="10">
        <f>AC21*AB21*(1-O21)</f>
        <v>0.45833333333333331</v>
      </c>
      <c r="AE21" s="36">
        <f t="shared" si="8"/>
        <v>0.54444444444444451</v>
      </c>
      <c r="AF21" s="87">
        <f t="shared" ref="AF21:AF22" si="33">A21</f>
        <v>13</v>
      </c>
    </row>
    <row r="22" spans="1:32" ht="27" customHeight="1">
      <c r="A22" s="103">
        <v>14</v>
      </c>
      <c r="B22" s="11" t="s">
        <v>57</v>
      </c>
      <c r="C22" s="11" t="s">
        <v>124</v>
      </c>
      <c r="D22" s="52" t="s">
        <v>117</v>
      </c>
      <c r="E22" s="53" t="s">
        <v>318</v>
      </c>
      <c r="F22" s="30" t="s">
        <v>212</v>
      </c>
      <c r="G22" s="33">
        <v>1</v>
      </c>
      <c r="H22" s="35">
        <v>24</v>
      </c>
      <c r="I22" s="7">
        <v>25000</v>
      </c>
      <c r="J22" s="14">
        <v>2293</v>
      </c>
      <c r="K22" s="15">
        <f>L22+3185+1351+2264+2350+5185+5271+5269</f>
        <v>27168</v>
      </c>
      <c r="L22" s="15">
        <v>2293</v>
      </c>
      <c r="M22" s="15">
        <f t="shared" si="27"/>
        <v>2293</v>
      </c>
      <c r="N22" s="15">
        <v>0</v>
      </c>
      <c r="O22" s="58">
        <f t="shared" si="28"/>
        <v>0</v>
      </c>
      <c r="P22" s="39">
        <f t="shared" si="29"/>
        <v>12</v>
      </c>
      <c r="Q22" s="40">
        <f t="shared" si="30"/>
        <v>12</v>
      </c>
      <c r="R22" s="7"/>
      <c r="S22" s="6">
        <v>12</v>
      </c>
      <c r="T22" s="16"/>
      <c r="U22" s="16"/>
      <c r="V22" s="17"/>
      <c r="W22" s="5"/>
      <c r="X22" s="16"/>
      <c r="Y22" s="16"/>
      <c r="Z22" s="16"/>
      <c r="AA22" s="18"/>
      <c r="AB22" s="8">
        <f t="shared" si="31"/>
        <v>1</v>
      </c>
      <c r="AC22" s="9">
        <f t="shared" si="32"/>
        <v>0.5</v>
      </c>
      <c r="AD22" s="10">
        <f t="shared" ref="AD22" si="34">AC22*AB22*(1-O22)</f>
        <v>0.5</v>
      </c>
      <c r="AE22" s="36">
        <f t="shared" si="8"/>
        <v>0.54444444444444451</v>
      </c>
      <c r="AF22" s="87">
        <f t="shared" si="33"/>
        <v>14</v>
      </c>
    </row>
    <row r="23" spans="1:32" ht="27" customHeight="1">
      <c r="A23" s="103">
        <v>14</v>
      </c>
      <c r="B23" s="11" t="s">
        <v>57</v>
      </c>
      <c r="C23" s="11" t="s">
        <v>124</v>
      </c>
      <c r="D23" s="52" t="s">
        <v>122</v>
      </c>
      <c r="E23" s="53" t="s">
        <v>424</v>
      </c>
      <c r="F23" s="30" t="s">
        <v>212</v>
      </c>
      <c r="G23" s="33">
        <v>1</v>
      </c>
      <c r="H23" s="35">
        <v>24</v>
      </c>
      <c r="I23" s="7">
        <v>50000</v>
      </c>
      <c r="J23" s="14">
        <v>2211</v>
      </c>
      <c r="K23" s="15">
        <f>L23</f>
        <v>2211</v>
      </c>
      <c r="L23" s="15">
        <v>2211</v>
      </c>
      <c r="M23" s="15">
        <f t="shared" si="1"/>
        <v>2211</v>
      </c>
      <c r="N23" s="15">
        <v>0</v>
      </c>
      <c r="O23" s="58">
        <f t="shared" si="2"/>
        <v>0</v>
      </c>
      <c r="P23" s="39">
        <f t="shared" si="3"/>
        <v>11</v>
      </c>
      <c r="Q23" s="40">
        <f t="shared" si="4"/>
        <v>13</v>
      </c>
      <c r="R23" s="7"/>
      <c r="S23" s="6"/>
      <c r="T23" s="16">
        <v>13</v>
      </c>
      <c r="U23" s="16"/>
      <c r="V23" s="17"/>
      <c r="W23" s="5"/>
      <c r="X23" s="16"/>
      <c r="Y23" s="16"/>
      <c r="Z23" s="16"/>
      <c r="AA23" s="18"/>
      <c r="AB23" s="8">
        <f t="shared" si="5"/>
        <v>1</v>
      </c>
      <c r="AC23" s="9">
        <f t="shared" si="6"/>
        <v>0.45833333333333331</v>
      </c>
      <c r="AD23" s="10">
        <f t="shared" ref="AD23:AD24" si="35">AC23*AB23*(1-O23)</f>
        <v>0.45833333333333331</v>
      </c>
      <c r="AE23" s="36">
        <f t="shared" si="8"/>
        <v>0.54444444444444451</v>
      </c>
      <c r="AF23" s="87">
        <f t="shared" si="9"/>
        <v>14</v>
      </c>
    </row>
    <row r="24" spans="1:32" ht="27" customHeight="1" thickBot="1">
      <c r="A24" s="103">
        <v>15</v>
      </c>
      <c r="B24" s="11" t="s">
        <v>57</v>
      </c>
      <c r="C24" s="11" t="s">
        <v>115</v>
      </c>
      <c r="D24" s="52"/>
      <c r="E24" s="53" t="s">
        <v>152</v>
      </c>
      <c r="F24" s="12" t="s">
        <v>116</v>
      </c>
      <c r="G24" s="12">
        <v>3</v>
      </c>
      <c r="H24" s="35">
        <v>20</v>
      </c>
      <c r="I24" s="7">
        <v>300000</v>
      </c>
      <c r="J24" s="14">
        <v>25017</v>
      </c>
      <c r="K24" s="15">
        <f>L24+54642+62589+25017</f>
        <v>142248</v>
      </c>
      <c r="L24" s="15"/>
      <c r="M24" s="15">
        <f t="shared" si="1"/>
        <v>0</v>
      </c>
      <c r="N24" s="15">
        <v>0</v>
      </c>
      <c r="O24" s="58" t="str">
        <f t="shared" si="2"/>
        <v>0</v>
      </c>
      <c r="P24" s="39" t="str">
        <f t="shared" si="3"/>
        <v>0</v>
      </c>
      <c r="Q24" s="40">
        <f t="shared" si="4"/>
        <v>24</v>
      </c>
      <c r="R24" s="7"/>
      <c r="S24" s="6">
        <v>24</v>
      </c>
      <c r="T24" s="16"/>
      <c r="U24" s="16"/>
      <c r="V24" s="17"/>
      <c r="W24" s="5"/>
      <c r="X24" s="16"/>
      <c r="Y24" s="16"/>
      <c r="Z24" s="16"/>
      <c r="AA24" s="18"/>
      <c r="AB24" s="8">
        <f t="shared" si="5"/>
        <v>0</v>
      </c>
      <c r="AC24" s="9">
        <f t="shared" si="6"/>
        <v>0</v>
      </c>
      <c r="AD24" s="10">
        <f t="shared" si="35"/>
        <v>0</v>
      </c>
      <c r="AE24" s="36">
        <f t="shared" si="8"/>
        <v>0.54444444444444451</v>
      </c>
      <c r="AF24" s="87">
        <f t="shared" si="9"/>
        <v>15</v>
      </c>
    </row>
    <row r="25" spans="1:32" ht="31.5" customHeight="1" thickBot="1">
      <c r="A25" s="437" t="s">
        <v>34</v>
      </c>
      <c r="B25" s="438"/>
      <c r="C25" s="438"/>
      <c r="D25" s="438"/>
      <c r="E25" s="438"/>
      <c r="F25" s="438"/>
      <c r="G25" s="438"/>
      <c r="H25" s="439"/>
      <c r="I25" s="22">
        <f t="shared" ref="I25:N25" si="36">SUM(I6:I24)</f>
        <v>624250</v>
      </c>
      <c r="J25" s="19">
        <f t="shared" si="36"/>
        <v>91795</v>
      </c>
      <c r="K25" s="20">
        <f t="shared" si="36"/>
        <v>362818</v>
      </c>
      <c r="L25" s="21">
        <f t="shared" si="36"/>
        <v>58744</v>
      </c>
      <c r="M25" s="20">
        <f t="shared" si="36"/>
        <v>58744</v>
      </c>
      <c r="N25" s="21">
        <f t="shared" si="36"/>
        <v>0</v>
      </c>
      <c r="O25" s="41">
        <f t="shared" si="2"/>
        <v>0</v>
      </c>
      <c r="P25" s="42">
        <f t="shared" ref="P25:AA25" si="37">SUM(P6:P24)</f>
        <v>196</v>
      </c>
      <c r="Q25" s="43">
        <f t="shared" si="37"/>
        <v>260</v>
      </c>
      <c r="R25" s="23">
        <f t="shared" si="37"/>
        <v>48</v>
      </c>
      <c r="S25" s="24">
        <f t="shared" si="37"/>
        <v>46</v>
      </c>
      <c r="T25" s="24">
        <f t="shared" si="37"/>
        <v>40</v>
      </c>
      <c r="U25" s="24">
        <f t="shared" si="37"/>
        <v>0</v>
      </c>
      <c r="V25" s="25">
        <f t="shared" si="37"/>
        <v>24</v>
      </c>
      <c r="W25" s="26">
        <f t="shared" si="37"/>
        <v>102</v>
      </c>
      <c r="X25" s="27">
        <f t="shared" si="37"/>
        <v>0</v>
      </c>
      <c r="Y25" s="27">
        <f t="shared" si="37"/>
        <v>0</v>
      </c>
      <c r="Z25" s="27">
        <f t="shared" si="37"/>
        <v>0</v>
      </c>
      <c r="AA25" s="27">
        <f t="shared" si="37"/>
        <v>0</v>
      </c>
      <c r="AB25" s="28">
        <f>SUM(AB6:AB24)/15</f>
        <v>0.93333333333333335</v>
      </c>
      <c r="AC25" s="4">
        <f>SUM(AC6:AC24)/15</f>
        <v>0.54444444444444451</v>
      </c>
      <c r="AD25" s="4">
        <f>SUM(AD6:AD24)/15</f>
        <v>0.54444444444444451</v>
      </c>
      <c r="AE25" s="29"/>
    </row>
    <row r="27" spans="1:32" ht="18.75">
      <c r="A27" s="2"/>
      <c r="B27" s="2" t="s">
        <v>35</v>
      </c>
      <c r="C27" s="2"/>
      <c r="D27" s="2"/>
      <c r="E27" s="2"/>
      <c r="F27" s="2"/>
      <c r="G27" s="2"/>
      <c r="H27" s="3"/>
      <c r="I27" s="3"/>
      <c r="J27" s="2"/>
      <c r="K27" s="2"/>
      <c r="L27" s="2"/>
      <c r="M27" s="2"/>
      <c r="N27" s="2" t="s">
        <v>36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1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88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27">
      <c r="A42" s="59"/>
      <c r="B42" s="59"/>
      <c r="C42" s="59"/>
      <c r="D42" s="59"/>
      <c r="E42" s="59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F42" s="50"/>
    </row>
    <row r="43" spans="1:32" ht="29.25" customHeight="1">
      <c r="A43" s="60"/>
      <c r="B43" s="60"/>
      <c r="C43" s="61"/>
      <c r="D43" s="61"/>
      <c r="E43" s="61"/>
      <c r="F43" s="60"/>
      <c r="G43" s="60"/>
      <c r="H43" s="60"/>
      <c r="I43" s="60"/>
      <c r="J43" s="60"/>
      <c r="K43" s="60"/>
      <c r="L43" s="60"/>
      <c r="M43" s="61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36" thickBot="1">
      <c r="A52" s="440" t="s">
        <v>45</v>
      </c>
      <c r="B52" s="440"/>
      <c r="C52" s="440"/>
      <c r="D52" s="440"/>
      <c r="E52" s="440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26.25" thickBot="1">
      <c r="A53" s="441" t="s">
        <v>425</v>
      </c>
      <c r="B53" s="442"/>
      <c r="C53" s="442"/>
      <c r="D53" s="442"/>
      <c r="E53" s="442"/>
      <c r="F53" s="442"/>
      <c r="G53" s="442"/>
      <c r="H53" s="442"/>
      <c r="I53" s="442"/>
      <c r="J53" s="442"/>
      <c r="K53" s="442"/>
      <c r="L53" s="442"/>
      <c r="M53" s="443"/>
      <c r="N53" s="444" t="s">
        <v>429</v>
      </c>
      <c r="O53" s="445"/>
      <c r="P53" s="445"/>
      <c r="Q53" s="445"/>
      <c r="R53" s="445"/>
      <c r="S53" s="445"/>
      <c r="T53" s="445"/>
      <c r="U53" s="445"/>
      <c r="V53" s="445"/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47" t="s">
        <v>2</v>
      </c>
      <c r="B54" s="448"/>
      <c r="C54" s="272" t="s">
        <v>46</v>
      </c>
      <c r="D54" s="272" t="s">
        <v>47</v>
      </c>
      <c r="E54" s="272" t="s">
        <v>108</v>
      </c>
      <c r="F54" s="448" t="s">
        <v>107</v>
      </c>
      <c r="G54" s="448"/>
      <c r="H54" s="448"/>
      <c r="I54" s="448"/>
      <c r="J54" s="448"/>
      <c r="K54" s="448"/>
      <c r="L54" s="448"/>
      <c r="M54" s="449"/>
      <c r="N54" s="67" t="s">
        <v>112</v>
      </c>
      <c r="O54" s="272" t="s">
        <v>46</v>
      </c>
      <c r="P54" s="450" t="s">
        <v>47</v>
      </c>
      <c r="Q54" s="451"/>
      <c r="R54" s="450" t="s">
        <v>38</v>
      </c>
      <c r="S54" s="452"/>
      <c r="T54" s="452"/>
      <c r="U54" s="451"/>
      <c r="V54" s="450" t="s">
        <v>48</v>
      </c>
      <c r="W54" s="452"/>
      <c r="X54" s="452"/>
      <c r="Y54" s="452"/>
      <c r="Z54" s="452"/>
      <c r="AA54" s="452"/>
      <c r="AB54" s="452"/>
      <c r="AC54" s="452"/>
      <c r="AD54" s="453"/>
    </row>
    <row r="55" spans="1:32" ht="27" customHeight="1">
      <c r="A55" s="419" t="s">
        <v>124</v>
      </c>
      <c r="B55" s="420"/>
      <c r="C55" s="274" t="s">
        <v>184</v>
      </c>
      <c r="D55" s="274" t="s">
        <v>148</v>
      </c>
      <c r="E55" s="274" t="s">
        <v>191</v>
      </c>
      <c r="F55" s="421" t="s">
        <v>426</v>
      </c>
      <c r="G55" s="422"/>
      <c r="H55" s="422"/>
      <c r="I55" s="422"/>
      <c r="J55" s="422"/>
      <c r="K55" s="422"/>
      <c r="L55" s="422"/>
      <c r="M55" s="423"/>
      <c r="N55" s="273" t="s">
        <v>133</v>
      </c>
      <c r="O55" s="278" t="s">
        <v>135</v>
      </c>
      <c r="P55" s="433" t="s">
        <v>117</v>
      </c>
      <c r="Q55" s="434"/>
      <c r="R55" s="420" t="s">
        <v>430</v>
      </c>
      <c r="S55" s="420"/>
      <c r="T55" s="420"/>
      <c r="U55" s="420"/>
      <c r="V55" s="410" t="s">
        <v>431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114</v>
      </c>
      <c r="B56" s="420"/>
      <c r="C56" s="274" t="s">
        <v>143</v>
      </c>
      <c r="D56" s="274" t="s">
        <v>248</v>
      </c>
      <c r="E56" s="274" t="s">
        <v>414</v>
      </c>
      <c r="F56" s="421" t="s">
        <v>120</v>
      </c>
      <c r="G56" s="422"/>
      <c r="H56" s="422"/>
      <c r="I56" s="422"/>
      <c r="J56" s="422"/>
      <c r="K56" s="422"/>
      <c r="L56" s="422"/>
      <c r="M56" s="423"/>
      <c r="N56" s="273" t="s">
        <v>124</v>
      </c>
      <c r="O56" s="278" t="s">
        <v>180</v>
      </c>
      <c r="P56" s="433" t="s">
        <v>117</v>
      </c>
      <c r="Q56" s="434"/>
      <c r="R56" s="420" t="s">
        <v>432</v>
      </c>
      <c r="S56" s="420"/>
      <c r="T56" s="420"/>
      <c r="U56" s="420"/>
      <c r="V56" s="410" t="s">
        <v>120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133</v>
      </c>
      <c r="B57" s="420"/>
      <c r="C57" s="274" t="s">
        <v>143</v>
      </c>
      <c r="D57" s="274" t="s">
        <v>117</v>
      </c>
      <c r="E57" s="274" t="s">
        <v>239</v>
      </c>
      <c r="F57" s="421" t="s">
        <v>120</v>
      </c>
      <c r="G57" s="422"/>
      <c r="H57" s="422"/>
      <c r="I57" s="422"/>
      <c r="J57" s="422"/>
      <c r="K57" s="422"/>
      <c r="L57" s="422"/>
      <c r="M57" s="423"/>
      <c r="N57" s="273" t="s">
        <v>324</v>
      </c>
      <c r="O57" s="278" t="s">
        <v>143</v>
      </c>
      <c r="P57" s="433"/>
      <c r="Q57" s="434"/>
      <c r="R57" s="420" t="s">
        <v>433</v>
      </c>
      <c r="S57" s="420"/>
      <c r="T57" s="420"/>
      <c r="U57" s="420"/>
      <c r="V57" s="410" t="s">
        <v>120</v>
      </c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133</v>
      </c>
      <c r="B58" s="420"/>
      <c r="C58" s="274" t="s">
        <v>243</v>
      </c>
      <c r="D58" s="274" t="s">
        <v>242</v>
      </c>
      <c r="E58" s="274" t="s">
        <v>241</v>
      </c>
      <c r="F58" s="421" t="s">
        <v>427</v>
      </c>
      <c r="G58" s="422"/>
      <c r="H58" s="422"/>
      <c r="I58" s="422"/>
      <c r="J58" s="422"/>
      <c r="K58" s="422"/>
      <c r="L58" s="422"/>
      <c r="M58" s="423"/>
      <c r="N58" s="273" t="s">
        <v>324</v>
      </c>
      <c r="O58" s="278" t="s">
        <v>143</v>
      </c>
      <c r="P58" s="433"/>
      <c r="Q58" s="434"/>
      <c r="R58" s="420" t="s">
        <v>434</v>
      </c>
      <c r="S58" s="420"/>
      <c r="T58" s="420"/>
      <c r="U58" s="420"/>
      <c r="V58" s="410" t="s">
        <v>120</v>
      </c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 t="s">
        <v>114</v>
      </c>
      <c r="B59" s="420"/>
      <c r="C59" s="274" t="s">
        <v>135</v>
      </c>
      <c r="D59" s="274" t="s">
        <v>192</v>
      </c>
      <c r="E59" s="274" t="s">
        <v>428</v>
      </c>
      <c r="F59" s="421" t="s">
        <v>120</v>
      </c>
      <c r="G59" s="422"/>
      <c r="H59" s="422"/>
      <c r="I59" s="422"/>
      <c r="J59" s="422"/>
      <c r="K59" s="422"/>
      <c r="L59" s="422"/>
      <c r="M59" s="423"/>
      <c r="N59" s="273" t="s">
        <v>124</v>
      </c>
      <c r="O59" s="278" t="s">
        <v>139</v>
      </c>
      <c r="P59" s="433" t="s">
        <v>117</v>
      </c>
      <c r="Q59" s="434"/>
      <c r="R59" s="420" t="s">
        <v>435</v>
      </c>
      <c r="S59" s="420"/>
      <c r="T59" s="420"/>
      <c r="U59" s="420"/>
      <c r="V59" s="410" t="s">
        <v>120</v>
      </c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 t="s">
        <v>114</v>
      </c>
      <c r="B60" s="420"/>
      <c r="C60" s="274" t="s">
        <v>180</v>
      </c>
      <c r="D60" s="274" t="s">
        <v>122</v>
      </c>
      <c r="E60" s="274" t="s">
        <v>413</v>
      </c>
      <c r="F60" s="421" t="s">
        <v>120</v>
      </c>
      <c r="G60" s="422"/>
      <c r="H60" s="422"/>
      <c r="I60" s="422"/>
      <c r="J60" s="422"/>
      <c r="K60" s="422"/>
      <c r="L60" s="422"/>
      <c r="M60" s="423"/>
      <c r="N60" s="273" t="s">
        <v>133</v>
      </c>
      <c r="O60" s="278" t="s">
        <v>200</v>
      </c>
      <c r="P60" s="433" t="s">
        <v>117</v>
      </c>
      <c r="Q60" s="434"/>
      <c r="R60" s="420" t="s">
        <v>436</v>
      </c>
      <c r="S60" s="420"/>
      <c r="T60" s="420"/>
      <c r="U60" s="420"/>
      <c r="V60" s="410" t="s">
        <v>120</v>
      </c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 t="s">
        <v>133</v>
      </c>
      <c r="B61" s="420"/>
      <c r="C61" s="274" t="s">
        <v>135</v>
      </c>
      <c r="D61" s="274" t="s">
        <v>128</v>
      </c>
      <c r="E61" s="274" t="s">
        <v>422</v>
      </c>
      <c r="F61" s="421" t="s">
        <v>120</v>
      </c>
      <c r="G61" s="422"/>
      <c r="H61" s="422"/>
      <c r="I61" s="422"/>
      <c r="J61" s="422"/>
      <c r="K61" s="422"/>
      <c r="L61" s="422"/>
      <c r="M61" s="423"/>
      <c r="N61" s="273" t="s">
        <v>124</v>
      </c>
      <c r="O61" s="278" t="s">
        <v>184</v>
      </c>
      <c r="P61" s="433" t="s">
        <v>148</v>
      </c>
      <c r="Q61" s="434"/>
      <c r="R61" s="420" t="s">
        <v>191</v>
      </c>
      <c r="S61" s="420"/>
      <c r="T61" s="420"/>
      <c r="U61" s="420"/>
      <c r="V61" s="410" t="s">
        <v>126</v>
      </c>
      <c r="W61" s="410"/>
      <c r="X61" s="410"/>
      <c r="Y61" s="410"/>
      <c r="Z61" s="410"/>
      <c r="AA61" s="410"/>
      <c r="AB61" s="410"/>
      <c r="AC61" s="410"/>
      <c r="AD61" s="424"/>
    </row>
    <row r="62" spans="1:32" ht="27" customHeight="1">
      <c r="A62" s="419" t="s">
        <v>133</v>
      </c>
      <c r="B62" s="420"/>
      <c r="C62" s="274" t="s">
        <v>145</v>
      </c>
      <c r="D62" s="274" t="s">
        <v>122</v>
      </c>
      <c r="E62" s="274" t="s">
        <v>424</v>
      </c>
      <c r="F62" s="421" t="s">
        <v>120</v>
      </c>
      <c r="G62" s="422"/>
      <c r="H62" s="422"/>
      <c r="I62" s="422"/>
      <c r="J62" s="422"/>
      <c r="K62" s="422"/>
      <c r="L62" s="422"/>
      <c r="M62" s="423"/>
      <c r="N62" s="273"/>
      <c r="O62" s="278"/>
      <c r="P62" s="433"/>
      <c r="Q62" s="434"/>
      <c r="R62" s="420"/>
      <c r="S62" s="420"/>
      <c r="T62" s="420"/>
      <c r="U62" s="420"/>
      <c r="V62" s="410"/>
      <c r="W62" s="410"/>
      <c r="X62" s="410"/>
      <c r="Y62" s="410"/>
      <c r="Z62" s="410"/>
      <c r="AA62" s="410"/>
      <c r="AB62" s="410"/>
      <c r="AC62" s="410"/>
      <c r="AD62" s="424"/>
    </row>
    <row r="63" spans="1:32" ht="27" customHeight="1">
      <c r="A63" s="419"/>
      <c r="B63" s="420"/>
      <c r="C63" s="274"/>
      <c r="D63" s="274"/>
      <c r="E63" s="274"/>
      <c r="F63" s="421"/>
      <c r="G63" s="422"/>
      <c r="H63" s="422"/>
      <c r="I63" s="422"/>
      <c r="J63" s="422"/>
      <c r="K63" s="422"/>
      <c r="L63" s="422"/>
      <c r="M63" s="423"/>
      <c r="N63" s="273"/>
      <c r="O63" s="278"/>
      <c r="P63" s="420"/>
      <c r="Q63" s="420"/>
      <c r="R63" s="420"/>
      <c r="S63" s="420"/>
      <c r="T63" s="420"/>
      <c r="U63" s="420"/>
      <c r="V63" s="410"/>
      <c r="W63" s="410"/>
      <c r="X63" s="410"/>
      <c r="Y63" s="410"/>
      <c r="Z63" s="410"/>
      <c r="AA63" s="410"/>
      <c r="AB63" s="410"/>
      <c r="AC63" s="410"/>
      <c r="AD63" s="424"/>
      <c r="AF63" s="87">
        <f>8*3000</f>
        <v>24000</v>
      </c>
    </row>
    <row r="64" spans="1:32" ht="27" customHeight="1" thickBot="1">
      <c r="A64" s="425"/>
      <c r="B64" s="426"/>
      <c r="C64" s="275"/>
      <c r="D64" s="275"/>
      <c r="E64" s="275"/>
      <c r="F64" s="427"/>
      <c r="G64" s="428"/>
      <c r="H64" s="428"/>
      <c r="I64" s="428"/>
      <c r="J64" s="428"/>
      <c r="K64" s="428"/>
      <c r="L64" s="428"/>
      <c r="M64" s="429"/>
      <c r="N64" s="124"/>
      <c r="O64" s="114"/>
      <c r="P64" s="430"/>
      <c r="Q64" s="430"/>
      <c r="R64" s="430"/>
      <c r="S64" s="430"/>
      <c r="T64" s="430"/>
      <c r="U64" s="430"/>
      <c r="V64" s="431"/>
      <c r="W64" s="431"/>
      <c r="X64" s="431"/>
      <c r="Y64" s="431"/>
      <c r="Z64" s="431"/>
      <c r="AA64" s="431"/>
      <c r="AB64" s="431"/>
      <c r="AC64" s="431"/>
      <c r="AD64" s="432"/>
      <c r="AF64" s="87">
        <f>16*3000</f>
        <v>48000</v>
      </c>
    </row>
    <row r="65" spans="1:32" ht="27.75" thickBot="1">
      <c r="A65" s="417" t="s">
        <v>437</v>
      </c>
      <c r="B65" s="417"/>
      <c r="C65" s="417"/>
      <c r="D65" s="417"/>
      <c r="E65" s="417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F65" s="87">
        <v>24000</v>
      </c>
    </row>
    <row r="66" spans="1:32" ht="29.25" customHeight="1" thickBot="1">
      <c r="A66" s="418" t="s">
        <v>113</v>
      </c>
      <c r="B66" s="415"/>
      <c r="C66" s="276" t="s">
        <v>2</v>
      </c>
      <c r="D66" s="276" t="s">
        <v>37</v>
      </c>
      <c r="E66" s="276" t="s">
        <v>3</v>
      </c>
      <c r="F66" s="415" t="s">
        <v>110</v>
      </c>
      <c r="G66" s="415"/>
      <c r="H66" s="415"/>
      <c r="I66" s="415"/>
      <c r="J66" s="415"/>
      <c r="K66" s="415" t="s">
        <v>39</v>
      </c>
      <c r="L66" s="415"/>
      <c r="M66" s="276" t="s">
        <v>40</v>
      </c>
      <c r="N66" s="415" t="s">
        <v>41</v>
      </c>
      <c r="O66" s="415"/>
      <c r="P66" s="412" t="s">
        <v>42</v>
      </c>
      <c r="Q66" s="414"/>
      <c r="R66" s="412" t="s">
        <v>43</v>
      </c>
      <c r="S66" s="413"/>
      <c r="T66" s="413"/>
      <c r="U66" s="413"/>
      <c r="V66" s="413"/>
      <c r="W66" s="413"/>
      <c r="X66" s="413"/>
      <c r="Y66" s="413"/>
      <c r="Z66" s="413"/>
      <c r="AA66" s="414"/>
      <c r="AB66" s="415" t="s">
        <v>44</v>
      </c>
      <c r="AC66" s="415"/>
      <c r="AD66" s="416"/>
      <c r="AF66" s="87">
        <f>SUM(AF63:AF65)</f>
        <v>96000</v>
      </c>
    </row>
    <row r="67" spans="1:32" ht="25.5" customHeight="1">
      <c r="A67" s="406">
        <v>1</v>
      </c>
      <c r="B67" s="407"/>
      <c r="C67" s="117" t="s">
        <v>114</v>
      </c>
      <c r="D67" s="280"/>
      <c r="E67" s="277" t="s">
        <v>117</v>
      </c>
      <c r="F67" s="408" t="s">
        <v>398</v>
      </c>
      <c r="G67" s="400"/>
      <c r="H67" s="400"/>
      <c r="I67" s="400"/>
      <c r="J67" s="400"/>
      <c r="K67" s="400" t="s">
        <v>127</v>
      </c>
      <c r="L67" s="400"/>
      <c r="M67" s="51" t="s">
        <v>327</v>
      </c>
      <c r="N67" s="411" t="s">
        <v>180</v>
      </c>
      <c r="O67" s="411"/>
      <c r="P67" s="409">
        <v>50</v>
      </c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2</v>
      </c>
      <c r="B68" s="407"/>
      <c r="C68" s="117" t="s">
        <v>156</v>
      </c>
      <c r="D68" s="280"/>
      <c r="E68" s="277"/>
      <c r="F68" s="408" t="s">
        <v>438</v>
      </c>
      <c r="G68" s="400"/>
      <c r="H68" s="400"/>
      <c r="I68" s="400"/>
      <c r="J68" s="400"/>
      <c r="K68" s="400" t="s">
        <v>439</v>
      </c>
      <c r="L68" s="400"/>
      <c r="M68" s="51" t="s">
        <v>327</v>
      </c>
      <c r="N68" s="411" t="s">
        <v>188</v>
      </c>
      <c r="O68" s="411"/>
      <c r="P68" s="409">
        <v>20</v>
      </c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3</v>
      </c>
      <c r="B69" s="407"/>
      <c r="C69" s="117"/>
      <c r="D69" s="280"/>
      <c r="E69" s="277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4</v>
      </c>
      <c r="B70" s="407"/>
      <c r="C70" s="117"/>
      <c r="D70" s="280"/>
      <c r="E70" s="277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5</v>
      </c>
      <c r="B71" s="407"/>
      <c r="C71" s="117"/>
      <c r="D71" s="280"/>
      <c r="E71" s="277"/>
      <c r="F71" s="408"/>
      <c r="G71" s="400"/>
      <c r="H71" s="400"/>
      <c r="I71" s="400"/>
      <c r="J71" s="400"/>
      <c r="K71" s="400"/>
      <c r="L71" s="400"/>
      <c r="M71" s="51"/>
      <c r="N71" s="411"/>
      <c r="O71" s="411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6</v>
      </c>
      <c r="B72" s="407"/>
      <c r="C72" s="117"/>
      <c r="D72" s="280"/>
      <c r="E72" s="277"/>
      <c r="F72" s="408"/>
      <c r="G72" s="400"/>
      <c r="H72" s="400"/>
      <c r="I72" s="400"/>
      <c r="J72" s="400"/>
      <c r="K72" s="400"/>
      <c r="L72" s="400"/>
      <c r="M72" s="51"/>
      <c r="N72" s="411"/>
      <c r="O72" s="411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5.5" customHeight="1">
      <c r="A73" s="406">
        <v>7</v>
      </c>
      <c r="B73" s="407"/>
      <c r="C73" s="117"/>
      <c r="D73" s="280"/>
      <c r="E73" s="277"/>
      <c r="F73" s="408"/>
      <c r="G73" s="400"/>
      <c r="H73" s="400"/>
      <c r="I73" s="400"/>
      <c r="J73" s="400"/>
      <c r="K73" s="400"/>
      <c r="L73" s="400"/>
      <c r="M73" s="51"/>
      <c r="N73" s="411"/>
      <c r="O73" s="411"/>
      <c r="P73" s="409"/>
      <c r="Q73" s="409"/>
      <c r="R73" s="410"/>
      <c r="S73" s="410"/>
      <c r="T73" s="410"/>
      <c r="U73" s="410"/>
      <c r="V73" s="410"/>
      <c r="W73" s="410"/>
      <c r="X73" s="410"/>
      <c r="Y73" s="410"/>
      <c r="Z73" s="410"/>
      <c r="AA73" s="410"/>
      <c r="AB73" s="400"/>
      <c r="AC73" s="400"/>
      <c r="AD73" s="401"/>
      <c r="AF73" s="50"/>
    </row>
    <row r="74" spans="1:32" ht="25.5" customHeight="1">
      <c r="A74" s="406">
        <v>8</v>
      </c>
      <c r="B74" s="407"/>
      <c r="C74" s="117"/>
      <c r="D74" s="280"/>
      <c r="E74" s="277"/>
      <c r="F74" s="408"/>
      <c r="G74" s="400"/>
      <c r="H74" s="400"/>
      <c r="I74" s="400"/>
      <c r="J74" s="400"/>
      <c r="K74" s="400"/>
      <c r="L74" s="400"/>
      <c r="M74" s="51"/>
      <c r="N74" s="400"/>
      <c r="O74" s="400"/>
      <c r="P74" s="409"/>
      <c r="Q74" s="409"/>
      <c r="R74" s="410"/>
      <c r="S74" s="410"/>
      <c r="T74" s="410"/>
      <c r="U74" s="410"/>
      <c r="V74" s="410"/>
      <c r="W74" s="410"/>
      <c r="X74" s="410"/>
      <c r="Y74" s="410"/>
      <c r="Z74" s="410"/>
      <c r="AA74" s="410"/>
      <c r="AB74" s="400"/>
      <c r="AC74" s="400"/>
      <c r="AD74" s="401"/>
      <c r="AF74" s="50"/>
    </row>
    <row r="75" spans="1:32" ht="26.25" customHeight="1" thickBot="1">
      <c r="A75" s="380" t="s">
        <v>440</v>
      </c>
      <c r="B75" s="380"/>
      <c r="C75" s="380"/>
      <c r="D75" s="380"/>
      <c r="E75" s="380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381" t="s">
        <v>113</v>
      </c>
      <c r="B76" s="382"/>
      <c r="C76" s="279" t="s">
        <v>2</v>
      </c>
      <c r="D76" s="279" t="s">
        <v>37</v>
      </c>
      <c r="E76" s="279" t="s">
        <v>3</v>
      </c>
      <c r="F76" s="382" t="s">
        <v>38</v>
      </c>
      <c r="G76" s="382"/>
      <c r="H76" s="382"/>
      <c r="I76" s="382"/>
      <c r="J76" s="382"/>
      <c r="K76" s="402" t="s">
        <v>58</v>
      </c>
      <c r="L76" s="403"/>
      <c r="M76" s="403"/>
      <c r="N76" s="403"/>
      <c r="O76" s="403"/>
      <c r="P76" s="403"/>
      <c r="Q76" s="403"/>
      <c r="R76" s="403"/>
      <c r="S76" s="404"/>
      <c r="T76" s="382" t="s">
        <v>49</v>
      </c>
      <c r="U76" s="382"/>
      <c r="V76" s="402" t="s">
        <v>50</v>
      </c>
      <c r="W76" s="404"/>
      <c r="X76" s="403" t="s">
        <v>51</v>
      </c>
      <c r="Y76" s="403"/>
      <c r="Z76" s="403"/>
      <c r="AA76" s="403"/>
      <c r="AB76" s="403"/>
      <c r="AC76" s="403"/>
      <c r="AD76" s="405"/>
      <c r="AF76" s="50"/>
    </row>
    <row r="77" spans="1:32" ht="33.75" customHeight="1">
      <c r="A77" s="374">
        <v>1</v>
      </c>
      <c r="B77" s="375"/>
      <c r="C77" s="281" t="s">
        <v>114</v>
      </c>
      <c r="D77" s="281"/>
      <c r="E77" s="65" t="s">
        <v>119</v>
      </c>
      <c r="F77" s="389" t="s">
        <v>118</v>
      </c>
      <c r="G77" s="390"/>
      <c r="H77" s="390"/>
      <c r="I77" s="390"/>
      <c r="J77" s="391"/>
      <c r="K77" s="392" t="s">
        <v>137</v>
      </c>
      <c r="L77" s="393"/>
      <c r="M77" s="393"/>
      <c r="N77" s="393"/>
      <c r="O77" s="393"/>
      <c r="P77" s="393"/>
      <c r="Q77" s="393"/>
      <c r="R77" s="393"/>
      <c r="S77" s="394"/>
      <c r="T77" s="395">
        <v>43675</v>
      </c>
      <c r="U77" s="396"/>
      <c r="V77" s="397"/>
      <c r="W77" s="397"/>
      <c r="X77" s="398"/>
      <c r="Y77" s="398"/>
      <c r="Z77" s="398"/>
      <c r="AA77" s="398"/>
      <c r="AB77" s="398"/>
      <c r="AC77" s="398"/>
      <c r="AD77" s="399"/>
      <c r="AF77" s="50"/>
    </row>
    <row r="78" spans="1:32" ht="30" customHeight="1">
      <c r="A78" s="367">
        <f>A77+1</f>
        <v>2</v>
      </c>
      <c r="B78" s="368"/>
      <c r="C78" s="280"/>
      <c r="D78" s="280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ref="A79:A85" si="38">A78+1</f>
        <v>3</v>
      </c>
      <c r="B79" s="368"/>
      <c r="C79" s="280"/>
      <c r="D79" s="280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38"/>
        <v>4</v>
      </c>
      <c r="B80" s="368"/>
      <c r="C80" s="280"/>
      <c r="D80" s="280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38"/>
        <v>5</v>
      </c>
      <c r="B81" s="368"/>
      <c r="C81" s="280"/>
      <c r="D81" s="280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38"/>
        <v>6</v>
      </c>
      <c r="B82" s="368"/>
      <c r="C82" s="280"/>
      <c r="D82" s="280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38"/>
        <v>7</v>
      </c>
      <c r="B83" s="368"/>
      <c r="C83" s="280"/>
      <c r="D83" s="280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0" customHeight="1">
      <c r="A84" s="367">
        <f t="shared" si="38"/>
        <v>8</v>
      </c>
      <c r="B84" s="368"/>
      <c r="C84" s="280"/>
      <c r="D84" s="280"/>
      <c r="E84" s="32"/>
      <c r="F84" s="368"/>
      <c r="G84" s="368"/>
      <c r="H84" s="368"/>
      <c r="I84" s="368"/>
      <c r="J84" s="368"/>
      <c r="K84" s="383"/>
      <c r="L84" s="384"/>
      <c r="M84" s="384"/>
      <c r="N84" s="384"/>
      <c r="O84" s="384"/>
      <c r="P84" s="384"/>
      <c r="Q84" s="384"/>
      <c r="R84" s="384"/>
      <c r="S84" s="385"/>
      <c r="T84" s="386"/>
      <c r="U84" s="386"/>
      <c r="V84" s="386"/>
      <c r="W84" s="386"/>
      <c r="X84" s="387"/>
      <c r="Y84" s="387"/>
      <c r="Z84" s="387"/>
      <c r="AA84" s="387"/>
      <c r="AB84" s="387"/>
      <c r="AC84" s="387"/>
      <c r="AD84" s="388"/>
      <c r="AF84" s="50"/>
    </row>
    <row r="85" spans="1:32" ht="30" customHeight="1">
      <c r="A85" s="367">
        <f t="shared" si="38"/>
        <v>9</v>
      </c>
      <c r="B85" s="368"/>
      <c r="C85" s="280"/>
      <c r="D85" s="280"/>
      <c r="E85" s="32"/>
      <c r="F85" s="368"/>
      <c r="G85" s="368"/>
      <c r="H85" s="368"/>
      <c r="I85" s="368"/>
      <c r="J85" s="368"/>
      <c r="K85" s="383"/>
      <c r="L85" s="384"/>
      <c r="M85" s="384"/>
      <c r="N85" s="384"/>
      <c r="O85" s="384"/>
      <c r="P85" s="384"/>
      <c r="Q85" s="384"/>
      <c r="R85" s="384"/>
      <c r="S85" s="385"/>
      <c r="T85" s="386"/>
      <c r="U85" s="386"/>
      <c r="V85" s="386"/>
      <c r="W85" s="386"/>
      <c r="X85" s="387"/>
      <c r="Y85" s="387"/>
      <c r="Z85" s="387"/>
      <c r="AA85" s="387"/>
      <c r="AB85" s="387"/>
      <c r="AC85" s="387"/>
      <c r="AD85" s="388"/>
      <c r="AF85" s="50"/>
    </row>
    <row r="86" spans="1:32" ht="36" thickBot="1">
      <c r="A86" s="380" t="s">
        <v>441</v>
      </c>
      <c r="B86" s="380"/>
      <c r="C86" s="380"/>
      <c r="D86" s="380"/>
      <c r="E86" s="380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F86" s="50"/>
    </row>
    <row r="87" spans="1:32" ht="30.75" customHeight="1" thickBot="1">
      <c r="A87" s="381" t="s">
        <v>113</v>
      </c>
      <c r="B87" s="382"/>
      <c r="C87" s="372" t="s">
        <v>52</v>
      </c>
      <c r="D87" s="372"/>
      <c r="E87" s="372" t="s">
        <v>53</v>
      </c>
      <c r="F87" s="372"/>
      <c r="G87" s="372"/>
      <c r="H87" s="372"/>
      <c r="I87" s="372"/>
      <c r="J87" s="372"/>
      <c r="K87" s="372" t="s">
        <v>54</v>
      </c>
      <c r="L87" s="372"/>
      <c r="M87" s="372"/>
      <c r="N87" s="372"/>
      <c r="O87" s="372"/>
      <c r="P87" s="372"/>
      <c r="Q87" s="372"/>
      <c r="R87" s="372"/>
      <c r="S87" s="372"/>
      <c r="T87" s="372" t="s">
        <v>55</v>
      </c>
      <c r="U87" s="372"/>
      <c r="V87" s="372" t="s">
        <v>56</v>
      </c>
      <c r="W87" s="372"/>
      <c r="X87" s="372"/>
      <c r="Y87" s="372" t="s">
        <v>51</v>
      </c>
      <c r="Z87" s="372"/>
      <c r="AA87" s="372"/>
      <c r="AB87" s="372"/>
      <c r="AC87" s="372"/>
      <c r="AD87" s="373"/>
      <c r="AF87" s="50"/>
    </row>
    <row r="88" spans="1:32" ht="30.75" customHeight="1">
      <c r="A88" s="374">
        <v>1</v>
      </c>
      <c r="B88" s="375"/>
      <c r="C88" s="376">
        <v>11</v>
      </c>
      <c r="D88" s="376"/>
      <c r="E88" s="376" t="s">
        <v>162</v>
      </c>
      <c r="F88" s="376"/>
      <c r="G88" s="376"/>
      <c r="H88" s="376"/>
      <c r="I88" s="376"/>
      <c r="J88" s="376"/>
      <c r="K88" s="376" t="s">
        <v>163</v>
      </c>
      <c r="L88" s="376"/>
      <c r="M88" s="376"/>
      <c r="N88" s="376"/>
      <c r="O88" s="376"/>
      <c r="P88" s="376"/>
      <c r="Q88" s="376"/>
      <c r="R88" s="376"/>
      <c r="S88" s="376"/>
      <c r="T88" s="376" t="s">
        <v>164</v>
      </c>
      <c r="U88" s="376"/>
      <c r="V88" s="377">
        <v>600000</v>
      </c>
      <c r="W88" s="377"/>
      <c r="X88" s="377"/>
      <c r="Y88" s="378"/>
      <c r="Z88" s="378"/>
      <c r="AA88" s="378"/>
      <c r="AB88" s="378"/>
      <c r="AC88" s="378"/>
      <c r="AD88" s="379"/>
      <c r="AF88" s="50"/>
    </row>
    <row r="89" spans="1:32" ht="30.75" customHeight="1">
      <c r="A89" s="367">
        <v>2</v>
      </c>
      <c r="B89" s="368"/>
      <c r="C89" s="369"/>
      <c r="D89" s="369"/>
      <c r="E89" s="369"/>
      <c r="F89" s="369"/>
      <c r="G89" s="369"/>
      <c r="H89" s="369"/>
      <c r="I89" s="369"/>
      <c r="J89" s="369"/>
      <c r="K89" s="369"/>
      <c r="L89" s="369"/>
      <c r="M89" s="369"/>
      <c r="N89" s="369"/>
      <c r="O89" s="369"/>
      <c r="P89" s="369"/>
      <c r="Q89" s="369"/>
      <c r="R89" s="369"/>
      <c r="S89" s="369"/>
      <c r="T89" s="370"/>
      <c r="U89" s="370"/>
      <c r="V89" s="371"/>
      <c r="W89" s="371"/>
      <c r="X89" s="371"/>
      <c r="Y89" s="360"/>
      <c r="Z89" s="360"/>
      <c r="AA89" s="360"/>
      <c r="AB89" s="360"/>
      <c r="AC89" s="360"/>
      <c r="AD89" s="361"/>
      <c r="AF89" s="50"/>
    </row>
    <row r="90" spans="1:32" ht="30.75" customHeight="1" thickBot="1">
      <c r="A90" s="362">
        <v>3</v>
      </c>
      <c r="B90" s="363"/>
      <c r="C90" s="364"/>
      <c r="D90" s="364"/>
      <c r="E90" s="364"/>
      <c r="F90" s="36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64"/>
      <c r="R90" s="364"/>
      <c r="S90" s="364"/>
      <c r="T90" s="364"/>
      <c r="U90" s="364"/>
      <c r="V90" s="364"/>
      <c r="W90" s="364"/>
      <c r="X90" s="364"/>
      <c r="Y90" s="365"/>
      <c r="Z90" s="365"/>
      <c r="AA90" s="365"/>
      <c r="AB90" s="365"/>
      <c r="AC90" s="365"/>
      <c r="AD90" s="366"/>
      <c r="AF90" s="50"/>
    </row>
  </sheetData>
  <mergeCells count="230">
    <mergeCell ref="Y89:AD89"/>
    <mergeCell ref="A90:B90"/>
    <mergeCell ref="C90:D90"/>
    <mergeCell ref="E90:J90"/>
    <mergeCell ref="K90:S90"/>
    <mergeCell ref="T90:U90"/>
    <mergeCell ref="V90:X90"/>
    <mergeCell ref="Y90:AD90"/>
    <mergeCell ref="A89:B89"/>
    <mergeCell ref="C89:D89"/>
    <mergeCell ref="E89:J89"/>
    <mergeCell ref="K89:S89"/>
    <mergeCell ref="T89:U89"/>
    <mergeCell ref="V89:X89"/>
    <mergeCell ref="V87:X87"/>
    <mergeCell ref="Y87:AD87"/>
    <mergeCell ref="A88:B88"/>
    <mergeCell ref="C88:D88"/>
    <mergeCell ref="E88:J88"/>
    <mergeCell ref="K88:S88"/>
    <mergeCell ref="T88:U88"/>
    <mergeCell ref="V88:X88"/>
    <mergeCell ref="Y88:AD88"/>
    <mergeCell ref="A86:E86"/>
    <mergeCell ref="A87:B87"/>
    <mergeCell ref="C87:D87"/>
    <mergeCell ref="E87:J87"/>
    <mergeCell ref="K87:S87"/>
    <mergeCell ref="T87:U87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R66:AA66"/>
    <mergeCell ref="AB66:AD66"/>
    <mergeCell ref="A67:B67"/>
    <mergeCell ref="F67:J67"/>
    <mergeCell ref="K67:L67"/>
    <mergeCell ref="N67:O67"/>
    <mergeCell ref="P67:Q67"/>
    <mergeCell ref="R67:AA67"/>
    <mergeCell ref="AB67:AD67"/>
    <mergeCell ref="A65:E65"/>
    <mergeCell ref="A66:B66"/>
    <mergeCell ref="F66:J66"/>
    <mergeCell ref="K66:L66"/>
    <mergeCell ref="N66:O66"/>
    <mergeCell ref="P66:Q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D4:AD5"/>
    <mergeCell ref="A25:H25"/>
    <mergeCell ref="A52:E52"/>
    <mergeCell ref="A53:M53"/>
    <mergeCell ref="N53:AD53"/>
    <mergeCell ref="A54:B54"/>
    <mergeCell ref="F54:M54"/>
    <mergeCell ref="P54:Q54"/>
    <mergeCell ref="R54:U54"/>
    <mergeCell ref="V54:AD54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50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CB7A-4F43-48CD-AA51-E100F409D624}">
  <dimension ref="A1:AF89"/>
  <sheetViews>
    <sheetView zoomScale="72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442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92" t="s">
        <v>17</v>
      </c>
      <c r="L5" s="292" t="s">
        <v>18</v>
      </c>
      <c r="M5" s="292" t="s">
        <v>19</v>
      </c>
      <c r="N5" s="29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3" si="1">L6-N6</f>
        <v>0</v>
      </c>
      <c r="N6" s="15">
        <v>0</v>
      </c>
      <c r="O6" s="58" t="str">
        <f t="shared" ref="O6:O24" si="2">IF(L6=0,"0",N6/L6)</f>
        <v>0</v>
      </c>
      <c r="P6" s="39" t="str">
        <f t="shared" ref="P6:P23" si="3">IF(L6=0,"0",(24-Q6))</f>
        <v>0</v>
      </c>
      <c r="Q6" s="40">
        <f t="shared" ref="Q6:Q23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3" si="5">IF(J6=0,"0",(L6/J6))</f>
        <v>0</v>
      </c>
      <c r="AC6" s="9">
        <f t="shared" ref="AC6:AC23" si="6">IF(P6=0,"0",(P6/24))</f>
        <v>0</v>
      </c>
      <c r="AD6" s="10">
        <f t="shared" ref="AD6:AD19" si="7">AC6*AB6*(1-O6)</f>
        <v>0</v>
      </c>
      <c r="AE6" s="36">
        <f t="shared" ref="AE6:AE23" si="8">$AD$24</f>
        <v>0.45</v>
      </c>
      <c r="AF6" s="87">
        <f t="shared" ref="AF6:AF23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50000</v>
      </c>
      <c r="J8" s="14">
        <v>4622</v>
      </c>
      <c r="K8" s="15">
        <f>L8+1722+1917+1867+4092+4437+4478+4488</f>
        <v>27623</v>
      </c>
      <c r="L8" s="15">
        <f>2543+2079</f>
        <v>4622</v>
      </c>
      <c r="M8" s="15">
        <f t="shared" si="1"/>
        <v>4622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1149</v>
      </c>
      <c r="K9" s="15">
        <f>L9+1593+1896+2807+1401+3459+1160+3830+650+1584+2358+4249+584+4731+3038</f>
        <v>34489</v>
      </c>
      <c r="L9" s="15">
        <f>750+399</f>
        <v>1149</v>
      </c>
      <c r="M9" s="15">
        <f t="shared" si="1"/>
        <v>1149</v>
      </c>
      <c r="N9" s="15">
        <v>0</v>
      </c>
      <c r="O9" s="58">
        <f t="shared" si="2"/>
        <v>0</v>
      </c>
      <c r="P9" s="39">
        <f t="shared" si="3"/>
        <v>8</v>
      </c>
      <c r="Q9" s="40">
        <f t="shared" si="4"/>
        <v>16</v>
      </c>
      <c r="R9" s="7"/>
      <c r="S9" s="6">
        <v>16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0.33333333333333331</v>
      </c>
      <c r="AD9" s="10">
        <f t="shared" si="7"/>
        <v>0.33333333333333331</v>
      </c>
      <c r="AE9" s="36">
        <f t="shared" si="8"/>
        <v>0.45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154</v>
      </c>
      <c r="E10" s="53" t="s">
        <v>160</v>
      </c>
      <c r="F10" s="30" t="s">
        <v>127</v>
      </c>
      <c r="G10" s="33">
        <v>2</v>
      </c>
      <c r="H10" s="35">
        <v>24</v>
      </c>
      <c r="I10" s="7">
        <v>90000</v>
      </c>
      <c r="J10" s="5">
        <v>11694</v>
      </c>
      <c r="K10" s="15">
        <f>L10+10866+11456</f>
        <v>34016</v>
      </c>
      <c r="L10" s="15">
        <f>2637*2+3210*2</f>
        <v>11694</v>
      </c>
      <c r="M10" s="15">
        <f t="shared" si="1"/>
        <v>11694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133</v>
      </c>
      <c r="D11" s="52" t="s">
        <v>117</v>
      </c>
      <c r="E11" s="53" t="s">
        <v>436</v>
      </c>
      <c r="F11" s="30" t="s">
        <v>121</v>
      </c>
      <c r="G11" s="33">
        <v>1</v>
      </c>
      <c r="H11" s="35">
        <v>24</v>
      </c>
      <c r="I11" s="7">
        <v>20000</v>
      </c>
      <c r="J11" s="14">
        <v>3151</v>
      </c>
      <c r="K11" s="15">
        <f>L11</f>
        <v>3151</v>
      </c>
      <c r="L11" s="15">
        <f>2844+307</f>
        <v>3151</v>
      </c>
      <c r="M11" s="15">
        <f t="shared" si="1"/>
        <v>3151</v>
      </c>
      <c r="N11" s="15">
        <v>0</v>
      </c>
      <c r="O11" s="58">
        <f t="shared" si="2"/>
        <v>0</v>
      </c>
      <c r="P11" s="39">
        <f t="shared" si="3"/>
        <v>17</v>
      </c>
      <c r="Q11" s="40">
        <f t="shared" si="4"/>
        <v>7</v>
      </c>
      <c r="R11" s="7"/>
      <c r="S11" s="6">
        <v>7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0.70833333333333337</v>
      </c>
      <c r="AD11" s="10">
        <f t="shared" ref="AD11" si="10">AC11*AB11*(1-O11)</f>
        <v>0.70833333333333337</v>
      </c>
      <c r="AE11" s="36">
        <f t="shared" si="8"/>
        <v>0.45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435</v>
      </c>
      <c r="F12" s="30" t="s">
        <v>121</v>
      </c>
      <c r="G12" s="33">
        <v>1</v>
      </c>
      <c r="H12" s="35">
        <v>20</v>
      </c>
      <c r="I12" s="7">
        <v>2500</v>
      </c>
      <c r="J12" s="14">
        <v>2223</v>
      </c>
      <c r="K12" s="15">
        <f>L12</f>
        <v>2223</v>
      </c>
      <c r="L12" s="15">
        <f>2223</f>
        <v>2223</v>
      </c>
      <c r="M12" s="15">
        <f t="shared" si="1"/>
        <v>2223</v>
      </c>
      <c r="N12" s="15">
        <v>0</v>
      </c>
      <c r="O12" s="58">
        <f t="shared" si="2"/>
        <v>0</v>
      </c>
      <c r="P12" s="39">
        <f t="shared" si="3"/>
        <v>11</v>
      </c>
      <c r="Q12" s="40">
        <f t="shared" si="4"/>
        <v>13</v>
      </c>
      <c r="R12" s="7"/>
      <c r="S12" s="6">
        <v>13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0.45833333333333331</v>
      </c>
      <c r="AD12" s="10">
        <f t="shared" si="7"/>
        <v>0.45833333333333331</v>
      </c>
      <c r="AE12" s="36">
        <f t="shared" si="8"/>
        <v>0.45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324</v>
      </c>
      <c r="D13" s="52" t="s">
        <v>117</v>
      </c>
      <c r="E13" s="53" t="s">
        <v>433</v>
      </c>
      <c r="F13" s="30" t="s">
        <v>443</v>
      </c>
      <c r="G13" s="33">
        <v>1</v>
      </c>
      <c r="H13" s="35">
        <v>24</v>
      </c>
      <c r="I13" s="7">
        <v>1000</v>
      </c>
      <c r="J13" s="14">
        <v>1300</v>
      </c>
      <c r="K13" s="15">
        <f>L13</f>
        <v>1300</v>
      </c>
      <c r="L13" s="15">
        <v>1300</v>
      </c>
      <c r="M13" s="15">
        <f t="shared" si="1"/>
        <v>1300</v>
      </c>
      <c r="N13" s="15">
        <v>0</v>
      </c>
      <c r="O13" s="58">
        <f t="shared" si="2"/>
        <v>0</v>
      </c>
      <c r="P13" s="39">
        <f t="shared" si="3"/>
        <v>7</v>
      </c>
      <c r="Q13" s="40">
        <f t="shared" si="4"/>
        <v>17</v>
      </c>
      <c r="R13" s="7"/>
      <c r="S13" s="6"/>
      <c r="T13" s="16"/>
      <c r="U13" s="16"/>
      <c r="V13" s="17"/>
      <c r="W13" s="5">
        <v>17</v>
      </c>
      <c r="X13" s="16"/>
      <c r="Y13" s="16"/>
      <c r="Z13" s="16"/>
      <c r="AA13" s="18"/>
      <c r="AB13" s="8">
        <f t="shared" si="5"/>
        <v>1</v>
      </c>
      <c r="AC13" s="9">
        <f t="shared" si="6"/>
        <v>0.29166666666666669</v>
      </c>
      <c r="AD13" s="10">
        <f t="shared" si="7"/>
        <v>0.29166666666666669</v>
      </c>
      <c r="AE13" s="36">
        <f t="shared" si="8"/>
        <v>0.45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133</v>
      </c>
      <c r="D14" s="52" t="s">
        <v>148</v>
      </c>
      <c r="E14" s="53" t="s">
        <v>434</v>
      </c>
      <c r="F14" s="30" t="s">
        <v>121</v>
      </c>
      <c r="G14" s="33">
        <v>1</v>
      </c>
      <c r="H14" s="35">
        <v>24</v>
      </c>
      <c r="I14" s="7">
        <v>1000</v>
      </c>
      <c r="J14" s="14">
        <v>1389</v>
      </c>
      <c r="K14" s="15">
        <f>L14</f>
        <v>1389</v>
      </c>
      <c r="L14" s="15">
        <v>1389</v>
      </c>
      <c r="M14" s="15">
        <f t="shared" ref="M14" si="11">L14-N14</f>
        <v>1389</v>
      </c>
      <c r="N14" s="15">
        <v>0</v>
      </c>
      <c r="O14" s="58">
        <f t="shared" ref="O14" si="12">IF(L14=0,"0",N14/L14)</f>
        <v>0</v>
      </c>
      <c r="P14" s="39">
        <f t="shared" ref="P14" si="13">IF(L14=0,"0",(24-Q14))</f>
        <v>7</v>
      </c>
      <c r="Q14" s="40">
        <f t="shared" ref="Q14" si="14">SUM(R14:AA14)</f>
        <v>17</v>
      </c>
      <c r="R14" s="7"/>
      <c r="S14" s="6"/>
      <c r="T14" s="16"/>
      <c r="U14" s="16"/>
      <c r="V14" s="17"/>
      <c r="W14" s="5">
        <v>17</v>
      </c>
      <c r="X14" s="16"/>
      <c r="Y14" s="16"/>
      <c r="Z14" s="16"/>
      <c r="AA14" s="18"/>
      <c r="AB14" s="8">
        <f t="shared" ref="AB14" si="15">IF(J14=0,"0",(L14/J14))</f>
        <v>1</v>
      </c>
      <c r="AC14" s="9">
        <f t="shared" ref="AC14" si="16">IF(P14=0,"0",(P14/24))</f>
        <v>0.29166666666666669</v>
      </c>
      <c r="AD14" s="10">
        <f t="shared" ref="AD14" si="17">AC14*AB14*(1-O14)</f>
        <v>0.29166666666666669</v>
      </c>
      <c r="AE14" s="36">
        <f t="shared" si="8"/>
        <v>0.45</v>
      </c>
      <c r="AF14" s="87">
        <f t="shared" ref="AF14" si="18">A14</f>
        <v>8</v>
      </c>
    </row>
    <row r="15" spans="1:32" ht="27" customHeight="1">
      <c r="A15" s="103">
        <v>8</v>
      </c>
      <c r="B15" s="11" t="s">
        <v>57</v>
      </c>
      <c r="C15" s="11" t="s">
        <v>114</v>
      </c>
      <c r="D15" s="52" t="s">
        <v>128</v>
      </c>
      <c r="E15" s="53" t="s">
        <v>444</v>
      </c>
      <c r="F15" s="30" t="s">
        <v>129</v>
      </c>
      <c r="G15" s="33">
        <v>1</v>
      </c>
      <c r="H15" s="35">
        <v>24</v>
      </c>
      <c r="I15" s="7">
        <v>1200</v>
      </c>
      <c r="J15" s="14">
        <v>1281</v>
      </c>
      <c r="K15" s="15">
        <f>L15</f>
        <v>1281</v>
      </c>
      <c r="L15" s="15">
        <v>1281</v>
      </c>
      <c r="M15" s="15">
        <f t="shared" si="1"/>
        <v>1281</v>
      </c>
      <c r="N15" s="15">
        <v>0</v>
      </c>
      <c r="O15" s="58">
        <f t="shared" si="2"/>
        <v>0</v>
      </c>
      <c r="P15" s="39">
        <f t="shared" si="3"/>
        <v>7</v>
      </c>
      <c r="Q15" s="40">
        <f t="shared" si="4"/>
        <v>17</v>
      </c>
      <c r="R15" s="7"/>
      <c r="S15" s="6"/>
      <c r="T15" s="16"/>
      <c r="U15" s="16"/>
      <c r="V15" s="17"/>
      <c r="W15" s="5">
        <v>17</v>
      </c>
      <c r="X15" s="16"/>
      <c r="Y15" s="16"/>
      <c r="Z15" s="16"/>
      <c r="AA15" s="18"/>
      <c r="AB15" s="8">
        <f t="shared" si="5"/>
        <v>1</v>
      </c>
      <c r="AC15" s="9">
        <f t="shared" si="6"/>
        <v>0.29166666666666669</v>
      </c>
      <c r="AD15" s="10">
        <f t="shared" si="7"/>
        <v>0.29166666666666669</v>
      </c>
      <c r="AE15" s="36">
        <f t="shared" si="8"/>
        <v>0.45</v>
      </c>
      <c r="AF15" s="87">
        <f t="shared" si="9"/>
        <v>8</v>
      </c>
    </row>
    <row r="16" spans="1:32" ht="27" customHeight="1">
      <c r="A16" s="118">
        <v>9</v>
      </c>
      <c r="B16" s="11" t="s">
        <v>57</v>
      </c>
      <c r="C16" s="34" t="s">
        <v>114</v>
      </c>
      <c r="D16" s="52" t="s">
        <v>196</v>
      </c>
      <c r="E16" s="53" t="s">
        <v>189</v>
      </c>
      <c r="F16" s="30" t="s">
        <v>197</v>
      </c>
      <c r="G16" s="12">
        <v>1</v>
      </c>
      <c r="H16" s="13">
        <v>28</v>
      </c>
      <c r="I16" s="7">
        <v>2000</v>
      </c>
      <c r="J16" s="5">
        <v>1045</v>
      </c>
      <c r="K16" s="15">
        <f>L16+620+500+1045</f>
        <v>2165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0.45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133</v>
      </c>
      <c r="D17" s="52" t="s">
        <v>242</v>
      </c>
      <c r="E17" s="53" t="s">
        <v>241</v>
      </c>
      <c r="F17" s="12">
        <v>8301</v>
      </c>
      <c r="G17" s="12">
        <v>1</v>
      </c>
      <c r="H17" s="13">
        <v>24</v>
      </c>
      <c r="I17" s="31">
        <v>1000</v>
      </c>
      <c r="J17" s="14">
        <v>1194</v>
      </c>
      <c r="K17" s="15">
        <f>L17+1194</f>
        <v>1194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0.45</v>
      </c>
      <c r="AF17" s="87">
        <f t="shared" si="9"/>
        <v>10</v>
      </c>
    </row>
    <row r="18" spans="1:32" ht="30" customHeight="1">
      <c r="A18" s="102">
        <v>11</v>
      </c>
      <c r="B18" s="11" t="s">
        <v>57</v>
      </c>
      <c r="C18" s="34" t="s">
        <v>124</v>
      </c>
      <c r="D18" s="52" t="s">
        <v>128</v>
      </c>
      <c r="E18" s="53" t="s">
        <v>150</v>
      </c>
      <c r="F18" s="30" t="s">
        <v>129</v>
      </c>
      <c r="G18" s="12">
        <v>1</v>
      </c>
      <c r="H18" s="13">
        <v>28</v>
      </c>
      <c r="I18" s="7">
        <v>9000</v>
      </c>
      <c r="J18" s="14">
        <v>4928</v>
      </c>
      <c r="K18" s="15">
        <f>L18+5027+5503+5566+4928</f>
        <v>21024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>
        <v>24</v>
      </c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0.45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11" t="s">
        <v>133</v>
      </c>
      <c r="D19" s="52" t="s">
        <v>128</v>
      </c>
      <c r="E19" s="53" t="s">
        <v>422</v>
      </c>
      <c r="F19" s="30" t="s">
        <v>151</v>
      </c>
      <c r="G19" s="33">
        <v>4</v>
      </c>
      <c r="H19" s="35">
        <v>20</v>
      </c>
      <c r="I19" s="7">
        <v>15000</v>
      </c>
      <c r="J19" s="14">
        <v>10856</v>
      </c>
      <c r="K19" s="15">
        <f>L19+10472</f>
        <v>21328</v>
      </c>
      <c r="L19" s="15">
        <f>2714*4</f>
        <v>10856</v>
      </c>
      <c r="M19" s="15">
        <f t="shared" si="1"/>
        <v>10856</v>
      </c>
      <c r="N19" s="15">
        <v>0</v>
      </c>
      <c r="O19" s="58">
        <f t="shared" si="2"/>
        <v>0</v>
      </c>
      <c r="P19" s="39">
        <f t="shared" si="3"/>
        <v>11</v>
      </c>
      <c r="Q19" s="40">
        <f t="shared" si="4"/>
        <v>13</v>
      </c>
      <c r="R19" s="7"/>
      <c r="S19" s="6"/>
      <c r="T19" s="16"/>
      <c r="U19" s="16"/>
      <c r="V19" s="17"/>
      <c r="W19" s="5">
        <v>13</v>
      </c>
      <c r="X19" s="16"/>
      <c r="Y19" s="16"/>
      <c r="Z19" s="16"/>
      <c r="AA19" s="18"/>
      <c r="AB19" s="8">
        <f t="shared" si="5"/>
        <v>1</v>
      </c>
      <c r="AC19" s="9">
        <f t="shared" si="6"/>
        <v>0.45833333333333331</v>
      </c>
      <c r="AD19" s="10">
        <f t="shared" si="7"/>
        <v>0.45833333333333331</v>
      </c>
      <c r="AE19" s="36">
        <f t="shared" si="8"/>
        <v>0.45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124</v>
      </c>
      <c r="D20" s="52" t="s">
        <v>117</v>
      </c>
      <c r="E20" s="53" t="s">
        <v>432</v>
      </c>
      <c r="F20" s="30" t="s">
        <v>212</v>
      </c>
      <c r="G20" s="33">
        <v>1</v>
      </c>
      <c r="H20" s="35">
        <v>24</v>
      </c>
      <c r="I20" s="7">
        <v>2000</v>
      </c>
      <c r="J20" s="5">
        <v>2428</v>
      </c>
      <c r="K20" s="15">
        <f>L20</f>
        <v>2428</v>
      </c>
      <c r="L20" s="15">
        <f>1905+523</f>
        <v>2428</v>
      </c>
      <c r="M20" s="15">
        <f t="shared" si="1"/>
        <v>2428</v>
      </c>
      <c r="N20" s="15">
        <v>0</v>
      </c>
      <c r="O20" s="58">
        <f t="shared" si="2"/>
        <v>0</v>
      </c>
      <c r="P20" s="39">
        <f t="shared" si="3"/>
        <v>16</v>
      </c>
      <c r="Q20" s="40">
        <f t="shared" si="4"/>
        <v>8</v>
      </c>
      <c r="R20" s="7"/>
      <c r="S20" s="6"/>
      <c r="T20" s="16">
        <v>8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0.66666666666666663</v>
      </c>
      <c r="AD20" s="10">
        <f>AC20*AB20*(1-O20)</f>
        <v>0.66666666666666663</v>
      </c>
      <c r="AE20" s="36">
        <f t="shared" si="8"/>
        <v>0.45</v>
      </c>
      <c r="AF20" s="87">
        <f t="shared" si="9"/>
        <v>13</v>
      </c>
    </row>
    <row r="21" spans="1:32" ht="27" customHeight="1">
      <c r="A21" s="103">
        <v>13</v>
      </c>
      <c r="B21" s="11" t="s">
        <v>57</v>
      </c>
      <c r="C21" s="34" t="s">
        <v>133</v>
      </c>
      <c r="D21" s="52" t="s">
        <v>117</v>
      </c>
      <c r="E21" s="53" t="s">
        <v>430</v>
      </c>
      <c r="F21" s="30" t="s">
        <v>423</v>
      </c>
      <c r="G21" s="33">
        <v>1</v>
      </c>
      <c r="H21" s="35">
        <v>24</v>
      </c>
      <c r="I21" s="7">
        <v>1000</v>
      </c>
      <c r="J21" s="5">
        <v>1093</v>
      </c>
      <c r="K21" s="15">
        <f>L21</f>
        <v>1093</v>
      </c>
      <c r="L21" s="15">
        <v>1093</v>
      </c>
      <c r="M21" s="15">
        <f t="shared" si="1"/>
        <v>1093</v>
      </c>
      <c r="N21" s="15">
        <v>0</v>
      </c>
      <c r="O21" s="58">
        <f t="shared" si="2"/>
        <v>0</v>
      </c>
      <c r="P21" s="39">
        <f t="shared" si="3"/>
        <v>6</v>
      </c>
      <c r="Q21" s="40">
        <f t="shared" si="4"/>
        <v>18</v>
      </c>
      <c r="R21" s="7"/>
      <c r="S21" s="6"/>
      <c r="T21" s="16"/>
      <c r="U21" s="16"/>
      <c r="V21" s="17"/>
      <c r="W21" s="5">
        <v>18</v>
      </c>
      <c r="X21" s="16"/>
      <c r="Y21" s="16"/>
      <c r="Z21" s="16"/>
      <c r="AA21" s="18"/>
      <c r="AB21" s="8">
        <f t="shared" si="5"/>
        <v>1</v>
      </c>
      <c r="AC21" s="9">
        <f t="shared" si="6"/>
        <v>0.25</v>
      </c>
      <c r="AD21" s="10">
        <f>AC21*AB21*(1-O21)</f>
        <v>0.25</v>
      </c>
      <c r="AE21" s="36">
        <f t="shared" si="8"/>
        <v>0.45</v>
      </c>
      <c r="AF21" s="87">
        <f t="shared" si="9"/>
        <v>13</v>
      </c>
    </row>
    <row r="22" spans="1:32" ht="27" customHeight="1">
      <c r="A22" s="103">
        <v>14</v>
      </c>
      <c r="B22" s="11" t="s">
        <v>57</v>
      </c>
      <c r="C22" s="11" t="s">
        <v>124</v>
      </c>
      <c r="D22" s="52" t="s">
        <v>122</v>
      </c>
      <c r="E22" s="53" t="s">
        <v>424</v>
      </c>
      <c r="F22" s="30" t="s">
        <v>212</v>
      </c>
      <c r="G22" s="33">
        <v>1</v>
      </c>
      <c r="H22" s="35">
        <v>24</v>
      </c>
      <c r="I22" s="7">
        <v>50000</v>
      </c>
      <c r="J22" s="14">
        <v>5670</v>
      </c>
      <c r="K22" s="15">
        <f>L22+2211</f>
        <v>7881</v>
      </c>
      <c r="L22" s="15">
        <f>2548+3122</f>
        <v>5670</v>
      </c>
      <c r="M22" s="15">
        <f t="shared" si="1"/>
        <v>5670</v>
      </c>
      <c r="N22" s="15">
        <v>0</v>
      </c>
      <c r="O22" s="58">
        <f t="shared" si="2"/>
        <v>0</v>
      </c>
      <c r="P22" s="39">
        <f t="shared" si="3"/>
        <v>24</v>
      </c>
      <c r="Q22" s="40">
        <f t="shared" si="4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1</v>
      </c>
      <c r="AD22" s="10">
        <f t="shared" ref="AD22:AD23" si="19">AC22*AB22*(1-O22)</f>
        <v>1</v>
      </c>
      <c r="AE22" s="36">
        <f t="shared" si="8"/>
        <v>0.45</v>
      </c>
      <c r="AF22" s="87">
        <f t="shared" si="9"/>
        <v>14</v>
      </c>
    </row>
    <row r="23" spans="1:32" ht="27" customHeight="1" thickBot="1">
      <c r="A23" s="103">
        <v>15</v>
      </c>
      <c r="B23" s="11" t="s">
        <v>57</v>
      </c>
      <c r="C23" s="11" t="s">
        <v>115</v>
      </c>
      <c r="D23" s="52"/>
      <c r="E23" s="53" t="s">
        <v>152</v>
      </c>
      <c r="F23" s="12" t="s">
        <v>116</v>
      </c>
      <c r="G23" s="12">
        <v>3</v>
      </c>
      <c r="H23" s="35">
        <v>20</v>
      </c>
      <c r="I23" s="7">
        <v>300000</v>
      </c>
      <c r="J23" s="14">
        <v>25017</v>
      </c>
      <c r="K23" s="15">
        <f>L23+54642+62589+25017</f>
        <v>142248</v>
      </c>
      <c r="L23" s="15"/>
      <c r="M23" s="15">
        <f t="shared" si="1"/>
        <v>0</v>
      </c>
      <c r="N23" s="15">
        <v>0</v>
      </c>
      <c r="O23" s="58" t="str">
        <f t="shared" si="2"/>
        <v>0</v>
      </c>
      <c r="P23" s="39" t="str">
        <f t="shared" si="3"/>
        <v>0</v>
      </c>
      <c r="Q23" s="40">
        <f t="shared" si="4"/>
        <v>24</v>
      </c>
      <c r="R23" s="7"/>
      <c r="S23" s="6">
        <v>24</v>
      </c>
      <c r="T23" s="16"/>
      <c r="U23" s="16"/>
      <c r="V23" s="17"/>
      <c r="W23" s="5"/>
      <c r="X23" s="16"/>
      <c r="Y23" s="16"/>
      <c r="Z23" s="16"/>
      <c r="AA23" s="18"/>
      <c r="AB23" s="8">
        <f t="shared" si="5"/>
        <v>0</v>
      </c>
      <c r="AC23" s="9">
        <f t="shared" si="6"/>
        <v>0</v>
      </c>
      <c r="AD23" s="10">
        <f t="shared" si="19"/>
        <v>0</v>
      </c>
      <c r="AE23" s="36">
        <f t="shared" si="8"/>
        <v>0.45</v>
      </c>
      <c r="AF23" s="87">
        <f t="shared" si="9"/>
        <v>15</v>
      </c>
    </row>
    <row r="24" spans="1:32" ht="31.5" customHeight="1" thickBot="1">
      <c r="A24" s="437" t="s">
        <v>34</v>
      </c>
      <c r="B24" s="438"/>
      <c r="C24" s="438"/>
      <c r="D24" s="438"/>
      <c r="E24" s="438"/>
      <c r="F24" s="438"/>
      <c r="G24" s="438"/>
      <c r="H24" s="439"/>
      <c r="I24" s="22">
        <f t="shared" ref="I24:N24" si="20">SUM(I6:I23)</f>
        <v>616700</v>
      </c>
      <c r="J24" s="19">
        <f t="shared" si="20"/>
        <v>81101</v>
      </c>
      <c r="K24" s="20">
        <f t="shared" si="20"/>
        <v>316381</v>
      </c>
      <c r="L24" s="21">
        <f t="shared" si="20"/>
        <v>46856</v>
      </c>
      <c r="M24" s="20">
        <f t="shared" si="20"/>
        <v>46856</v>
      </c>
      <c r="N24" s="21">
        <f t="shared" si="20"/>
        <v>0</v>
      </c>
      <c r="O24" s="41">
        <f t="shared" si="2"/>
        <v>0</v>
      </c>
      <c r="P24" s="42">
        <f t="shared" ref="P24:AA24" si="21">SUM(P6:P23)</f>
        <v>162</v>
      </c>
      <c r="Q24" s="43">
        <f t="shared" si="21"/>
        <v>270</v>
      </c>
      <c r="R24" s="23">
        <f t="shared" si="21"/>
        <v>48</v>
      </c>
      <c r="S24" s="24">
        <f t="shared" si="21"/>
        <v>60</v>
      </c>
      <c r="T24" s="24">
        <f t="shared" si="21"/>
        <v>8</v>
      </c>
      <c r="U24" s="24">
        <f t="shared" si="21"/>
        <v>0</v>
      </c>
      <c r="V24" s="25">
        <f t="shared" si="21"/>
        <v>24</v>
      </c>
      <c r="W24" s="26">
        <f t="shared" si="21"/>
        <v>130</v>
      </c>
      <c r="X24" s="27">
        <f t="shared" si="21"/>
        <v>0</v>
      </c>
      <c r="Y24" s="27">
        <f t="shared" si="21"/>
        <v>0</v>
      </c>
      <c r="Z24" s="27">
        <f t="shared" si="21"/>
        <v>0</v>
      </c>
      <c r="AA24" s="27">
        <f t="shared" si="21"/>
        <v>0</v>
      </c>
      <c r="AB24" s="28">
        <f>SUM(AB6:AB23)/15</f>
        <v>0.8</v>
      </c>
      <c r="AC24" s="4">
        <f>SUM(AC6:AC23)/15</f>
        <v>0.45</v>
      </c>
      <c r="AD24" s="4">
        <f>SUM(AD6:AD23)/15</f>
        <v>0.45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8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40" t="s">
        <v>45</v>
      </c>
      <c r="B51" s="440"/>
      <c r="C51" s="440"/>
      <c r="D51" s="440"/>
      <c r="E51" s="440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41" t="s">
        <v>445</v>
      </c>
      <c r="B52" s="442"/>
      <c r="C52" s="442"/>
      <c r="D52" s="442"/>
      <c r="E52" s="442"/>
      <c r="F52" s="442"/>
      <c r="G52" s="442"/>
      <c r="H52" s="442"/>
      <c r="I52" s="442"/>
      <c r="J52" s="442"/>
      <c r="K52" s="442"/>
      <c r="L52" s="442"/>
      <c r="M52" s="443"/>
      <c r="N52" s="444" t="s">
        <v>446</v>
      </c>
      <c r="O52" s="445"/>
      <c r="P52" s="445"/>
      <c r="Q52" s="445"/>
      <c r="R52" s="445"/>
      <c r="S52" s="445"/>
      <c r="T52" s="445"/>
      <c r="U52" s="445"/>
      <c r="V52" s="445"/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7" t="s">
        <v>2</v>
      </c>
      <c r="B53" s="448"/>
      <c r="C53" s="291" t="s">
        <v>46</v>
      </c>
      <c r="D53" s="291" t="s">
        <v>47</v>
      </c>
      <c r="E53" s="291" t="s">
        <v>108</v>
      </c>
      <c r="F53" s="448" t="s">
        <v>107</v>
      </c>
      <c r="G53" s="448"/>
      <c r="H53" s="448"/>
      <c r="I53" s="448"/>
      <c r="J53" s="448"/>
      <c r="K53" s="448"/>
      <c r="L53" s="448"/>
      <c r="M53" s="449"/>
      <c r="N53" s="67" t="s">
        <v>112</v>
      </c>
      <c r="O53" s="291" t="s">
        <v>46</v>
      </c>
      <c r="P53" s="450" t="s">
        <v>47</v>
      </c>
      <c r="Q53" s="451"/>
      <c r="R53" s="450" t="s">
        <v>38</v>
      </c>
      <c r="S53" s="452"/>
      <c r="T53" s="452"/>
      <c r="U53" s="451"/>
      <c r="V53" s="450" t="s">
        <v>48</v>
      </c>
      <c r="W53" s="452"/>
      <c r="X53" s="452"/>
      <c r="Y53" s="452"/>
      <c r="Z53" s="452"/>
      <c r="AA53" s="452"/>
      <c r="AB53" s="452"/>
      <c r="AC53" s="452"/>
      <c r="AD53" s="453"/>
    </row>
    <row r="54" spans="1:32" ht="27" customHeight="1">
      <c r="A54" s="419" t="s">
        <v>124</v>
      </c>
      <c r="B54" s="420"/>
      <c r="C54" s="289" t="s">
        <v>184</v>
      </c>
      <c r="D54" s="289" t="s">
        <v>148</v>
      </c>
      <c r="E54" s="289" t="s">
        <v>191</v>
      </c>
      <c r="F54" s="421" t="s">
        <v>214</v>
      </c>
      <c r="G54" s="422"/>
      <c r="H54" s="422"/>
      <c r="I54" s="422"/>
      <c r="J54" s="422"/>
      <c r="K54" s="422"/>
      <c r="L54" s="422"/>
      <c r="M54" s="423"/>
      <c r="N54" s="288" t="s">
        <v>124</v>
      </c>
      <c r="O54" s="286" t="s">
        <v>180</v>
      </c>
      <c r="P54" s="433" t="s">
        <v>447</v>
      </c>
      <c r="Q54" s="434"/>
      <c r="R54" s="420" t="s">
        <v>448</v>
      </c>
      <c r="S54" s="420"/>
      <c r="T54" s="420"/>
      <c r="U54" s="420"/>
      <c r="V54" s="410" t="s">
        <v>120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289" t="s">
        <v>143</v>
      </c>
      <c r="D55" s="289" t="s">
        <v>128</v>
      </c>
      <c r="E55" s="289" t="s">
        <v>444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288" t="s">
        <v>114</v>
      </c>
      <c r="O55" s="286" t="s">
        <v>143</v>
      </c>
      <c r="P55" s="433" t="s">
        <v>148</v>
      </c>
      <c r="Q55" s="434"/>
      <c r="R55" s="420" t="s">
        <v>449</v>
      </c>
      <c r="S55" s="420"/>
      <c r="T55" s="420"/>
      <c r="U55" s="420"/>
      <c r="V55" s="410" t="s">
        <v>120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324</v>
      </c>
      <c r="B56" s="420"/>
      <c r="C56" s="289" t="s">
        <v>143</v>
      </c>
      <c r="D56" s="289" t="s">
        <v>117</v>
      </c>
      <c r="E56" s="289" t="s">
        <v>433</v>
      </c>
      <c r="F56" s="421" t="s">
        <v>120</v>
      </c>
      <c r="G56" s="422"/>
      <c r="H56" s="422"/>
      <c r="I56" s="422"/>
      <c r="J56" s="422"/>
      <c r="K56" s="422"/>
      <c r="L56" s="422"/>
      <c r="M56" s="423"/>
      <c r="N56" s="288" t="s">
        <v>114</v>
      </c>
      <c r="O56" s="286" t="s">
        <v>143</v>
      </c>
      <c r="P56" s="433" t="s">
        <v>154</v>
      </c>
      <c r="Q56" s="434"/>
      <c r="R56" s="420" t="s">
        <v>450</v>
      </c>
      <c r="S56" s="420"/>
      <c r="T56" s="420"/>
      <c r="U56" s="420"/>
      <c r="V56" s="410" t="s">
        <v>120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324</v>
      </c>
      <c r="B57" s="420"/>
      <c r="C57" s="289" t="s">
        <v>143</v>
      </c>
      <c r="D57" s="289" t="s">
        <v>148</v>
      </c>
      <c r="E57" s="289" t="s">
        <v>434</v>
      </c>
      <c r="F57" s="421" t="s">
        <v>120</v>
      </c>
      <c r="G57" s="422"/>
      <c r="H57" s="422"/>
      <c r="I57" s="422"/>
      <c r="J57" s="422"/>
      <c r="K57" s="422"/>
      <c r="L57" s="422"/>
      <c r="M57" s="423"/>
      <c r="N57" s="288" t="s">
        <v>124</v>
      </c>
      <c r="O57" s="286" t="s">
        <v>184</v>
      </c>
      <c r="P57" s="433" t="s">
        <v>148</v>
      </c>
      <c r="Q57" s="434"/>
      <c r="R57" s="433" t="s">
        <v>191</v>
      </c>
      <c r="S57" s="476"/>
      <c r="T57" s="476"/>
      <c r="U57" s="434"/>
      <c r="V57" s="421" t="s">
        <v>126</v>
      </c>
      <c r="W57" s="422"/>
      <c r="X57" s="422"/>
      <c r="Y57" s="422"/>
      <c r="Z57" s="422"/>
      <c r="AA57" s="422"/>
      <c r="AB57" s="422"/>
      <c r="AC57" s="422"/>
      <c r="AD57" s="423"/>
    </row>
    <row r="58" spans="1:32" ht="27" customHeight="1">
      <c r="A58" s="419" t="s">
        <v>133</v>
      </c>
      <c r="B58" s="420"/>
      <c r="C58" s="289" t="s">
        <v>200</v>
      </c>
      <c r="D58" s="289" t="s">
        <v>117</v>
      </c>
      <c r="E58" s="289" t="s">
        <v>436</v>
      </c>
      <c r="F58" s="421" t="s">
        <v>120</v>
      </c>
      <c r="G58" s="422"/>
      <c r="H58" s="422"/>
      <c r="I58" s="422"/>
      <c r="J58" s="422"/>
      <c r="K58" s="422"/>
      <c r="L58" s="422"/>
      <c r="M58" s="423"/>
      <c r="N58" s="288"/>
      <c r="O58" s="286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 t="s">
        <v>124</v>
      </c>
      <c r="B59" s="420"/>
      <c r="C59" s="289" t="s">
        <v>180</v>
      </c>
      <c r="D59" s="289" t="s">
        <v>117</v>
      </c>
      <c r="E59" s="289" t="s">
        <v>432</v>
      </c>
      <c r="F59" s="421" t="s">
        <v>120</v>
      </c>
      <c r="G59" s="422"/>
      <c r="H59" s="422"/>
      <c r="I59" s="422"/>
      <c r="J59" s="422"/>
      <c r="K59" s="422"/>
      <c r="L59" s="422"/>
      <c r="M59" s="423"/>
      <c r="N59" s="288"/>
      <c r="O59" s="286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 t="s">
        <v>133</v>
      </c>
      <c r="B60" s="420"/>
      <c r="C60" s="289" t="s">
        <v>180</v>
      </c>
      <c r="D60" s="289" t="s">
        <v>117</v>
      </c>
      <c r="E60" s="289" t="s">
        <v>430</v>
      </c>
      <c r="F60" s="421" t="s">
        <v>120</v>
      </c>
      <c r="G60" s="422"/>
      <c r="H60" s="422"/>
      <c r="I60" s="422"/>
      <c r="J60" s="422"/>
      <c r="K60" s="422"/>
      <c r="L60" s="422"/>
      <c r="M60" s="423"/>
      <c r="N60" s="288"/>
      <c r="O60" s="286"/>
      <c r="P60" s="433"/>
      <c r="Q60" s="434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 t="s">
        <v>124</v>
      </c>
      <c r="B61" s="420"/>
      <c r="C61" s="289" t="s">
        <v>139</v>
      </c>
      <c r="D61" s="289" t="s">
        <v>117</v>
      </c>
      <c r="E61" s="289" t="s">
        <v>435</v>
      </c>
      <c r="F61" s="421" t="s">
        <v>203</v>
      </c>
      <c r="G61" s="422"/>
      <c r="H61" s="422"/>
      <c r="I61" s="422"/>
      <c r="J61" s="422"/>
      <c r="K61" s="422"/>
      <c r="L61" s="422"/>
      <c r="M61" s="423"/>
      <c r="N61" s="288"/>
      <c r="O61" s="286"/>
      <c r="P61" s="433"/>
      <c r="Q61" s="434"/>
      <c r="R61" s="420"/>
      <c r="S61" s="420"/>
      <c r="T61" s="420"/>
      <c r="U61" s="420"/>
      <c r="V61" s="410"/>
      <c r="W61" s="410"/>
      <c r="X61" s="410"/>
      <c r="Y61" s="410"/>
      <c r="Z61" s="410"/>
      <c r="AA61" s="410"/>
      <c r="AB61" s="410"/>
      <c r="AC61" s="410"/>
      <c r="AD61" s="424"/>
    </row>
    <row r="62" spans="1:32" ht="27" customHeight="1">
      <c r="A62" s="419"/>
      <c r="B62" s="420"/>
      <c r="C62" s="289"/>
      <c r="D62" s="289"/>
      <c r="E62" s="289"/>
      <c r="F62" s="421"/>
      <c r="G62" s="422"/>
      <c r="H62" s="422"/>
      <c r="I62" s="422"/>
      <c r="J62" s="422"/>
      <c r="K62" s="422"/>
      <c r="L62" s="422"/>
      <c r="M62" s="423"/>
      <c r="N62" s="288"/>
      <c r="O62" s="286"/>
      <c r="P62" s="420"/>
      <c r="Q62" s="420"/>
      <c r="R62" s="420"/>
      <c r="S62" s="420"/>
      <c r="T62" s="420"/>
      <c r="U62" s="420"/>
      <c r="V62" s="410"/>
      <c r="W62" s="410"/>
      <c r="X62" s="410"/>
      <c r="Y62" s="410"/>
      <c r="Z62" s="410"/>
      <c r="AA62" s="410"/>
      <c r="AB62" s="410"/>
      <c r="AC62" s="410"/>
      <c r="AD62" s="424"/>
      <c r="AF62" s="87">
        <f>8*3000</f>
        <v>24000</v>
      </c>
    </row>
    <row r="63" spans="1:32" ht="27" customHeight="1" thickBot="1">
      <c r="A63" s="425"/>
      <c r="B63" s="426"/>
      <c r="C63" s="290"/>
      <c r="D63" s="290"/>
      <c r="E63" s="290"/>
      <c r="F63" s="427"/>
      <c r="G63" s="428"/>
      <c r="H63" s="428"/>
      <c r="I63" s="428"/>
      <c r="J63" s="428"/>
      <c r="K63" s="428"/>
      <c r="L63" s="428"/>
      <c r="M63" s="429"/>
      <c r="N63" s="124"/>
      <c r="O63" s="114"/>
      <c r="P63" s="430"/>
      <c r="Q63" s="430"/>
      <c r="R63" s="430"/>
      <c r="S63" s="430"/>
      <c r="T63" s="430"/>
      <c r="U63" s="430"/>
      <c r="V63" s="431"/>
      <c r="W63" s="431"/>
      <c r="X63" s="431"/>
      <c r="Y63" s="431"/>
      <c r="Z63" s="431"/>
      <c r="AA63" s="431"/>
      <c r="AB63" s="431"/>
      <c r="AC63" s="431"/>
      <c r="AD63" s="432"/>
      <c r="AF63" s="87">
        <f>16*3000</f>
        <v>48000</v>
      </c>
    </row>
    <row r="64" spans="1:32" ht="27.75" thickBot="1">
      <c r="A64" s="417" t="s">
        <v>451</v>
      </c>
      <c r="B64" s="417"/>
      <c r="C64" s="417"/>
      <c r="D64" s="417"/>
      <c r="E64" s="417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7">
        <v>24000</v>
      </c>
    </row>
    <row r="65" spans="1:32" ht="29.25" customHeight="1" thickBot="1">
      <c r="A65" s="418" t="s">
        <v>113</v>
      </c>
      <c r="B65" s="415"/>
      <c r="C65" s="287" t="s">
        <v>2</v>
      </c>
      <c r="D65" s="287" t="s">
        <v>37</v>
      </c>
      <c r="E65" s="287" t="s">
        <v>3</v>
      </c>
      <c r="F65" s="415" t="s">
        <v>110</v>
      </c>
      <c r="G65" s="415"/>
      <c r="H65" s="415"/>
      <c r="I65" s="415"/>
      <c r="J65" s="415"/>
      <c r="K65" s="415" t="s">
        <v>39</v>
      </c>
      <c r="L65" s="415"/>
      <c r="M65" s="287" t="s">
        <v>40</v>
      </c>
      <c r="N65" s="415" t="s">
        <v>41</v>
      </c>
      <c r="O65" s="415"/>
      <c r="P65" s="412" t="s">
        <v>42</v>
      </c>
      <c r="Q65" s="414"/>
      <c r="R65" s="412" t="s">
        <v>43</v>
      </c>
      <c r="S65" s="413"/>
      <c r="T65" s="413"/>
      <c r="U65" s="413"/>
      <c r="V65" s="413"/>
      <c r="W65" s="413"/>
      <c r="X65" s="413"/>
      <c r="Y65" s="413"/>
      <c r="Z65" s="413"/>
      <c r="AA65" s="414"/>
      <c r="AB65" s="415" t="s">
        <v>44</v>
      </c>
      <c r="AC65" s="415"/>
      <c r="AD65" s="416"/>
      <c r="AF65" s="87">
        <f>SUM(AF62:AF64)</f>
        <v>96000</v>
      </c>
    </row>
    <row r="66" spans="1:32" ht="25.5" customHeight="1">
      <c r="A66" s="406">
        <v>1</v>
      </c>
      <c r="B66" s="407"/>
      <c r="C66" s="117" t="s">
        <v>324</v>
      </c>
      <c r="D66" s="282"/>
      <c r="E66" s="285" t="s">
        <v>117</v>
      </c>
      <c r="F66" s="408" t="s">
        <v>452</v>
      </c>
      <c r="G66" s="400"/>
      <c r="H66" s="400"/>
      <c r="I66" s="400"/>
      <c r="J66" s="400"/>
      <c r="K66" s="400" t="s">
        <v>326</v>
      </c>
      <c r="L66" s="400"/>
      <c r="M66" s="51" t="s">
        <v>240</v>
      </c>
      <c r="N66" s="411" t="s">
        <v>143</v>
      </c>
      <c r="O66" s="411"/>
      <c r="P66" s="409">
        <v>100</v>
      </c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2</v>
      </c>
      <c r="B67" s="407"/>
      <c r="C67" s="117"/>
      <c r="D67" s="282"/>
      <c r="E67" s="285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3</v>
      </c>
      <c r="B68" s="407"/>
      <c r="C68" s="117"/>
      <c r="D68" s="282"/>
      <c r="E68" s="285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4</v>
      </c>
      <c r="B69" s="407"/>
      <c r="C69" s="117"/>
      <c r="D69" s="282"/>
      <c r="E69" s="285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5</v>
      </c>
      <c r="B70" s="407"/>
      <c r="C70" s="117"/>
      <c r="D70" s="282"/>
      <c r="E70" s="285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6</v>
      </c>
      <c r="B71" s="407"/>
      <c r="C71" s="117"/>
      <c r="D71" s="282"/>
      <c r="E71" s="285"/>
      <c r="F71" s="408"/>
      <c r="G71" s="400"/>
      <c r="H71" s="400"/>
      <c r="I71" s="400"/>
      <c r="J71" s="400"/>
      <c r="K71" s="400"/>
      <c r="L71" s="400"/>
      <c r="M71" s="51"/>
      <c r="N71" s="411"/>
      <c r="O71" s="411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7</v>
      </c>
      <c r="B72" s="407"/>
      <c r="C72" s="117"/>
      <c r="D72" s="282"/>
      <c r="E72" s="285"/>
      <c r="F72" s="408"/>
      <c r="G72" s="400"/>
      <c r="H72" s="400"/>
      <c r="I72" s="400"/>
      <c r="J72" s="400"/>
      <c r="K72" s="400"/>
      <c r="L72" s="400"/>
      <c r="M72" s="51"/>
      <c r="N72" s="411"/>
      <c r="O72" s="411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5.5" customHeight="1">
      <c r="A73" s="406">
        <v>8</v>
      </c>
      <c r="B73" s="407"/>
      <c r="C73" s="117"/>
      <c r="D73" s="282"/>
      <c r="E73" s="285"/>
      <c r="F73" s="408"/>
      <c r="G73" s="400"/>
      <c r="H73" s="400"/>
      <c r="I73" s="400"/>
      <c r="J73" s="400"/>
      <c r="K73" s="400"/>
      <c r="L73" s="400"/>
      <c r="M73" s="51"/>
      <c r="N73" s="400"/>
      <c r="O73" s="400"/>
      <c r="P73" s="409"/>
      <c r="Q73" s="409"/>
      <c r="R73" s="410"/>
      <c r="S73" s="410"/>
      <c r="T73" s="410"/>
      <c r="U73" s="410"/>
      <c r="V73" s="410"/>
      <c r="W73" s="410"/>
      <c r="X73" s="410"/>
      <c r="Y73" s="410"/>
      <c r="Z73" s="410"/>
      <c r="AA73" s="410"/>
      <c r="AB73" s="400"/>
      <c r="AC73" s="400"/>
      <c r="AD73" s="401"/>
      <c r="AF73" s="50"/>
    </row>
    <row r="74" spans="1:32" ht="26.25" customHeight="1" thickBot="1">
      <c r="A74" s="380" t="s">
        <v>453</v>
      </c>
      <c r="B74" s="380"/>
      <c r="C74" s="380"/>
      <c r="D74" s="380"/>
      <c r="E74" s="380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81" t="s">
        <v>113</v>
      </c>
      <c r="B75" s="382"/>
      <c r="C75" s="284" t="s">
        <v>2</v>
      </c>
      <c r="D75" s="284" t="s">
        <v>37</v>
      </c>
      <c r="E75" s="284" t="s">
        <v>3</v>
      </c>
      <c r="F75" s="382" t="s">
        <v>38</v>
      </c>
      <c r="G75" s="382"/>
      <c r="H75" s="382"/>
      <c r="I75" s="382"/>
      <c r="J75" s="382"/>
      <c r="K75" s="402" t="s">
        <v>58</v>
      </c>
      <c r="L75" s="403"/>
      <c r="M75" s="403"/>
      <c r="N75" s="403"/>
      <c r="O75" s="403"/>
      <c r="P75" s="403"/>
      <c r="Q75" s="403"/>
      <c r="R75" s="403"/>
      <c r="S75" s="404"/>
      <c r="T75" s="382" t="s">
        <v>49</v>
      </c>
      <c r="U75" s="382"/>
      <c r="V75" s="402" t="s">
        <v>50</v>
      </c>
      <c r="W75" s="404"/>
      <c r="X75" s="403" t="s">
        <v>51</v>
      </c>
      <c r="Y75" s="403"/>
      <c r="Z75" s="403"/>
      <c r="AA75" s="403"/>
      <c r="AB75" s="403"/>
      <c r="AC75" s="403"/>
      <c r="AD75" s="405"/>
      <c r="AF75" s="50"/>
    </row>
    <row r="76" spans="1:32" ht="33.75" customHeight="1">
      <c r="A76" s="374">
        <v>1</v>
      </c>
      <c r="B76" s="375"/>
      <c r="C76" s="283" t="s">
        <v>114</v>
      </c>
      <c r="D76" s="283"/>
      <c r="E76" s="65" t="s">
        <v>119</v>
      </c>
      <c r="F76" s="389" t="s">
        <v>118</v>
      </c>
      <c r="G76" s="390"/>
      <c r="H76" s="390"/>
      <c r="I76" s="390"/>
      <c r="J76" s="391"/>
      <c r="K76" s="392" t="s">
        <v>137</v>
      </c>
      <c r="L76" s="393"/>
      <c r="M76" s="393"/>
      <c r="N76" s="393"/>
      <c r="O76" s="393"/>
      <c r="P76" s="393"/>
      <c r="Q76" s="393"/>
      <c r="R76" s="393"/>
      <c r="S76" s="394"/>
      <c r="T76" s="395">
        <v>43675</v>
      </c>
      <c r="U76" s="396"/>
      <c r="V76" s="397"/>
      <c r="W76" s="397"/>
      <c r="X76" s="398"/>
      <c r="Y76" s="398"/>
      <c r="Z76" s="398"/>
      <c r="AA76" s="398"/>
      <c r="AB76" s="398"/>
      <c r="AC76" s="398"/>
      <c r="AD76" s="399"/>
      <c r="AF76" s="50"/>
    </row>
    <row r="77" spans="1:32" ht="30" customHeight="1">
      <c r="A77" s="367">
        <f>A76+1</f>
        <v>2</v>
      </c>
      <c r="B77" s="368"/>
      <c r="C77" s="282"/>
      <c r="D77" s="282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ref="A78:A84" si="22">A77+1</f>
        <v>3</v>
      </c>
      <c r="B78" s="368"/>
      <c r="C78" s="282"/>
      <c r="D78" s="282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2"/>
        <v>4</v>
      </c>
      <c r="B79" s="368"/>
      <c r="C79" s="282"/>
      <c r="D79" s="282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2"/>
        <v>5</v>
      </c>
      <c r="B80" s="368"/>
      <c r="C80" s="282"/>
      <c r="D80" s="282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2"/>
        <v>6</v>
      </c>
      <c r="B81" s="368"/>
      <c r="C81" s="282"/>
      <c r="D81" s="282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2"/>
        <v>7</v>
      </c>
      <c r="B82" s="368"/>
      <c r="C82" s="282"/>
      <c r="D82" s="282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22"/>
        <v>8</v>
      </c>
      <c r="B83" s="368"/>
      <c r="C83" s="282"/>
      <c r="D83" s="282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0" customHeight="1">
      <c r="A84" s="367">
        <f t="shared" si="22"/>
        <v>9</v>
      </c>
      <c r="B84" s="368"/>
      <c r="C84" s="282"/>
      <c r="D84" s="282"/>
      <c r="E84" s="32"/>
      <c r="F84" s="368"/>
      <c r="G84" s="368"/>
      <c r="H84" s="368"/>
      <c r="I84" s="368"/>
      <c r="J84" s="368"/>
      <c r="K84" s="383"/>
      <c r="L84" s="384"/>
      <c r="M84" s="384"/>
      <c r="N84" s="384"/>
      <c r="O84" s="384"/>
      <c r="P84" s="384"/>
      <c r="Q84" s="384"/>
      <c r="R84" s="384"/>
      <c r="S84" s="385"/>
      <c r="T84" s="386"/>
      <c r="U84" s="386"/>
      <c r="V84" s="386"/>
      <c r="W84" s="386"/>
      <c r="X84" s="387"/>
      <c r="Y84" s="387"/>
      <c r="Z84" s="387"/>
      <c r="AA84" s="387"/>
      <c r="AB84" s="387"/>
      <c r="AC84" s="387"/>
      <c r="AD84" s="388"/>
      <c r="AF84" s="50"/>
    </row>
    <row r="85" spans="1:32" ht="36" thickBot="1">
      <c r="A85" s="380" t="s">
        <v>454</v>
      </c>
      <c r="B85" s="380"/>
      <c r="C85" s="380"/>
      <c r="D85" s="380"/>
      <c r="E85" s="380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381" t="s">
        <v>113</v>
      </c>
      <c r="B86" s="382"/>
      <c r="C86" s="372" t="s">
        <v>52</v>
      </c>
      <c r="D86" s="372"/>
      <c r="E86" s="372" t="s">
        <v>53</v>
      </c>
      <c r="F86" s="372"/>
      <c r="G86" s="372"/>
      <c r="H86" s="372"/>
      <c r="I86" s="372"/>
      <c r="J86" s="372"/>
      <c r="K86" s="372" t="s">
        <v>54</v>
      </c>
      <c r="L86" s="372"/>
      <c r="M86" s="372"/>
      <c r="N86" s="372"/>
      <c r="O86" s="372"/>
      <c r="P86" s="372"/>
      <c r="Q86" s="372"/>
      <c r="R86" s="372"/>
      <c r="S86" s="372"/>
      <c r="T86" s="372" t="s">
        <v>55</v>
      </c>
      <c r="U86" s="372"/>
      <c r="V86" s="372" t="s">
        <v>56</v>
      </c>
      <c r="W86" s="372"/>
      <c r="X86" s="372"/>
      <c r="Y86" s="372" t="s">
        <v>51</v>
      </c>
      <c r="Z86" s="372"/>
      <c r="AA86" s="372"/>
      <c r="AB86" s="372"/>
      <c r="AC86" s="372"/>
      <c r="AD86" s="373"/>
      <c r="AF86" s="50"/>
    </row>
    <row r="87" spans="1:32" ht="30.75" customHeight="1">
      <c r="A87" s="374">
        <v>1</v>
      </c>
      <c r="B87" s="375"/>
      <c r="C87" s="376">
        <v>11</v>
      </c>
      <c r="D87" s="376"/>
      <c r="E87" s="376" t="s">
        <v>162</v>
      </c>
      <c r="F87" s="376"/>
      <c r="G87" s="376"/>
      <c r="H87" s="376"/>
      <c r="I87" s="376"/>
      <c r="J87" s="376"/>
      <c r="K87" s="376" t="s">
        <v>163</v>
      </c>
      <c r="L87" s="376"/>
      <c r="M87" s="376"/>
      <c r="N87" s="376"/>
      <c r="O87" s="376"/>
      <c r="P87" s="376"/>
      <c r="Q87" s="376"/>
      <c r="R87" s="376"/>
      <c r="S87" s="376"/>
      <c r="T87" s="376" t="s">
        <v>164</v>
      </c>
      <c r="U87" s="376"/>
      <c r="V87" s="377">
        <v>600000</v>
      </c>
      <c r="W87" s="377"/>
      <c r="X87" s="377"/>
      <c r="Y87" s="378"/>
      <c r="Z87" s="378"/>
      <c r="AA87" s="378"/>
      <c r="AB87" s="378"/>
      <c r="AC87" s="378"/>
      <c r="AD87" s="379"/>
      <c r="AF87" s="50"/>
    </row>
    <row r="88" spans="1:32" ht="30.75" customHeight="1">
      <c r="A88" s="367">
        <v>2</v>
      </c>
      <c r="B88" s="368"/>
      <c r="C88" s="369"/>
      <c r="D88" s="369"/>
      <c r="E88" s="369"/>
      <c r="F88" s="369"/>
      <c r="G88" s="369"/>
      <c r="H88" s="369"/>
      <c r="I88" s="369"/>
      <c r="J88" s="369"/>
      <c r="K88" s="369"/>
      <c r="L88" s="369"/>
      <c r="M88" s="369"/>
      <c r="N88" s="369"/>
      <c r="O88" s="369"/>
      <c r="P88" s="369"/>
      <c r="Q88" s="369"/>
      <c r="R88" s="369"/>
      <c r="S88" s="369"/>
      <c r="T88" s="370"/>
      <c r="U88" s="370"/>
      <c r="V88" s="371"/>
      <c r="W88" s="371"/>
      <c r="X88" s="371"/>
      <c r="Y88" s="360"/>
      <c r="Z88" s="360"/>
      <c r="AA88" s="360"/>
      <c r="AB88" s="360"/>
      <c r="AC88" s="360"/>
      <c r="AD88" s="361"/>
      <c r="AF88" s="50"/>
    </row>
    <row r="89" spans="1:32" ht="30.75" customHeight="1" thickBot="1">
      <c r="A89" s="362">
        <v>3</v>
      </c>
      <c r="B89" s="363"/>
      <c r="C89" s="364"/>
      <c r="D89" s="364"/>
      <c r="E89" s="364"/>
      <c r="F89" s="36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64"/>
      <c r="R89" s="364"/>
      <c r="S89" s="364"/>
      <c r="T89" s="364"/>
      <c r="U89" s="364"/>
      <c r="V89" s="364"/>
      <c r="W89" s="364"/>
      <c r="X89" s="364"/>
      <c r="Y89" s="365"/>
      <c r="Z89" s="365"/>
      <c r="AA89" s="365"/>
      <c r="AB89" s="365"/>
      <c r="AC89" s="365"/>
      <c r="AD89" s="366"/>
      <c r="AF89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9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20B5-EB8D-4A24-B4E5-88DB8D3150E4}"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455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92" t="s">
        <v>17</v>
      </c>
      <c r="L5" s="292" t="s">
        <v>18</v>
      </c>
      <c r="M5" s="292" t="s">
        <v>19</v>
      </c>
      <c r="N5" s="29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18" si="7">AC6*AB6*(1-O6)</f>
        <v>0</v>
      </c>
      <c r="AE6" s="36">
        <f t="shared" ref="AE6:AE21" si="8">$AD$22</f>
        <v>0.21666666666666667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0.21666666666666667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50000</v>
      </c>
      <c r="J8" s="14">
        <v>1866</v>
      </c>
      <c r="K8" s="15">
        <f>L8+1722+1917+1867+4092+4437+4478+4488+4622</f>
        <v>29489</v>
      </c>
      <c r="L8" s="15">
        <v>1866</v>
      </c>
      <c r="M8" s="15">
        <f t="shared" si="1"/>
        <v>1866</v>
      </c>
      <c r="N8" s="15">
        <v>0</v>
      </c>
      <c r="O8" s="58">
        <f t="shared" si="2"/>
        <v>0</v>
      </c>
      <c r="P8" s="39">
        <f t="shared" si="3"/>
        <v>11</v>
      </c>
      <c r="Q8" s="40">
        <f t="shared" si="4"/>
        <v>13</v>
      </c>
      <c r="R8" s="7"/>
      <c r="S8" s="6"/>
      <c r="T8" s="16"/>
      <c r="U8" s="16"/>
      <c r="V8" s="17">
        <v>13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0.45833333333333331</v>
      </c>
      <c r="AD8" s="10">
        <f t="shared" si="7"/>
        <v>0.45833333333333331</v>
      </c>
      <c r="AE8" s="36">
        <f t="shared" si="8"/>
        <v>0.21666666666666667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1391</v>
      </c>
      <c r="K9" s="15">
        <f>L9+1593+1896+2807+1401+3459+1160+3830+650+1584+2358+4249+584+4731+3038+1149</f>
        <v>35880</v>
      </c>
      <c r="L9" s="15">
        <v>1391</v>
      </c>
      <c r="M9" s="15">
        <f t="shared" si="1"/>
        <v>1391</v>
      </c>
      <c r="N9" s="15">
        <v>0</v>
      </c>
      <c r="O9" s="58">
        <f t="shared" si="2"/>
        <v>0</v>
      </c>
      <c r="P9" s="39">
        <f t="shared" si="3"/>
        <v>8</v>
      </c>
      <c r="Q9" s="40">
        <f t="shared" si="4"/>
        <v>16</v>
      </c>
      <c r="R9" s="7"/>
      <c r="S9" s="6">
        <v>3</v>
      </c>
      <c r="T9" s="16"/>
      <c r="U9" s="16"/>
      <c r="V9" s="17">
        <v>13</v>
      </c>
      <c r="W9" s="5"/>
      <c r="X9" s="16"/>
      <c r="Y9" s="16"/>
      <c r="Z9" s="16"/>
      <c r="AA9" s="18"/>
      <c r="AB9" s="8">
        <f t="shared" si="5"/>
        <v>1</v>
      </c>
      <c r="AC9" s="9">
        <f t="shared" si="6"/>
        <v>0.33333333333333331</v>
      </c>
      <c r="AD9" s="10">
        <f t="shared" si="7"/>
        <v>0.33333333333333331</v>
      </c>
      <c r="AE9" s="36">
        <f t="shared" si="8"/>
        <v>0.21666666666666667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154</v>
      </c>
      <c r="E10" s="53" t="s">
        <v>160</v>
      </c>
      <c r="F10" s="30" t="s">
        <v>127</v>
      </c>
      <c r="G10" s="33">
        <v>2</v>
      </c>
      <c r="H10" s="35">
        <v>24</v>
      </c>
      <c r="I10" s="7">
        <v>90000</v>
      </c>
      <c r="J10" s="5">
        <v>4772</v>
      </c>
      <c r="K10" s="15">
        <f>L10+10866+11456+11694</f>
        <v>38788</v>
      </c>
      <c r="L10" s="15">
        <f>2386*2</f>
        <v>4772</v>
      </c>
      <c r="M10" s="15">
        <f t="shared" si="1"/>
        <v>4772</v>
      </c>
      <c r="N10" s="15">
        <v>0</v>
      </c>
      <c r="O10" s="58">
        <f t="shared" si="2"/>
        <v>0</v>
      </c>
      <c r="P10" s="39">
        <f t="shared" si="3"/>
        <v>11</v>
      </c>
      <c r="Q10" s="40">
        <f t="shared" si="4"/>
        <v>13</v>
      </c>
      <c r="R10" s="7"/>
      <c r="S10" s="6"/>
      <c r="T10" s="16"/>
      <c r="U10" s="16"/>
      <c r="V10" s="17">
        <v>13</v>
      </c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0.45833333333333331</v>
      </c>
      <c r="AD10" s="10">
        <f>AC10*AB10*(1-O10)</f>
        <v>0.45833333333333331</v>
      </c>
      <c r="AE10" s="36">
        <f t="shared" si="8"/>
        <v>0.21666666666666667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133</v>
      </c>
      <c r="D11" s="52" t="s">
        <v>117</v>
      </c>
      <c r="E11" s="53" t="s">
        <v>436</v>
      </c>
      <c r="F11" s="30" t="s">
        <v>121</v>
      </c>
      <c r="G11" s="33">
        <v>1</v>
      </c>
      <c r="H11" s="35">
        <v>24</v>
      </c>
      <c r="I11" s="7">
        <v>20000</v>
      </c>
      <c r="J11" s="14">
        <v>2075</v>
      </c>
      <c r="K11" s="15">
        <f>L11+3151</f>
        <v>5226</v>
      </c>
      <c r="L11" s="15">
        <v>2075</v>
      </c>
      <c r="M11" s="15">
        <f t="shared" si="1"/>
        <v>2075</v>
      </c>
      <c r="N11" s="15">
        <v>0</v>
      </c>
      <c r="O11" s="58">
        <f t="shared" si="2"/>
        <v>0</v>
      </c>
      <c r="P11" s="39">
        <f t="shared" si="3"/>
        <v>11</v>
      </c>
      <c r="Q11" s="40">
        <f t="shared" si="4"/>
        <v>13</v>
      </c>
      <c r="R11" s="7"/>
      <c r="S11" s="6"/>
      <c r="T11" s="16"/>
      <c r="U11" s="16"/>
      <c r="V11" s="17">
        <v>13</v>
      </c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0.45833333333333331</v>
      </c>
      <c r="AD11" s="10">
        <f t="shared" ref="AD11" si="10">AC11*AB11*(1-O11)</f>
        <v>0.45833333333333331</v>
      </c>
      <c r="AE11" s="36">
        <f t="shared" si="8"/>
        <v>0.21666666666666667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435</v>
      </c>
      <c r="F12" s="30" t="s">
        <v>121</v>
      </c>
      <c r="G12" s="33">
        <v>1</v>
      </c>
      <c r="H12" s="35">
        <v>20</v>
      </c>
      <c r="I12" s="7">
        <v>2500</v>
      </c>
      <c r="J12" s="14">
        <v>1852</v>
      </c>
      <c r="K12" s="15">
        <f>L12+2223</f>
        <v>4075</v>
      </c>
      <c r="L12" s="15">
        <v>1852</v>
      </c>
      <c r="M12" s="15">
        <f t="shared" si="1"/>
        <v>1852</v>
      </c>
      <c r="N12" s="15">
        <v>0</v>
      </c>
      <c r="O12" s="58">
        <f t="shared" si="2"/>
        <v>0</v>
      </c>
      <c r="P12" s="39">
        <f t="shared" si="3"/>
        <v>11</v>
      </c>
      <c r="Q12" s="40">
        <f t="shared" si="4"/>
        <v>13</v>
      </c>
      <c r="R12" s="7"/>
      <c r="S12" s="6"/>
      <c r="T12" s="16"/>
      <c r="U12" s="16"/>
      <c r="V12" s="17">
        <v>13</v>
      </c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0.45833333333333331</v>
      </c>
      <c r="AD12" s="10">
        <f t="shared" si="7"/>
        <v>0.45833333333333331</v>
      </c>
      <c r="AE12" s="36">
        <f t="shared" si="8"/>
        <v>0.21666666666666667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148</v>
      </c>
      <c r="E13" s="53" t="s">
        <v>449</v>
      </c>
      <c r="F13" s="30" t="s">
        <v>253</v>
      </c>
      <c r="G13" s="33">
        <v>1</v>
      </c>
      <c r="H13" s="35">
        <v>24</v>
      </c>
      <c r="I13" s="7">
        <v>250</v>
      </c>
      <c r="J13" s="14">
        <v>416</v>
      </c>
      <c r="K13" s="15">
        <f>L13</f>
        <v>416</v>
      </c>
      <c r="L13" s="15">
        <v>416</v>
      </c>
      <c r="M13" s="15">
        <f t="shared" si="1"/>
        <v>416</v>
      </c>
      <c r="N13" s="15">
        <v>0</v>
      </c>
      <c r="O13" s="58">
        <f t="shared" si="2"/>
        <v>0</v>
      </c>
      <c r="P13" s="39">
        <f t="shared" si="3"/>
        <v>3</v>
      </c>
      <c r="Q13" s="40">
        <f t="shared" si="4"/>
        <v>21</v>
      </c>
      <c r="R13" s="7"/>
      <c r="S13" s="6"/>
      <c r="T13" s="16"/>
      <c r="U13" s="16"/>
      <c r="V13" s="17"/>
      <c r="W13" s="5">
        <v>21</v>
      </c>
      <c r="X13" s="16"/>
      <c r="Y13" s="16"/>
      <c r="Z13" s="16"/>
      <c r="AA13" s="18"/>
      <c r="AB13" s="8">
        <f t="shared" si="5"/>
        <v>1</v>
      </c>
      <c r="AC13" s="9">
        <f t="shared" si="6"/>
        <v>0.125</v>
      </c>
      <c r="AD13" s="10">
        <f t="shared" si="7"/>
        <v>0.125</v>
      </c>
      <c r="AE13" s="36">
        <f t="shared" si="8"/>
        <v>0.21666666666666667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154</v>
      </c>
      <c r="E14" s="53" t="s">
        <v>450</v>
      </c>
      <c r="F14" s="30" t="s">
        <v>129</v>
      </c>
      <c r="G14" s="33">
        <v>1</v>
      </c>
      <c r="H14" s="35">
        <v>24</v>
      </c>
      <c r="I14" s="7">
        <v>2000</v>
      </c>
      <c r="J14" s="14">
        <v>2158</v>
      </c>
      <c r="K14" s="15">
        <f>L14</f>
        <v>2158</v>
      </c>
      <c r="L14" s="15">
        <f>1079*2</f>
        <v>2158</v>
      </c>
      <c r="M14" s="15">
        <f t="shared" si="1"/>
        <v>2158</v>
      </c>
      <c r="N14" s="15">
        <v>0</v>
      </c>
      <c r="O14" s="58">
        <f t="shared" si="2"/>
        <v>0</v>
      </c>
      <c r="P14" s="39">
        <f t="shared" si="3"/>
        <v>7</v>
      </c>
      <c r="Q14" s="40">
        <f t="shared" si="4"/>
        <v>17</v>
      </c>
      <c r="R14" s="7"/>
      <c r="S14" s="6"/>
      <c r="T14" s="16"/>
      <c r="U14" s="16"/>
      <c r="V14" s="17"/>
      <c r="W14" s="5">
        <v>17</v>
      </c>
      <c r="X14" s="16"/>
      <c r="Y14" s="16"/>
      <c r="Z14" s="16"/>
      <c r="AA14" s="18"/>
      <c r="AB14" s="8">
        <f t="shared" si="5"/>
        <v>1</v>
      </c>
      <c r="AC14" s="9">
        <f t="shared" si="6"/>
        <v>0.29166666666666669</v>
      </c>
      <c r="AD14" s="10">
        <f t="shared" si="7"/>
        <v>0.29166666666666669</v>
      </c>
      <c r="AE14" s="36">
        <f t="shared" si="8"/>
        <v>0.21666666666666667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196</v>
      </c>
      <c r="E15" s="53" t="s">
        <v>189</v>
      </c>
      <c r="F15" s="30" t="s">
        <v>197</v>
      </c>
      <c r="G15" s="12">
        <v>1</v>
      </c>
      <c r="H15" s="13">
        <v>28</v>
      </c>
      <c r="I15" s="7">
        <v>2000</v>
      </c>
      <c r="J15" s="5">
        <v>1045</v>
      </c>
      <c r="K15" s="15">
        <f>L15+620+500+1045</f>
        <v>2165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0.21666666666666667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133</v>
      </c>
      <c r="D16" s="52" t="s">
        <v>242</v>
      </c>
      <c r="E16" s="53" t="s">
        <v>241</v>
      </c>
      <c r="F16" s="12">
        <v>8301</v>
      </c>
      <c r="G16" s="12">
        <v>1</v>
      </c>
      <c r="H16" s="13">
        <v>24</v>
      </c>
      <c r="I16" s="31">
        <v>1000</v>
      </c>
      <c r="J16" s="14">
        <v>1194</v>
      </c>
      <c r="K16" s="15">
        <f>L16+1194</f>
        <v>1194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0.21666666666666667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124</v>
      </c>
      <c r="D17" s="52" t="s">
        <v>128</v>
      </c>
      <c r="E17" s="53" t="s">
        <v>150</v>
      </c>
      <c r="F17" s="30" t="s">
        <v>129</v>
      </c>
      <c r="G17" s="12">
        <v>1</v>
      </c>
      <c r="H17" s="13">
        <v>28</v>
      </c>
      <c r="I17" s="7">
        <v>9000</v>
      </c>
      <c r="J17" s="14">
        <v>4928</v>
      </c>
      <c r="K17" s="15">
        <f>L17+5027+5503+5566+4928</f>
        <v>21024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0.21666666666666667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133</v>
      </c>
      <c r="D18" s="52" t="s">
        <v>128</v>
      </c>
      <c r="E18" s="53" t="s">
        <v>422</v>
      </c>
      <c r="F18" s="30" t="s">
        <v>151</v>
      </c>
      <c r="G18" s="33">
        <v>4</v>
      </c>
      <c r="H18" s="35">
        <v>20</v>
      </c>
      <c r="I18" s="7">
        <v>15000</v>
      </c>
      <c r="J18" s="14">
        <v>10856</v>
      </c>
      <c r="K18" s="15">
        <f>L18+10472+10856</f>
        <v>21328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0.21666666666666667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124</v>
      </c>
      <c r="D19" s="52" t="s">
        <v>456</v>
      </c>
      <c r="E19" s="53" t="s">
        <v>457</v>
      </c>
      <c r="F19" s="30" t="s">
        <v>212</v>
      </c>
      <c r="G19" s="33">
        <v>1</v>
      </c>
      <c r="H19" s="35">
        <v>24</v>
      </c>
      <c r="I19" s="7">
        <v>16000</v>
      </c>
      <c r="J19" s="5">
        <v>921</v>
      </c>
      <c r="K19" s="15">
        <f>L19</f>
        <v>921</v>
      </c>
      <c r="L19" s="15">
        <v>921</v>
      </c>
      <c r="M19" s="15">
        <f t="shared" si="1"/>
        <v>921</v>
      </c>
      <c r="N19" s="15">
        <v>0</v>
      </c>
      <c r="O19" s="58">
        <f t="shared" si="2"/>
        <v>0</v>
      </c>
      <c r="P19" s="39">
        <f t="shared" si="3"/>
        <v>5</v>
      </c>
      <c r="Q19" s="40">
        <f t="shared" si="4"/>
        <v>19</v>
      </c>
      <c r="R19" s="7"/>
      <c r="S19" s="6">
        <v>19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0.20833333333333334</v>
      </c>
      <c r="AD19" s="10">
        <f>AC19*AB19*(1-O19)</f>
        <v>0.20833333333333334</v>
      </c>
      <c r="AE19" s="36">
        <f t="shared" si="8"/>
        <v>0.21666666666666667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122</v>
      </c>
      <c r="E20" s="53" t="s">
        <v>424</v>
      </c>
      <c r="F20" s="30" t="s">
        <v>212</v>
      </c>
      <c r="G20" s="33">
        <v>1</v>
      </c>
      <c r="H20" s="35">
        <v>24</v>
      </c>
      <c r="I20" s="7">
        <v>50000</v>
      </c>
      <c r="J20" s="14">
        <v>2303</v>
      </c>
      <c r="K20" s="15">
        <f>L20+2211+5670</f>
        <v>10184</v>
      </c>
      <c r="L20" s="15">
        <v>2303</v>
      </c>
      <c r="M20" s="15">
        <f t="shared" si="1"/>
        <v>2303</v>
      </c>
      <c r="N20" s="15">
        <v>0</v>
      </c>
      <c r="O20" s="58">
        <f t="shared" si="2"/>
        <v>0</v>
      </c>
      <c r="P20" s="39">
        <f t="shared" si="3"/>
        <v>11</v>
      </c>
      <c r="Q20" s="40">
        <f t="shared" si="4"/>
        <v>13</v>
      </c>
      <c r="R20" s="7"/>
      <c r="S20" s="6"/>
      <c r="T20" s="16"/>
      <c r="U20" s="16"/>
      <c r="V20" s="17">
        <v>13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0.45833333333333331</v>
      </c>
      <c r="AD20" s="10">
        <f t="shared" ref="AD20:AD21" si="11">AC20*AB20*(1-O20)</f>
        <v>0.45833333333333331</v>
      </c>
      <c r="AE20" s="36">
        <f t="shared" si="8"/>
        <v>0.21666666666666667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152</v>
      </c>
      <c r="F21" s="12" t="s">
        <v>116</v>
      </c>
      <c r="G21" s="12">
        <v>3</v>
      </c>
      <c r="H21" s="35">
        <v>20</v>
      </c>
      <c r="I21" s="7">
        <v>300000</v>
      </c>
      <c r="J21" s="14">
        <v>25017</v>
      </c>
      <c r="K21" s="15">
        <f>L21+54642+62589+25017</f>
        <v>142248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11"/>
        <v>0</v>
      </c>
      <c r="AE21" s="36">
        <f t="shared" si="8"/>
        <v>0.21666666666666667</v>
      </c>
      <c r="AF21" s="87">
        <f t="shared" si="9"/>
        <v>15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 t="shared" ref="I22:N22" si="12">SUM(I6:I21)</f>
        <v>628750</v>
      </c>
      <c r="J22" s="19">
        <f t="shared" si="12"/>
        <v>62855</v>
      </c>
      <c r="K22" s="20">
        <f t="shared" si="12"/>
        <v>326644</v>
      </c>
      <c r="L22" s="21">
        <f t="shared" si="12"/>
        <v>17754</v>
      </c>
      <c r="M22" s="20">
        <f t="shared" si="12"/>
        <v>17754</v>
      </c>
      <c r="N22" s="21">
        <f t="shared" si="12"/>
        <v>0</v>
      </c>
      <c r="O22" s="41">
        <f t="shared" si="2"/>
        <v>0</v>
      </c>
      <c r="P22" s="42">
        <f t="shared" ref="P22:AA22" si="13">SUM(P6:P21)</f>
        <v>78</v>
      </c>
      <c r="Q22" s="43">
        <f t="shared" si="13"/>
        <v>306</v>
      </c>
      <c r="R22" s="23">
        <f t="shared" si="13"/>
        <v>48</v>
      </c>
      <c r="S22" s="24">
        <f t="shared" si="13"/>
        <v>46</v>
      </c>
      <c r="T22" s="24">
        <f t="shared" si="13"/>
        <v>0</v>
      </c>
      <c r="U22" s="24">
        <f t="shared" si="13"/>
        <v>0</v>
      </c>
      <c r="V22" s="25">
        <f t="shared" si="13"/>
        <v>102</v>
      </c>
      <c r="W22" s="26">
        <f t="shared" si="13"/>
        <v>110</v>
      </c>
      <c r="X22" s="27">
        <f t="shared" si="13"/>
        <v>0</v>
      </c>
      <c r="Y22" s="27">
        <f t="shared" si="13"/>
        <v>0</v>
      </c>
      <c r="Z22" s="27">
        <f t="shared" si="13"/>
        <v>0</v>
      </c>
      <c r="AA22" s="27">
        <f t="shared" si="13"/>
        <v>0</v>
      </c>
      <c r="AB22" s="28">
        <f>SUM(AB6:AB21)/15</f>
        <v>0.6</v>
      </c>
      <c r="AC22" s="4">
        <f>SUM(AC6:AC21)/15</f>
        <v>0.21666666666666667</v>
      </c>
      <c r="AD22" s="4">
        <f>SUM(AD6:AD21)/15</f>
        <v>0.21666666666666667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458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460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291" t="s">
        <v>46</v>
      </c>
      <c r="D51" s="291" t="s">
        <v>47</v>
      </c>
      <c r="E51" s="291" t="s">
        <v>108</v>
      </c>
      <c r="F51" s="448" t="s">
        <v>107</v>
      </c>
      <c r="G51" s="448"/>
      <c r="H51" s="448"/>
      <c r="I51" s="448"/>
      <c r="J51" s="448"/>
      <c r="K51" s="448"/>
      <c r="L51" s="448"/>
      <c r="M51" s="449"/>
      <c r="N51" s="67" t="s">
        <v>112</v>
      </c>
      <c r="O51" s="291" t="s">
        <v>46</v>
      </c>
      <c r="P51" s="450" t="s">
        <v>47</v>
      </c>
      <c r="Q51" s="451"/>
      <c r="R51" s="450" t="s">
        <v>38</v>
      </c>
      <c r="S51" s="452"/>
      <c r="T51" s="452"/>
      <c r="U51" s="451"/>
      <c r="V51" s="450" t="s">
        <v>48</v>
      </c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19" t="s">
        <v>124</v>
      </c>
      <c r="B52" s="420"/>
      <c r="C52" s="289" t="s">
        <v>184</v>
      </c>
      <c r="D52" s="289" t="s">
        <v>148</v>
      </c>
      <c r="E52" s="289" t="s">
        <v>191</v>
      </c>
      <c r="F52" s="421" t="s">
        <v>126</v>
      </c>
      <c r="G52" s="422"/>
      <c r="H52" s="422"/>
      <c r="I52" s="422"/>
      <c r="J52" s="422"/>
      <c r="K52" s="422"/>
      <c r="L52" s="422"/>
      <c r="M52" s="423"/>
      <c r="N52" s="288" t="s">
        <v>124</v>
      </c>
      <c r="O52" s="286" t="s">
        <v>180</v>
      </c>
      <c r="P52" s="433" t="s">
        <v>447</v>
      </c>
      <c r="Q52" s="434"/>
      <c r="R52" s="420" t="s">
        <v>448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114</v>
      </c>
      <c r="B53" s="420"/>
      <c r="C53" s="289" t="s">
        <v>143</v>
      </c>
      <c r="D53" s="289" t="s">
        <v>154</v>
      </c>
      <c r="E53" s="289" t="s">
        <v>450</v>
      </c>
      <c r="F53" s="421" t="s">
        <v>120</v>
      </c>
      <c r="G53" s="422"/>
      <c r="H53" s="422"/>
      <c r="I53" s="422"/>
      <c r="J53" s="422"/>
      <c r="K53" s="422"/>
      <c r="L53" s="422"/>
      <c r="M53" s="423"/>
      <c r="N53" s="288" t="s">
        <v>124</v>
      </c>
      <c r="O53" s="286" t="s">
        <v>139</v>
      </c>
      <c r="P53" s="433" t="s">
        <v>117</v>
      </c>
      <c r="Q53" s="434"/>
      <c r="R53" s="420" t="s">
        <v>168</v>
      </c>
      <c r="S53" s="420"/>
      <c r="T53" s="420"/>
      <c r="U53" s="420"/>
      <c r="V53" s="410" t="s">
        <v>120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114</v>
      </c>
      <c r="B54" s="420"/>
      <c r="C54" s="289" t="s">
        <v>143</v>
      </c>
      <c r="D54" s="289" t="s">
        <v>148</v>
      </c>
      <c r="E54" s="289" t="s">
        <v>449</v>
      </c>
      <c r="F54" s="421" t="s">
        <v>120</v>
      </c>
      <c r="G54" s="422"/>
      <c r="H54" s="422"/>
      <c r="I54" s="422"/>
      <c r="J54" s="422"/>
      <c r="K54" s="422"/>
      <c r="L54" s="422"/>
      <c r="M54" s="423"/>
      <c r="N54" s="288" t="s">
        <v>133</v>
      </c>
      <c r="O54" s="286" t="s">
        <v>135</v>
      </c>
      <c r="P54" s="433" t="s">
        <v>148</v>
      </c>
      <c r="Q54" s="434"/>
      <c r="R54" s="420" t="s">
        <v>461</v>
      </c>
      <c r="S54" s="420"/>
      <c r="T54" s="420"/>
      <c r="U54" s="420"/>
      <c r="V54" s="410" t="s">
        <v>120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124</v>
      </c>
      <c r="B55" s="420"/>
      <c r="C55" s="289" t="s">
        <v>180</v>
      </c>
      <c r="D55" s="289" t="s">
        <v>456</v>
      </c>
      <c r="E55" s="289" t="s">
        <v>459</v>
      </c>
      <c r="F55" s="421" t="s">
        <v>202</v>
      </c>
      <c r="G55" s="422"/>
      <c r="H55" s="422"/>
      <c r="I55" s="422"/>
      <c r="J55" s="422"/>
      <c r="K55" s="422"/>
      <c r="L55" s="422"/>
      <c r="M55" s="423"/>
      <c r="N55" s="288"/>
      <c r="O55" s="286"/>
      <c r="P55" s="433"/>
      <c r="Q55" s="434"/>
      <c r="R55" s="433"/>
      <c r="S55" s="476"/>
      <c r="T55" s="476"/>
      <c r="U55" s="434"/>
      <c r="V55" s="421"/>
      <c r="W55" s="422"/>
      <c r="X55" s="422"/>
      <c r="Y55" s="422"/>
      <c r="Z55" s="422"/>
      <c r="AA55" s="422"/>
      <c r="AB55" s="422"/>
      <c r="AC55" s="422"/>
      <c r="AD55" s="423"/>
    </row>
    <row r="56" spans="1:32" ht="27" customHeight="1">
      <c r="A56" s="419"/>
      <c r="B56" s="420"/>
      <c r="C56" s="289"/>
      <c r="D56" s="289"/>
      <c r="E56" s="289"/>
      <c r="F56" s="421"/>
      <c r="G56" s="422"/>
      <c r="H56" s="422"/>
      <c r="I56" s="422"/>
      <c r="J56" s="422"/>
      <c r="K56" s="422"/>
      <c r="L56" s="422"/>
      <c r="M56" s="423"/>
      <c r="N56" s="288"/>
      <c r="O56" s="286"/>
      <c r="P56" s="433"/>
      <c r="Q56" s="434"/>
      <c r="R56" s="420"/>
      <c r="S56" s="420"/>
      <c r="T56" s="420"/>
      <c r="U56" s="420"/>
      <c r="V56" s="410"/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/>
      <c r="B57" s="420"/>
      <c r="C57" s="289"/>
      <c r="D57" s="289"/>
      <c r="E57" s="289"/>
      <c r="F57" s="421"/>
      <c r="G57" s="422"/>
      <c r="H57" s="422"/>
      <c r="I57" s="422"/>
      <c r="J57" s="422"/>
      <c r="K57" s="422"/>
      <c r="L57" s="422"/>
      <c r="M57" s="423"/>
      <c r="N57" s="288"/>
      <c r="O57" s="286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289"/>
      <c r="D58" s="289"/>
      <c r="E58" s="289"/>
      <c r="F58" s="421"/>
      <c r="G58" s="422"/>
      <c r="H58" s="422"/>
      <c r="I58" s="422"/>
      <c r="J58" s="422"/>
      <c r="K58" s="422"/>
      <c r="L58" s="422"/>
      <c r="M58" s="423"/>
      <c r="N58" s="288"/>
      <c r="O58" s="286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89"/>
      <c r="D59" s="289"/>
      <c r="E59" s="289"/>
      <c r="F59" s="421"/>
      <c r="G59" s="422"/>
      <c r="H59" s="422"/>
      <c r="I59" s="422"/>
      <c r="J59" s="422"/>
      <c r="K59" s="422"/>
      <c r="L59" s="422"/>
      <c r="M59" s="423"/>
      <c r="N59" s="288"/>
      <c r="O59" s="286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289"/>
      <c r="D60" s="289"/>
      <c r="E60" s="289"/>
      <c r="F60" s="421"/>
      <c r="G60" s="422"/>
      <c r="H60" s="422"/>
      <c r="I60" s="422"/>
      <c r="J60" s="422"/>
      <c r="K60" s="422"/>
      <c r="L60" s="422"/>
      <c r="M60" s="423"/>
      <c r="N60" s="288"/>
      <c r="O60" s="286"/>
      <c r="P60" s="420"/>
      <c r="Q60" s="420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  <c r="AF60" s="87">
        <f>8*3000</f>
        <v>24000</v>
      </c>
    </row>
    <row r="61" spans="1:32" ht="27" customHeight="1" thickBot="1">
      <c r="A61" s="425"/>
      <c r="B61" s="426"/>
      <c r="C61" s="290"/>
      <c r="D61" s="290"/>
      <c r="E61" s="290"/>
      <c r="F61" s="427"/>
      <c r="G61" s="428"/>
      <c r="H61" s="428"/>
      <c r="I61" s="428"/>
      <c r="J61" s="428"/>
      <c r="K61" s="428"/>
      <c r="L61" s="428"/>
      <c r="M61" s="429"/>
      <c r="N61" s="124"/>
      <c r="O61" s="114"/>
      <c r="P61" s="430"/>
      <c r="Q61" s="430"/>
      <c r="R61" s="430"/>
      <c r="S61" s="430"/>
      <c r="T61" s="430"/>
      <c r="U61" s="430"/>
      <c r="V61" s="431"/>
      <c r="W61" s="431"/>
      <c r="X61" s="431"/>
      <c r="Y61" s="431"/>
      <c r="Z61" s="431"/>
      <c r="AA61" s="431"/>
      <c r="AB61" s="431"/>
      <c r="AC61" s="431"/>
      <c r="AD61" s="432"/>
      <c r="AF61" s="87">
        <f>16*3000</f>
        <v>48000</v>
      </c>
    </row>
    <row r="62" spans="1:32" ht="27.75" thickBot="1">
      <c r="A62" s="417" t="s">
        <v>462</v>
      </c>
      <c r="B62" s="417"/>
      <c r="C62" s="417"/>
      <c r="D62" s="417"/>
      <c r="E62" s="41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8" t="s">
        <v>113</v>
      </c>
      <c r="B63" s="415"/>
      <c r="C63" s="287" t="s">
        <v>2</v>
      </c>
      <c r="D63" s="287" t="s">
        <v>37</v>
      </c>
      <c r="E63" s="287" t="s">
        <v>3</v>
      </c>
      <c r="F63" s="415" t="s">
        <v>110</v>
      </c>
      <c r="G63" s="415"/>
      <c r="H63" s="415"/>
      <c r="I63" s="415"/>
      <c r="J63" s="415"/>
      <c r="K63" s="415" t="s">
        <v>39</v>
      </c>
      <c r="L63" s="415"/>
      <c r="M63" s="287" t="s">
        <v>40</v>
      </c>
      <c r="N63" s="415" t="s">
        <v>41</v>
      </c>
      <c r="O63" s="415"/>
      <c r="P63" s="412" t="s">
        <v>42</v>
      </c>
      <c r="Q63" s="414"/>
      <c r="R63" s="412" t="s">
        <v>43</v>
      </c>
      <c r="S63" s="413"/>
      <c r="T63" s="413"/>
      <c r="U63" s="413"/>
      <c r="V63" s="413"/>
      <c r="W63" s="413"/>
      <c r="X63" s="413"/>
      <c r="Y63" s="413"/>
      <c r="Z63" s="413"/>
      <c r="AA63" s="414"/>
      <c r="AB63" s="415" t="s">
        <v>44</v>
      </c>
      <c r="AC63" s="415"/>
      <c r="AD63" s="416"/>
      <c r="AF63" s="87">
        <f>SUM(AF60:AF62)</f>
        <v>96000</v>
      </c>
    </row>
    <row r="64" spans="1:32" ht="25.5" customHeight="1">
      <c r="A64" s="406">
        <v>1</v>
      </c>
      <c r="B64" s="407"/>
      <c r="C64" s="117" t="s">
        <v>463</v>
      </c>
      <c r="D64" s="282"/>
      <c r="E64" s="285"/>
      <c r="F64" s="408" t="s">
        <v>464</v>
      </c>
      <c r="G64" s="400"/>
      <c r="H64" s="400"/>
      <c r="I64" s="400"/>
      <c r="J64" s="400"/>
      <c r="K64" s="400" t="s">
        <v>465</v>
      </c>
      <c r="L64" s="400"/>
      <c r="M64" s="51" t="s">
        <v>240</v>
      </c>
      <c r="N64" s="411" t="s">
        <v>243</v>
      </c>
      <c r="O64" s="411"/>
      <c r="P64" s="409">
        <v>100</v>
      </c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2</v>
      </c>
      <c r="B65" s="407"/>
      <c r="C65" s="117" t="s">
        <v>466</v>
      </c>
      <c r="D65" s="282"/>
      <c r="E65" s="285" t="s">
        <v>117</v>
      </c>
      <c r="F65" s="408" t="s">
        <v>467</v>
      </c>
      <c r="G65" s="400"/>
      <c r="H65" s="400"/>
      <c r="I65" s="400"/>
      <c r="J65" s="400"/>
      <c r="K65" s="400" t="s">
        <v>197</v>
      </c>
      <c r="L65" s="400"/>
      <c r="M65" s="51" t="s">
        <v>240</v>
      </c>
      <c r="N65" s="411" t="s">
        <v>143</v>
      </c>
      <c r="O65" s="411"/>
      <c r="P65" s="409"/>
      <c r="Q65" s="409"/>
      <c r="R65" s="410" t="s">
        <v>468</v>
      </c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3</v>
      </c>
      <c r="B66" s="407"/>
      <c r="C66" s="117"/>
      <c r="D66" s="282"/>
      <c r="E66" s="285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4</v>
      </c>
      <c r="B67" s="407"/>
      <c r="C67" s="117"/>
      <c r="D67" s="282"/>
      <c r="E67" s="285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5</v>
      </c>
      <c r="B68" s="407"/>
      <c r="C68" s="117"/>
      <c r="D68" s="282"/>
      <c r="E68" s="285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6</v>
      </c>
      <c r="B69" s="407"/>
      <c r="C69" s="117"/>
      <c r="D69" s="282"/>
      <c r="E69" s="285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7</v>
      </c>
      <c r="B70" s="407"/>
      <c r="C70" s="117"/>
      <c r="D70" s="282"/>
      <c r="E70" s="285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8</v>
      </c>
      <c r="B71" s="407"/>
      <c r="C71" s="117"/>
      <c r="D71" s="282"/>
      <c r="E71" s="285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6.25" customHeight="1" thickBot="1">
      <c r="A72" s="380" t="s">
        <v>469</v>
      </c>
      <c r="B72" s="380"/>
      <c r="C72" s="380"/>
      <c r="D72" s="380"/>
      <c r="E72" s="380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81" t="s">
        <v>113</v>
      </c>
      <c r="B73" s="382"/>
      <c r="C73" s="284" t="s">
        <v>2</v>
      </c>
      <c r="D73" s="284" t="s">
        <v>37</v>
      </c>
      <c r="E73" s="284" t="s">
        <v>3</v>
      </c>
      <c r="F73" s="382" t="s">
        <v>38</v>
      </c>
      <c r="G73" s="382"/>
      <c r="H73" s="382"/>
      <c r="I73" s="382"/>
      <c r="J73" s="382"/>
      <c r="K73" s="402" t="s">
        <v>58</v>
      </c>
      <c r="L73" s="403"/>
      <c r="M73" s="403"/>
      <c r="N73" s="403"/>
      <c r="O73" s="403"/>
      <c r="P73" s="403"/>
      <c r="Q73" s="403"/>
      <c r="R73" s="403"/>
      <c r="S73" s="404"/>
      <c r="T73" s="382" t="s">
        <v>49</v>
      </c>
      <c r="U73" s="382"/>
      <c r="V73" s="402" t="s">
        <v>50</v>
      </c>
      <c r="W73" s="404"/>
      <c r="X73" s="403" t="s">
        <v>51</v>
      </c>
      <c r="Y73" s="403"/>
      <c r="Z73" s="403"/>
      <c r="AA73" s="403"/>
      <c r="AB73" s="403"/>
      <c r="AC73" s="403"/>
      <c r="AD73" s="405"/>
      <c r="AF73" s="50"/>
    </row>
    <row r="74" spans="1:32" ht="33.75" customHeight="1">
      <c r="A74" s="374">
        <v>1</v>
      </c>
      <c r="B74" s="375"/>
      <c r="C74" s="283" t="s">
        <v>114</v>
      </c>
      <c r="D74" s="283"/>
      <c r="E74" s="65" t="s">
        <v>119</v>
      </c>
      <c r="F74" s="389" t="s">
        <v>118</v>
      </c>
      <c r="G74" s="390"/>
      <c r="H74" s="390"/>
      <c r="I74" s="390"/>
      <c r="J74" s="391"/>
      <c r="K74" s="392" t="s">
        <v>137</v>
      </c>
      <c r="L74" s="393"/>
      <c r="M74" s="393"/>
      <c r="N74" s="393"/>
      <c r="O74" s="393"/>
      <c r="P74" s="393"/>
      <c r="Q74" s="393"/>
      <c r="R74" s="393"/>
      <c r="S74" s="394"/>
      <c r="T74" s="395">
        <v>43675</v>
      </c>
      <c r="U74" s="396"/>
      <c r="V74" s="397"/>
      <c r="W74" s="397"/>
      <c r="X74" s="398"/>
      <c r="Y74" s="398"/>
      <c r="Z74" s="398"/>
      <c r="AA74" s="398"/>
      <c r="AB74" s="398"/>
      <c r="AC74" s="398"/>
      <c r="AD74" s="399"/>
      <c r="AF74" s="50"/>
    </row>
    <row r="75" spans="1:32" ht="30" customHeight="1">
      <c r="A75" s="367">
        <f>A74+1</f>
        <v>2</v>
      </c>
      <c r="B75" s="368"/>
      <c r="C75" s="282"/>
      <c r="D75" s="282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ref="A76:A82" si="14">A75+1</f>
        <v>3</v>
      </c>
      <c r="B76" s="368"/>
      <c r="C76" s="282"/>
      <c r="D76" s="282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4"/>
        <v>4</v>
      </c>
      <c r="B77" s="368"/>
      <c r="C77" s="282"/>
      <c r="D77" s="282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5</v>
      </c>
      <c r="B78" s="368"/>
      <c r="C78" s="282"/>
      <c r="D78" s="282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6</v>
      </c>
      <c r="B79" s="368"/>
      <c r="C79" s="282"/>
      <c r="D79" s="282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7</v>
      </c>
      <c r="B80" s="368"/>
      <c r="C80" s="282"/>
      <c r="D80" s="282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8</v>
      </c>
      <c r="B81" s="368"/>
      <c r="C81" s="282"/>
      <c r="D81" s="282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14"/>
        <v>9</v>
      </c>
      <c r="B82" s="368"/>
      <c r="C82" s="282"/>
      <c r="D82" s="282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6" thickBot="1">
      <c r="A83" s="380" t="s">
        <v>470</v>
      </c>
      <c r="B83" s="380"/>
      <c r="C83" s="380"/>
      <c r="D83" s="380"/>
      <c r="E83" s="380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81" t="s">
        <v>113</v>
      </c>
      <c r="B84" s="382"/>
      <c r="C84" s="372" t="s">
        <v>52</v>
      </c>
      <c r="D84" s="372"/>
      <c r="E84" s="372" t="s">
        <v>53</v>
      </c>
      <c r="F84" s="372"/>
      <c r="G84" s="372"/>
      <c r="H84" s="372"/>
      <c r="I84" s="372"/>
      <c r="J84" s="372"/>
      <c r="K84" s="372" t="s">
        <v>54</v>
      </c>
      <c r="L84" s="372"/>
      <c r="M84" s="372"/>
      <c r="N84" s="372"/>
      <c r="O84" s="372"/>
      <c r="P84" s="372"/>
      <c r="Q84" s="372"/>
      <c r="R84" s="372"/>
      <c r="S84" s="372"/>
      <c r="T84" s="372" t="s">
        <v>55</v>
      </c>
      <c r="U84" s="372"/>
      <c r="V84" s="372" t="s">
        <v>56</v>
      </c>
      <c r="W84" s="372"/>
      <c r="X84" s="372"/>
      <c r="Y84" s="372" t="s">
        <v>51</v>
      </c>
      <c r="Z84" s="372"/>
      <c r="AA84" s="372"/>
      <c r="AB84" s="372"/>
      <c r="AC84" s="372"/>
      <c r="AD84" s="373"/>
      <c r="AF84" s="50"/>
    </row>
    <row r="85" spans="1:32" ht="30.75" customHeight="1">
      <c r="A85" s="374">
        <v>1</v>
      </c>
      <c r="B85" s="375"/>
      <c r="C85" s="376">
        <v>11</v>
      </c>
      <c r="D85" s="376"/>
      <c r="E85" s="376" t="s">
        <v>162</v>
      </c>
      <c r="F85" s="376"/>
      <c r="G85" s="376"/>
      <c r="H85" s="376"/>
      <c r="I85" s="376"/>
      <c r="J85" s="376"/>
      <c r="K85" s="376" t="s">
        <v>163</v>
      </c>
      <c r="L85" s="376"/>
      <c r="M85" s="376"/>
      <c r="N85" s="376"/>
      <c r="O85" s="376"/>
      <c r="P85" s="376"/>
      <c r="Q85" s="376"/>
      <c r="R85" s="376"/>
      <c r="S85" s="376"/>
      <c r="T85" s="376" t="s">
        <v>164</v>
      </c>
      <c r="U85" s="376"/>
      <c r="V85" s="377">
        <v>600000</v>
      </c>
      <c r="W85" s="377"/>
      <c r="X85" s="377"/>
      <c r="Y85" s="378"/>
      <c r="Z85" s="378"/>
      <c r="AA85" s="378"/>
      <c r="AB85" s="378"/>
      <c r="AC85" s="378"/>
      <c r="AD85" s="379"/>
      <c r="AF85" s="50"/>
    </row>
    <row r="86" spans="1:32" ht="30.75" customHeight="1">
      <c r="A86" s="367">
        <v>2</v>
      </c>
      <c r="B86" s="368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70"/>
      <c r="U86" s="370"/>
      <c r="V86" s="371"/>
      <c r="W86" s="371"/>
      <c r="X86" s="371"/>
      <c r="Y86" s="360"/>
      <c r="Z86" s="360"/>
      <c r="AA86" s="360"/>
      <c r="AB86" s="360"/>
      <c r="AC86" s="360"/>
      <c r="AD86" s="361"/>
      <c r="AF86" s="50"/>
    </row>
    <row r="87" spans="1:32" ht="30.75" customHeight="1" thickBot="1">
      <c r="A87" s="362">
        <v>3</v>
      </c>
      <c r="B87" s="363"/>
      <c r="C87" s="364"/>
      <c r="D87" s="364"/>
      <c r="E87" s="364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5"/>
      <c r="Z87" s="365"/>
      <c r="AA87" s="365"/>
      <c r="AB87" s="365"/>
      <c r="AC87" s="365"/>
      <c r="AD87" s="366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3C34-22A3-46DE-A634-6D7D5DF11D85}">
  <dimension ref="A1:AF89"/>
  <sheetViews>
    <sheetView zoomScale="72" zoomScaleNormal="72" zoomScaleSheetLayoutView="70" workbookViewId="0">
      <selection activeCell="A9" sqref="A9:XFD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471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3" si="1">L6-N6</f>
        <v>0</v>
      </c>
      <c r="N6" s="15">
        <v>0</v>
      </c>
      <c r="O6" s="58" t="str">
        <f t="shared" ref="O6:O24" si="2">IF(L6=0,"0",N6/L6)</f>
        <v>0</v>
      </c>
      <c r="P6" s="39" t="str">
        <f t="shared" ref="P6:P23" si="3">IF(L6=0,"0",(24-Q6))</f>
        <v>0</v>
      </c>
      <c r="Q6" s="40">
        <f t="shared" ref="Q6:Q23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3" si="5">IF(J6=0,"0",(L6/J6))</f>
        <v>0</v>
      </c>
      <c r="AC6" s="9">
        <f t="shared" ref="AC6:AC23" si="6">IF(P6=0,"0",(P6/24))</f>
        <v>0</v>
      </c>
      <c r="AD6" s="10">
        <f t="shared" ref="AD6:AD20" si="7">AC6*AB6*(1-O6)</f>
        <v>0</v>
      </c>
      <c r="AE6" s="36">
        <f t="shared" ref="AE6:AE23" si="8">$AD$24</f>
        <v>0.54166666666666663</v>
      </c>
      <c r="AF6" s="87">
        <f t="shared" ref="AF6:AF23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0.54166666666666663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50000</v>
      </c>
      <c r="J8" s="14">
        <v>4341</v>
      </c>
      <c r="K8" s="15">
        <f>L8+1722+1917+1867+4092+4437+4478+4488+4622+1866</f>
        <v>33830</v>
      </c>
      <c r="L8" s="15">
        <f>2317+2024</f>
        <v>4341</v>
      </c>
      <c r="M8" s="15">
        <f t="shared" si="1"/>
        <v>4341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0.54166666666666663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2345</v>
      </c>
      <c r="K9" s="15">
        <f>L9+1593+1896+2807+1401+3459+1160+3830+650+1584+2358+4249+584+4731+3038+1149+1391</f>
        <v>38225</v>
      </c>
      <c r="L9" s="15">
        <v>2345</v>
      </c>
      <c r="M9" s="15">
        <f t="shared" si="1"/>
        <v>2345</v>
      </c>
      <c r="N9" s="15">
        <v>0</v>
      </c>
      <c r="O9" s="58">
        <f t="shared" si="2"/>
        <v>0</v>
      </c>
      <c r="P9" s="39">
        <f t="shared" si="3"/>
        <v>12</v>
      </c>
      <c r="Q9" s="40">
        <f t="shared" si="4"/>
        <v>12</v>
      </c>
      <c r="R9" s="7"/>
      <c r="S9" s="6">
        <v>12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0.5</v>
      </c>
      <c r="AD9" s="10">
        <f t="shared" si="7"/>
        <v>0.5</v>
      </c>
      <c r="AE9" s="36">
        <f t="shared" si="8"/>
        <v>0.54166666666666663</v>
      </c>
      <c r="AF9" s="87">
        <f t="shared" si="9"/>
        <v>4</v>
      </c>
    </row>
    <row r="10" spans="1:32" ht="27" customHeight="1">
      <c r="A10" s="103">
        <v>4</v>
      </c>
      <c r="B10" s="11" t="s">
        <v>57</v>
      </c>
      <c r="C10" s="11" t="s">
        <v>124</v>
      </c>
      <c r="D10" s="52" t="s">
        <v>192</v>
      </c>
      <c r="E10" s="53" t="s">
        <v>472</v>
      </c>
      <c r="F10" s="30" t="s">
        <v>127</v>
      </c>
      <c r="G10" s="33">
        <v>1</v>
      </c>
      <c r="H10" s="35">
        <v>24</v>
      </c>
      <c r="I10" s="7">
        <v>1000</v>
      </c>
      <c r="J10" s="14">
        <v>1713</v>
      </c>
      <c r="K10" s="15">
        <f>L10</f>
        <v>1713</v>
      </c>
      <c r="L10" s="15">
        <v>1713</v>
      </c>
      <c r="M10" s="15">
        <f t="shared" ref="M10" si="10">L10-N10</f>
        <v>1713</v>
      </c>
      <c r="N10" s="15">
        <v>0</v>
      </c>
      <c r="O10" s="58">
        <f t="shared" ref="O10" si="11">IF(L10=0,"0",N10/L10)</f>
        <v>0</v>
      </c>
      <c r="P10" s="39">
        <f t="shared" ref="P10" si="12">IF(L10=0,"0",(24-Q10))</f>
        <v>9</v>
      </c>
      <c r="Q10" s="40">
        <f t="shared" ref="Q10" si="13">SUM(R10:AA10)</f>
        <v>15</v>
      </c>
      <c r="R10" s="7"/>
      <c r="S10" s="6"/>
      <c r="T10" s="16">
        <v>14</v>
      </c>
      <c r="U10" s="16"/>
      <c r="V10" s="17"/>
      <c r="W10" s="5">
        <v>1</v>
      </c>
      <c r="X10" s="16"/>
      <c r="Y10" s="16"/>
      <c r="Z10" s="16"/>
      <c r="AA10" s="18"/>
      <c r="AB10" s="8">
        <f t="shared" ref="AB10" si="14">IF(J10=0,"0",(L10/J10))</f>
        <v>1</v>
      </c>
      <c r="AC10" s="9">
        <f t="shared" ref="AC10" si="15">IF(P10=0,"0",(P10/24))</f>
        <v>0.375</v>
      </c>
      <c r="AD10" s="10">
        <f t="shared" ref="AD10" si="16">AC10*AB10*(1-O10)</f>
        <v>0.375</v>
      </c>
      <c r="AE10" s="36">
        <f t="shared" si="8"/>
        <v>0.54166666666666663</v>
      </c>
      <c r="AF10" s="87">
        <f t="shared" ref="AF10" si="17">A10</f>
        <v>4</v>
      </c>
    </row>
    <row r="11" spans="1:32" ht="27" customHeight="1">
      <c r="A11" s="103">
        <v>5</v>
      </c>
      <c r="B11" s="11" t="s">
        <v>57</v>
      </c>
      <c r="C11" s="34" t="s">
        <v>124</v>
      </c>
      <c r="D11" s="52" t="s">
        <v>154</v>
      </c>
      <c r="E11" s="53" t="s">
        <v>160</v>
      </c>
      <c r="F11" s="30" t="s">
        <v>127</v>
      </c>
      <c r="G11" s="33">
        <v>2</v>
      </c>
      <c r="H11" s="35">
        <v>24</v>
      </c>
      <c r="I11" s="7">
        <v>90000</v>
      </c>
      <c r="J11" s="5">
        <v>11130</v>
      </c>
      <c r="K11" s="15">
        <f>L11+10866+11456+11694+4772</f>
        <v>49918</v>
      </c>
      <c r="L11" s="15">
        <f>2927*2+2638*2</f>
        <v>11130</v>
      </c>
      <c r="M11" s="15">
        <f t="shared" si="1"/>
        <v>11130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>AC11*AB11*(1-O11)</f>
        <v>1</v>
      </c>
      <c r="AE11" s="36">
        <f t="shared" si="8"/>
        <v>0.54166666666666663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11" t="s">
        <v>133</v>
      </c>
      <c r="D12" s="52" t="s">
        <v>117</v>
      </c>
      <c r="E12" s="53" t="s">
        <v>436</v>
      </c>
      <c r="F12" s="30" t="s">
        <v>121</v>
      </c>
      <c r="G12" s="33">
        <v>1</v>
      </c>
      <c r="H12" s="35">
        <v>24</v>
      </c>
      <c r="I12" s="7">
        <v>25000</v>
      </c>
      <c r="J12" s="14">
        <v>4881</v>
      </c>
      <c r="K12" s="15">
        <f>L12+3151+2075</f>
        <v>10107</v>
      </c>
      <c r="L12" s="15">
        <f>2566+2315</f>
        <v>4881</v>
      </c>
      <c r="M12" s="15">
        <f t="shared" si="1"/>
        <v>4881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ref="AD12" si="18">AC12*AB12*(1-O12)</f>
        <v>1</v>
      </c>
      <c r="AE12" s="36">
        <f t="shared" si="8"/>
        <v>0.54166666666666663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124</v>
      </c>
      <c r="D13" s="52" t="s">
        <v>117</v>
      </c>
      <c r="E13" s="53" t="s">
        <v>168</v>
      </c>
      <c r="F13" s="30" t="s">
        <v>121</v>
      </c>
      <c r="G13" s="33">
        <v>1</v>
      </c>
      <c r="H13" s="35">
        <v>20</v>
      </c>
      <c r="I13" s="7">
        <v>50000</v>
      </c>
      <c r="J13" s="14">
        <v>2445</v>
      </c>
      <c r="K13" s="15">
        <f>L13</f>
        <v>2445</v>
      </c>
      <c r="L13" s="15">
        <f>2445</f>
        <v>2445</v>
      </c>
      <c r="M13" s="15">
        <f t="shared" si="1"/>
        <v>2445</v>
      </c>
      <c r="N13" s="15">
        <v>0</v>
      </c>
      <c r="O13" s="58">
        <f t="shared" si="2"/>
        <v>0</v>
      </c>
      <c r="P13" s="39">
        <f t="shared" si="3"/>
        <v>14</v>
      </c>
      <c r="Q13" s="40">
        <f t="shared" si="4"/>
        <v>10</v>
      </c>
      <c r="R13" s="7"/>
      <c r="S13" s="6">
        <v>10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0.58333333333333337</v>
      </c>
      <c r="AD13" s="10">
        <f t="shared" si="7"/>
        <v>0.58333333333333337</v>
      </c>
      <c r="AE13" s="36">
        <f t="shared" si="8"/>
        <v>0.54166666666666663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133</v>
      </c>
      <c r="D14" s="52" t="s">
        <v>154</v>
      </c>
      <c r="E14" s="53" t="s">
        <v>473</v>
      </c>
      <c r="F14" s="30" t="s">
        <v>129</v>
      </c>
      <c r="G14" s="33">
        <v>2</v>
      </c>
      <c r="H14" s="35">
        <v>24</v>
      </c>
      <c r="I14" s="7">
        <v>2000</v>
      </c>
      <c r="J14" s="14">
        <v>2312</v>
      </c>
      <c r="K14" s="15">
        <f>L14</f>
        <v>2312</v>
      </c>
      <c r="L14" s="15">
        <f>1156*2</f>
        <v>2312</v>
      </c>
      <c r="M14" s="15">
        <f t="shared" si="1"/>
        <v>2312</v>
      </c>
      <c r="N14" s="15">
        <v>0</v>
      </c>
      <c r="O14" s="58">
        <f t="shared" si="2"/>
        <v>0</v>
      </c>
      <c r="P14" s="39">
        <f t="shared" si="3"/>
        <v>6</v>
      </c>
      <c r="Q14" s="40">
        <f t="shared" si="4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5"/>
        <v>1</v>
      </c>
      <c r="AC14" s="9">
        <f t="shared" si="6"/>
        <v>0.25</v>
      </c>
      <c r="AD14" s="10">
        <f t="shared" si="7"/>
        <v>0.25</v>
      </c>
      <c r="AE14" s="36">
        <f t="shared" si="8"/>
        <v>0.54166666666666663</v>
      </c>
      <c r="AF14" s="87">
        <f t="shared" si="9"/>
        <v>8</v>
      </c>
    </row>
    <row r="15" spans="1:32" ht="27" customHeight="1">
      <c r="A15" s="103">
        <v>8</v>
      </c>
      <c r="B15" s="11" t="s">
        <v>57</v>
      </c>
      <c r="C15" s="11" t="s">
        <v>324</v>
      </c>
      <c r="D15" s="52" t="s">
        <v>474</v>
      </c>
      <c r="E15" s="53" t="s">
        <v>400</v>
      </c>
      <c r="F15" s="30" t="s">
        <v>326</v>
      </c>
      <c r="G15" s="33" t="s">
        <v>293</v>
      </c>
      <c r="H15" s="35">
        <v>24</v>
      </c>
      <c r="I15" s="7">
        <v>500</v>
      </c>
      <c r="J15" s="14">
        <v>620</v>
      </c>
      <c r="K15" s="15">
        <f>L15</f>
        <v>620</v>
      </c>
      <c r="L15" s="15">
        <v>620</v>
      </c>
      <c r="M15" s="15">
        <f t="shared" si="1"/>
        <v>620</v>
      </c>
      <c r="N15" s="15">
        <v>0</v>
      </c>
      <c r="O15" s="58">
        <f t="shared" si="2"/>
        <v>0</v>
      </c>
      <c r="P15" s="39">
        <f t="shared" si="3"/>
        <v>4</v>
      </c>
      <c r="Q15" s="40">
        <f t="shared" si="4"/>
        <v>20</v>
      </c>
      <c r="R15" s="7"/>
      <c r="S15" s="6"/>
      <c r="T15" s="16"/>
      <c r="U15" s="16"/>
      <c r="V15" s="17"/>
      <c r="W15" s="5">
        <v>20</v>
      </c>
      <c r="X15" s="16"/>
      <c r="Y15" s="16"/>
      <c r="Z15" s="16"/>
      <c r="AA15" s="18"/>
      <c r="AB15" s="8">
        <f t="shared" si="5"/>
        <v>1</v>
      </c>
      <c r="AC15" s="9">
        <f t="shared" si="6"/>
        <v>0.16666666666666666</v>
      </c>
      <c r="AD15" s="10">
        <f t="shared" si="7"/>
        <v>0.16666666666666666</v>
      </c>
      <c r="AE15" s="36">
        <f t="shared" si="8"/>
        <v>0.54166666666666663</v>
      </c>
      <c r="AF15" s="87">
        <f t="shared" si="9"/>
        <v>8</v>
      </c>
    </row>
    <row r="16" spans="1:32" ht="27" customHeight="1">
      <c r="A16" s="118">
        <v>9</v>
      </c>
      <c r="B16" s="11" t="s">
        <v>57</v>
      </c>
      <c r="C16" s="34" t="s">
        <v>114</v>
      </c>
      <c r="D16" s="52" t="s">
        <v>196</v>
      </c>
      <c r="E16" s="53" t="s">
        <v>189</v>
      </c>
      <c r="F16" s="30" t="s">
        <v>197</v>
      </c>
      <c r="G16" s="12">
        <v>1</v>
      </c>
      <c r="H16" s="13">
        <v>28</v>
      </c>
      <c r="I16" s="7">
        <v>2000</v>
      </c>
      <c r="J16" s="5">
        <v>1045</v>
      </c>
      <c r="K16" s="15">
        <f>L16+620+500+1045</f>
        <v>2165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0.54166666666666663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124</v>
      </c>
      <c r="D17" s="52" t="s">
        <v>242</v>
      </c>
      <c r="E17" s="53" t="s">
        <v>475</v>
      </c>
      <c r="F17" s="12" t="s">
        <v>151</v>
      </c>
      <c r="G17" s="12">
        <v>1</v>
      </c>
      <c r="H17" s="13">
        <v>24</v>
      </c>
      <c r="I17" s="31">
        <v>500</v>
      </c>
      <c r="J17" s="14">
        <v>770</v>
      </c>
      <c r="K17" s="15">
        <f>L17</f>
        <v>770</v>
      </c>
      <c r="L17" s="15">
        <v>770</v>
      </c>
      <c r="M17" s="15">
        <f t="shared" ref="M17" si="19">L17-N17</f>
        <v>770</v>
      </c>
      <c r="N17" s="15">
        <v>0</v>
      </c>
      <c r="O17" s="58">
        <f t="shared" ref="O17" si="20">IF(L17=0,"0",N17/L17)</f>
        <v>0</v>
      </c>
      <c r="P17" s="39">
        <f t="shared" ref="P17" si="21">IF(L17=0,"0",(24-Q17))</f>
        <v>4</v>
      </c>
      <c r="Q17" s="40">
        <f t="shared" ref="Q17" si="22">SUM(R17:AA17)</f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ref="AB17" si="23">IF(J17=0,"0",(L17/J17))</f>
        <v>1</v>
      </c>
      <c r="AC17" s="9">
        <f t="shared" ref="AC17" si="24">IF(P17=0,"0",(P17/24))</f>
        <v>0.16666666666666666</v>
      </c>
      <c r="AD17" s="10">
        <f t="shared" ref="AD17" si="25">AC17*AB17*(1-O17)</f>
        <v>0.16666666666666666</v>
      </c>
      <c r="AE17" s="36">
        <f t="shared" si="8"/>
        <v>0.54166666666666663</v>
      </c>
      <c r="AF17" s="87">
        <f t="shared" ref="AF17" si="26">A17</f>
        <v>10</v>
      </c>
    </row>
    <row r="18" spans="1:32" ht="27" customHeight="1">
      <c r="A18" s="102">
        <v>10</v>
      </c>
      <c r="B18" s="11" t="s">
        <v>57</v>
      </c>
      <c r="C18" s="34" t="s">
        <v>324</v>
      </c>
      <c r="D18" s="52"/>
      <c r="E18" s="53" t="s">
        <v>476</v>
      </c>
      <c r="F18" s="12" t="s">
        <v>330</v>
      </c>
      <c r="G18" s="12">
        <v>1</v>
      </c>
      <c r="H18" s="13">
        <v>24</v>
      </c>
      <c r="I18" s="31">
        <v>1000</v>
      </c>
      <c r="J18" s="14">
        <v>1334</v>
      </c>
      <c r="K18" s="15">
        <f>L18</f>
        <v>1334</v>
      </c>
      <c r="L18" s="15">
        <v>1334</v>
      </c>
      <c r="M18" s="15">
        <f t="shared" si="1"/>
        <v>1334</v>
      </c>
      <c r="N18" s="15">
        <v>0</v>
      </c>
      <c r="O18" s="58">
        <f t="shared" si="2"/>
        <v>0</v>
      </c>
      <c r="P18" s="39">
        <f t="shared" si="3"/>
        <v>7</v>
      </c>
      <c r="Q18" s="40">
        <f t="shared" si="4"/>
        <v>17</v>
      </c>
      <c r="R18" s="7"/>
      <c r="S18" s="6"/>
      <c r="T18" s="16"/>
      <c r="U18" s="16"/>
      <c r="V18" s="17"/>
      <c r="W18" s="5">
        <v>17</v>
      </c>
      <c r="X18" s="16"/>
      <c r="Y18" s="16"/>
      <c r="Z18" s="16"/>
      <c r="AA18" s="18"/>
      <c r="AB18" s="8">
        <f t="shared" si="5"/>
        <v>1</v>
      </c>
      <c r="AC18" s="9">
        <f t="shared" si="6"/>
        <v>0.29166666666666669</v>
      </c>
      <c r="AD18" s="10">
        <f t="shared" si="7"/>
        <v>0.29166666666666669</v>
      </c>
      <c r="AE18" s="36">
        <f t="shared" si="8"/>
        <v>0.54166666666666663</v>
      </c>
      <c r="AF18" s="87">
        <f t="shared" si="9"/>
        <v>10</v>
      </c>
    </row>
    <row r="19" spans="1:32" ht="30" customHeight="1">
      <c r="A19" s="102">
        <v>11</v>
      </c>
      <c r="B19" s="11" t="s">
        <v>57</v>
      </c>
      <c r="C19" s="34" t="s">
        <v>124</v>
      </c>
      <c r="D19" s="52" t="s">
        <v>128</v>
      </c>
      <c r="E19" s="53" t="s">
        <v>150</v>
      </c>
      <c r="F19" s="30" t="s">
        <v>129</v>
      </c>
      <c r="G19" s="12">
        <v>1</v>
      </c>
      <c r="H19" s="13">
        <v>28</v>
      </c>
      <c r="I19" s="7">
        <v>9000</v>
      </c>
      <c r="J19" s="14">
        <v>4928</v>
      </c>
      <c r="K19" s="15">
        <f>L19+5027+5503+5566+4928</f>
        <v>21024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>
        <v>24</v>
      </c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0.54166666666666663</v>
      </c>
      <c r="AF19" s="87">
        <f t="shared" si="9"/>
        <v>11</v>
      </c>
    </row>
    <row r="20" spans="1:32" ht="27" customHeight="1">
      <c r="A20" s="102">
        <v>12</v>
      </c>
      <c r="B20" s="11" t="s">
        <v>57</v>
      </c>
      <c r="C20" s="11" t="s">
        <v>133</v>
      </c>
      <c r="D20" s="52" t="s">
        <v>148</v>
      </c>
      <c r="E20" s="53" t="s">
        <v>461</v>
      </c>
      <c r="F20" s="30" t="s">
        <v>151</v>
      </c>
      <c r="G20" s="33">
        <v>2</v>
      </c>
      <c r="H20" s="35">
        <v>20</v>
      </c>
      <c r="I20" s="7">
        <v>15000</v>
      </c>
      <c r="J20" s="14">
        <v>9948</v>
      </c>
      <c r="K20" s="15">
        <f>L20</f>
        <v>9948</v>
      </c>
      <c r="L20" s="15">
        <f>3017*2+1957*2</f>
        <v>9948</v>
      </c>
      <c r="M20" s="15">
        <f t="shared" si="1"/>
        <v>9948</v>
      </c>
      <c r="N20" s="15">
        <v>0</v>
      </c>
      <c r="O20" s="58">
        <f t="shared" si="2"/>
        <v>0</v>
      </c>
      <c r="P20" s="39">
        <f t="shared" si="3"/>
        <v>23</v>
      </c>
      <c r="Q20" s="40">
        <f t="shared" si="4"/>
        <v>1</v>
      </c>
      <c r="R20" s="7"/>
      <c r="S20" s="6"/>
      <c r="T20" s="16">
        <v>1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0.95833333333333337</v>
      </c>
      <c r="AD20" s="10">
        <f t="shared" si="7"/>
        <v>0.95833333333333337</v>
      </c>
      <c r="AE20" s="36">
        <f t="shared" si="8"/>
        <v>0.54166666666666663</v>
      </c>
      <c r="AF20" s="87">
        <f t="shared" si="9"/>
        <v>12</v>
      </c>
    </row>
    <row r="21" spans="1:32" ht="27" customHeight="1">
      <c r="A21" s="103">
        <v>13</v>
      </c>
      <c r="B21" s="11" t="s">
        <v>57</v>
      </c>
      <c r="C21" s="34" t="s">
        <v>124</v>
      </c>
      <c r="D21" s="52" t="s">
        <v>456</v>
      </c>
      <c r="E21" s="53" t="s">
        <v>457</v>
      </c>
      <c r="F21" s="30" t="s">
        <v>212</v>
      </c>
      <c r="G21" s="33">
        <v>1</v>
      </c>
      <c r="H21" s="35">
        <v>24</v>
      </c>
      <c r="I21" s="7">
        <v>16000</v>
      </c>
      <c r="J21" s="5">
        <v>3493</v>
      </c>
      <c r="K21" s="15">
        <f>L21+921</f>
        <v>4414</v>
      </c>
      <c r="L21" s="15">
        <f>2435+1058</f>
        <v>3493</v>
      </c>
      <c r="M21" s="15">
        <f t="shared" si="1"/>
        <v>3493</v>
      </c>
      <c r="N21" s="15">
        <v>0</v>
      </c>
      <c r="O21" s="58">
        <f t="shared" si="2"/>
        <v>0</v>
      </c>
      <c r="P21" s="39">
        <f t="shared" si="3"/>
        <v>20</v>
      </c>
      <c r="Q21" s="40">
        <f t="shared" si="4"/>
        <v>4</v>
      </c>
      <c r="R21" s="7"/>
      <c r="S21" s="6">
        <v>4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0.83333333333333337</v>
      </c>
      <c r="AD21" s="10">
        <f>AC21*AB21*(1-O21)</f>
        <v>0.83333333333333337</v>
      </c>
      <c r="AE21" s="36">
        <f t="shared" si="8"/>
        <v>0.54166666666666663</v>
      </c>
      <c r="AF21" s="87">
        <f t="shared" si="9"/>
        <v>13</v>
      </c>
    </row>
    <row r="22" spans="1:32" ht="27" customHeight="1">
      <c r="A22" s="103">
        <v>14</v>
      </c>
      <c r="B22" s="11" t="s">
        <v>57</v>
      </c>
      <c r="C22" s="11" t="s">
        <v>124</v>
      </c>
      <c r="D22" s="52" t="s">
        <v>122</v>
      </c>
      <c r="E22" s="53" t="s">
        <v>424</v>
      </c>
      <c r="F22" s="30" t="s">
        <v>212</v>
      </c>
      <c r="G22" s="33">
        <v>1</v>
      </c>
      <c r="H22" s="35">
        <v>24</v>
      </c>
      <c r="I22" s="7">
        <v>50000</v>
      </c>
      <c r="J22" s="14">
        <v>5334</v>
      </c>
      <c r="K22" s="15">
        <f>L22+2211+5670+2303</f>
        <v>15518</v>
      </c>
      <c r="L22" s="15">
        <f>2877+2457</f>
        <v>5334</v>
      </c>
      <c r="M22" s="15">
        <f t="shared" si="1"/>
        <v>5334</v>
      </c>
      <c r="N22" s="15">
        <v>0</v>
      </c>
      <c r="O22" s="58">
        <f t="shared" si="2"/>
        <v>0</v>
      </c>
      <c r="P22" s="39">
        <f t="shared" si="3"/>
        <v>24</v>
      </c>
      <c r="Q22" s="40">
        <f t="shared" si="4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1</v>
      </c>
      <c r="AD22" s="10">
        <f t="shared" ref="AD22:AD23" si="27">AC22*AB22*(1-O22)</f>
        <v>1</v>
      </c>
      <c r="AE22" s="36">
        <f t="shared" si="8"/>
        <v>0.54166666666666663</v>
      </c>
      <c r="AF22" s="87">
        <f t="shared" si="9"/>
        <v>14</v>
      </c>
    </row>
    <row r="23" spans="1:32" ht="27" customHeight="1" thickBot="1">
      <c r="A23" s="103">
        <v>15</v>
      </c>
      <c r="B23" s="11" t="s">
        <v>57</v>
      </c>
      <c r="C23" s="11" t="s">
        <v>115</v>
      </c>
      <c r="D23" s="52"/>
      <c r="E23" s="53" t="s">
        <v>152</v>
      </c>
      <c r="F23" s="12" t="s">
        <v>116</v>
      </c>
      <c r="G23" s="12">
        <v>3</v>
      </c>
      <c r="H23" s="35">
        <v>20</v>
      </c>
      <c r="I23" s="7">
        <v>300000</v>
      </c>
      <c r="J23" s="14">
        <v>25017</v>
      </c>
      <c r="K23" s="15">
        <f>L23+54642+62589+25017</f>
        <v>142248</v>
      </c>
      <c r="L23" s="15"/>
      <c r="M23" s="15">
        <f t="shared" si="1"/>
        <v>0</v>
      </c>
      <c r="N23" s="15">
        <v>0</v>
      </c>
      <c r="O23" s="58" t="str">
        <f t="shared" si="2"/>
        <v>0</v>
      </c>
      <c r="P23" s="39" t="str">
        <f t="shared" si="3"/>
        <v>0</v>
      </c>
      <c r="Q23" s="40">
        <f t="shared" si="4"/>
        <v>24</v>
      </c>
      <c r="R23" s="7"/>
      <c r="S23" s="6">
        <v>24</v>
      </c>
      <c r="T23" s="16"/>
      <c r="U23" s="16"/>
      <c r="V23" s="17"/>
      <c r="W23" s="5"/>
      <c r="X23" s="16"/>
      <c r="Y23" s="16"/>
      <c r="Z23" s="16"/>
      <c r="AA23" s="18"/>
      <c r="AB23" s="8">
        <f t="shared" si="5"/>
        <v>0</v>
      </c>
      <c r="AC23" s="9">
        <f t="shared" si="6"/>
        <v>0</v>
      </c>
      <c r="AD23" s="10">
        <f t="shared" si="27"/>
        <v>0</v>
      </c>
      <c r="AE23" s="36">
        <f t="shared" si="8"/>
        <v>0.54166666666666663</v>
      </c>
      <c r="AF23" s="87">
        <f t="shared" si="9"/>
        <v>15</v>
      </c>
    </row>
    <row r="24" spans="1:32" ht="31.5" customHeight="1" thickBot="1">
      <c r="A24" s="437" t="s">
        <v>34</v>
      </c>
      <c r="B24" s="438"/>
      <c r="C24" s="438"/>
      <c r="D24" s="438"/>
      <c r="E24" s="438"/>
      <c r="F24" s="438"/>
      <c r="G24" s="438"/>
      <c r="H24" s="439"/>
      <c r="I24" s="22">
        <f t="shared" ref="I24:N24" si="28">SUM(I6:I23)</f>
        <v>683000</v>
      </c>
      <c r="J24" s="19">
        <f t="shared" si="28"/>
        <v>83717</v>
      </c>
      <c r="K24" s="20">
        <f t="shared" si="28"/>
        <v>348139</v>
      </c>
      <c r="L24" s="21">
        <f t="shared" si="28"/>
        <v>50666</v>
      </c>
      <c r="M24" s="20">
        <f t="shared" si="28"/>
        <v>50666</v>
      </c>
      <c r="N24" s="21">
        <f t="shared" si="28"/>
        <v>0</v>
      </c>
      <c r="O24" s="41">
        <f t="shared" si="2"/>
        <v>0</v>
      </c>
      <c r="P24" s="42">
        <f t="shared" ref="P24:AA24" si="29">SUM(P6:P23)</f>
        <v>195</v>
      </c>
      <c r="Q24" s="43">
        <f t="shared" si="29"/>
        <v>237</v>
      </c>
      <c r="R24" s="23">
        <f t="shared" si="29"/>
        <v>48</v>
      </c>
      <c r="S24" s="24">
        <f t="shared" si="29"/>
        <v>50</v>
      </c>
      <c r="T24" s="24">
        <f t="shared" si="29"/>
        <v>15</v>
      </c>
      <c r="U24" s="24">
        <f t="shared" si="29"/>
        <v>0</v>
      </c>
      <c r="V24" s="25">
        <f t="shared" si="29"/>
        <v>24</v>
      </c>
      <c r="W24" s="26">
        <f t="shared" si="29"/>
        <v>100</v>
      </c>
      <c r="X24" s="27">
        <f t="shared" si="29"/>
        <v>0</v>
      </c>
      <c r="Y24" s="27">
        <f t="shared" si="29"/>
        <v>0</v>
      </c>
      <c r="Z24" s="27">
        <f t="shared" si="29"/>
        <v>0</v>
      </c>
      <c r="AA24" s="27">
        <f t="shared" si="29"/>
        <v>0</v>
      </c>
      <c r="AB24" s="28">
        <f>SUM(AB6:AB23)/15</f>
        <v>0.8666666666666667</v>
      </c>
      <c r="AC24" s="4">
        <f>SUM(AC6:AC23)/15</f>
        <v>0.54166666666666663</v>
      </c>
      <c r="AD24" s="4">
        <f>SUM(AD6:AD23)/15</f>
        <v>0.54166666666666663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8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40" t="s">
        <v>45</v>
      </c>
      <c r="B51" s="440"/>
      <c r="C51" s="440"/>
      <c r="D51" s="440"/>
      <c r="E51" s="440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41" t="s">
        <v>477</v>
      </c>
      <c r="B52" s="442"/>
      <c r="C52" s="442"/>
      <c r="D52" s="442"/>
      <c r="E52" s="442"/>
      <c r="F52" s="442"/>
      <c r="G52" s="442"/>
      <c r="H52" s="442"/>
      <c r="I52" s="442"/>
      <c r="J52" s="442"/>
      <c r="K52" s="442"/>
      <c r="L52" s="442"/>
      <c r="M52" s="443"/>
      <c r="N52" s="444" t="s">
        <v>480</v>
      </c>
      <c r="O52" s="445"/>
      <c r="P52" s="445"/>
      <c r="Q52" s="445"/>
      <c r="R52" s="445"/>
      <c r="S52" s="445"/>
      <c r="T52" s="445"/>
      <c r="U52" s="445"/>
      <c r="V52" s="445"/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7" t="s">
        <v>2</v>
      </c>
      <c r="B53" s="448"/>
      <c r="C53" s="294" t="s">
        <v>46</v>
      </c>
      <c r="D53" s="294" t="s">
        <v>47</v>
      </c>
      <c r="E53" s="294" t="s">
        <v>108</v>
      </c>
      <c r="F53" s="448" t="s">
        <v>107</v>
      </c>
      <c r="G53" s="448"/>
      <c r="H53" s="448"/>
      <c r="I53" s="448"/>
      <c r="J53" s="448"/>
      <c r="K53" s="448"/>
      <c r="L53" s="448"/>
      <c r="M53" s="449"/>
      <c r="N53" s="67" t="s">
        <v>112</v>
      </c>
      <c r="O53" s="294" t="s">
        <v>46</v>
      </c>
      <c r="P53" s="450" t="s">
        <v>47</v>
      </c>
      <c r="Q53" s="451"/>
      <c r="R53" s="450" t="s">
        <v>38</v>
      </c>
      <c r="S53" s="452"/>
      <c r="T53" s="452"/>
      <c r="U53" s="451"/>
      <c r="V53" s="450" t="s">
        <v>48</v>
      </c>
      <c r="W53" s="452"/>
      <c r="X53" s="452"/>
      <c r="Y53" s="452"/>
      <c r="Z53" s="452"/>
      <c r="AA53" s="452"/>
      <c r="AB53" s="452"/>
      <c r="AC53" s="452"/>
      <c r="AD53" s="453"/>
    </row>
    <row r="54" spans="1:32" ht="27" customHeight="1">
      <c r="A54" s="419" t="s">
        <v>124</v>
      </c>
      <c r="B54" s="420"/>
      <c r="C54" s="296" t="s">
        <v>184</v>
      </c>
      <c r="D54" s="296" t="s">
        <v>148</v>
      </c>
      <c r="E54" s="296" t="s">
        <v>191</v>
      </c>
      <c r="F54" s="421" t="s">
        <v>179</v>
      </c>
      <c r="G54" s="422"/>
      <c r="H54" s="422"/>
      <c r="I54" s="422"/>
      <c r="J54" s="422"/>
      <c r="K54" s="422"/>
      <c r="L54" s="422"/>
      <c r="M54" s="423"/>
      <c r="N54" s="295" t="s">
        <v>114</v>
      </c>
      <c r="O54" s="300" t="s">
        <v>184</v>
      </c>
      <c r="P54" s="433" t="s">
        <v>117</v>
      </c>
      <c r="Q54" s="434"/>
      <c r="R54" s="420" t="s">
        <v>309</v>
      </c>
      <c r="S54" s="420"/>
      <c r="T54" s="420"/>
      <c r="U54" s="420"/>
      <c r="V54" s="410" t="s">
        <v>120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124</v>
      </c>
      <c r="B55" s="420"/>
      <c r="C55" s="296" t="s">
        <v>184</v>
      </c>
      <c r="D55" s="296" t="s">
        <v>192</v>
      </c>
      <c r="E55" s="296" t="s">
        <v>472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295" t="s">
        <v>114</v>
      </c>
      <c r="O55" s="300" t="s">
        <v>184</v>
      </c>
      <c r="P55" s="433" t="s">
        <v>125</v>
      </c>
      <c r="Q55" s="434"/>
      <c r="R55" s="420" t="s">
        <v>317</v>
      </c>
      <c r="S55" s="420"/>
      <c r="T55" s="420"/>
      <c r="U55" s="420"/>
      <c r="V55" s="410" t="s">
        <v>120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124</v>
      </c>
      <c r="B56" s="420"/>
      <c r="C56" s="296" t="s">
        <v>139</v>
      </c>
      <c r="D56" s="296" t="s">
        <v>117</v>
      </c>
      <c r="E56" s="296" t="s">
        <v>168</v>
      </c>
      <c r="F56" s="421" t="s">
        <v>478</v>
      </c>
      <c r="G56" s="422"/>
      <c r="H56" s="422"/>
      <c r="I56" s="422"/>
      <c r="J56" s="422"/>
      <c r="K56" s="422"/>
      <c r="L56" s="422"/>
      <c r="M56" s="423"/>
      <c r="N56" s="295" t="s">
        <v>114</v>
      </c>
      <c r="O56" s="300" t="s">
        <v>131</v>
      </c>
      <c r="P56" s="433" t="s">
        <v>128</v>
      </c>
      <c r="Q56" s="434"/>
      <c r="R56" s="420" t="s">
        <v>335</v>
      </c>
      <c r="S56" s="420"/>
      <c r="T56" s="420"/>
      <c r="U56" s="420"/>
      <c r="V56" s="410" t="s">
        <v>120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124</v>
      </c>
      <c r="B57" s="420"/>
      <c r="C57" s="296" t="s">
        <v>180</v>
      </c>
      <c r="D57" s="296" t="s">
        <v>456</v>
      </c>
      <c r="E57" s="296" t="s">
        <v>459</v>
      </c>
      <c r="F57" s="421" t="s">
        <v>126</v>
      </c>
      <c r="G57" s="422"/>
      <c r="H57" s="422"/>
      <c r="I57" s="422"/>
      <c r="J57" s="422"/>
      <c r="K57" s="422"/>
      <c r="L57" s="422"/>
      <c r="M57" s="423"/>
      <c r="N57" s="295" t="s">
        <v>124</v>
      </c>
      <c r="O57" s="300" t="s">
        <v>131</v>
      </c>
      <c r="P57" s="433" t="s">
        <v>154</v>
      </c>
      <c r="Q57" s="434"/>
      <c r="R57" s="433" t="s">
        <v>481</v>
      </c>
      <c r="S57" s="476"/>
      <c r="T57" s="476"/>
      <c r="U57" s="434"/>
      <c r="V57" s="410" t="s">
        <v>120</v>
      </c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133</v>
      </c>
      <c r="B58" s="420"/>
      <c r="C58" s="296" t="s">
        <v>143</v>
      </c>
      <c r="D58" s="296" t="s">
        <v>154</v>
      </c>
      <c r="E58" s="296" t="s">
        <v>473</v>
      </c>
      <c r="F58" s="421" t="s">
        <v>120</v>
      </c>
      <c r="G58" s="422"/>
      <c r="H58" s="422"/>
      <c r="I58" s="422"/>
      <c r="J58" s="422"/>
      <c r="K58" s="422"/>
      <c r="L58" s="422"/>
      <c r="M58" s="423"/>
      <c r="N58" s="295" t="s">
        <v>124</v>
      </c>
      <c r="O58" s="300" t="s">
        <v>243</v>
      </c>
      <c r="P58" s="433" t="s">
        <v>192</v>
      </c>
      <c r="Q58" s="434"/>
      <c r="R58" s="420" t="s">
        <v>482</v>
      </c>
      <c r="S58" s="420"/>
      <c r="T58" s="420"/>
      <c r="U58" s="420"/>
      <c r="V58" s="410" t="s">
        <v>120</v>
      </c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 t="s">
        <v>124</v>
      </c>
      <c r="B59" s="420"/>
      <c r="C59" s="296" t="s">
        <v>243</v>
      </c>
      <c r="D59" s="296" t="s">
        <v>276</v>
      </c>
      <c r="E59" s="296" t="s">
        <v>479</v>
      </c>
      <c r="F59" s="421" t="s">
        <v>120</v>
      </c>
      <c r="G59" s="422"/>
      <c r="H59" s="422"/>
      <c r="I59" s="422"/>
      <c r="J59" s="422"/>
      <c r="K59" s="422"/>
      <c r="L59" s="422"/>
      <c r="M59" s="423"/>
      <c r="N59" s="295"/>
      <c r="O59" s="300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 t="s">
        <v>324</v>
      </c>
      <c r="B60" s="420"/>
      <c r="C60" s="296" t="s">
        <v>243</v>
      </c>
      <c r="D60" s="296"/>
      <c r="E60" s="296" t="s">
        <v>476</v>
      </c>
      <c r="F60" s="421" t="s">
        <v>120</v>
      </c>
      <c r="G60" s="422"/>
      <c r="H60" s="422"/>
      <c r="I60" s="422"/>
      <c r="J60" s="422"/>
      <c r="K60" s="422"/>
      <c r="L60" s="422"/>
      <c r="M60" s="423"/>
      <c r="N60" s="295"/>
      <c r="O60" s="300"/>
      <c r="P60" s="433"/>
      <c r="Q60" s="434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 t="s">
        <v>133</v>
      </c>
      <c r="B61" s="420"/>
      <c r="C61" s="296" t="s">
        <v>135</v>
      </c>
      <c r="D61" s="296" t="s">
        <v>148</v>
      </c>
      <c r="E61" s="296" t="s">
        <v>461</v>
      </c>
      <c r="F61" s="421" t="s">
        <v>120</v>
      </c>
      <c r="G61" s="422"/>
      <c r="H61" s="422"/>
      <c r="I61" s="422"/>
      <c r="J61" s="422"/>
      <c r="K61" s="422"/>
      <c r="L61" s="422"/>
      <c r="M61" s="423"/>
      <c r="N61" s="295"/>
      <c r="O61" s="300"/>
      <c r="P61" s="433"/>
      <c r="Q61" s="434"/>
      <c r="R61" s="420"/>
      <c r="S61" s="420"/>
      <c r="T61" s="420"/>
      <c r="U61" s="420"/>
      <c r="V61" s="410"/>
      <c r="W61" s="410"/>
      <c r="X61" s="410"/>
      <c r="Y61" s="410"/>
      <c r="Z61" s="410"/>
      <c r="AA61" s="410"/>
      <c r="AB61" s="410"/>
      <c r="AC61" s="410"/>
      <c r="AD61" s="424"/>
    </row>
    <row r="62" spans="1:32" ht="27" customHeight="1">
      <c r="A62" s="419"/>
      <c r="B62" s="420"/>
      <c r="C62" s="296"/>
      <c r="D62" s="296"/>
      <c r="E62" s="296"/>
      <c r="F62" s="421"/>
      <c r="G62" s="422"/>
      <c r="H62" s="422"/>
      <c r="I62" s="422"/>
      <c r="J62" s="422"/>
      <c r="K62" s="422"/>
      <c r="L62" s="422"/>
      <c r="M62" s="423"/>
      <c r="N62" s="295"/>
      <c r="O62" s="300"/>
      <c r="P62" s="420"/>
      <c r="Q62" s="420"/>
      <c r="R62" s="420"/>
      <c r="S62" s="420"/>
      <c r="T62" s="420"/>
      <c r="U62" s="420"/>
      <c r="V62" s="410"/>
      <c r="W62" s="410"/>
      <c r="X62" s="410"/>
      <c r="Y62" s="410"/>
      <c r="Z62" s="410"/>
      <c r="AA62" s="410"/>
      <c r="AB62" s="410"/>
      <c r="AC62" s="410"/>
      <c r="AD62" s="424"/>
      <c r="AF62" s="87">
        <f>8*3000</f>
        <v>24000</v>
      </c>
    </row>
    <row r="63" spans="1:32" ht="27" customHeight="1" thickBot="1">
      <c r="A63" s="425"/>
      <c r="B63" s="426"/>
      <c r="C63" s="297"/>
      <c r="D63" s="297"/>
      <c r="E63" s="297"/>
      <c r="F63" s="427"/>
      <c r="G63" s="428"/>
      <c r="H63" s="428"/>
      <c r="I63" s="428"/>
      <c r="J63" s="428"/>
      <c r="K63" s="428"/>
      <c r="L63" s="428"/>
      <c r="M63" s="429"/>
      <c r="N63" s="124"/>
      <c r="O63" s="114"/>
      <c r="P63" s="430"/>
      <c r="Q63" s="430"/>
      <c r="R63" s="430"/>
      <c r="S63" s="430"/>
      <c r="T63" s="430"/>
      <c r="U63" s="430"/>
      <c r="V63" s="431"/>
      <c r="W63" s="431"/>
      <c r="X63" s="431"/>
      <c r="Y63" s="431"/>
      <c r="Z63" s="431"/>
      <c r="AA63" s="431"/>
      <c r="AB63" s="431"/>
      <c r="AC63" s="431"/>
      <c r="AD63" s="432"/>
      <c r="AF63" s="87">
        <f>16*3000</f>
        <v>48000</v>
      </c>
    </row>
    <row r="64" spans="1:32" ht="27.75" thickBot="1">
      <c r="A64" s="417" t="s">
        <v>483</v>
      </c>
      <c r="B64" s="417"/>
      <c r="C64" s="417"/>
      <c r="D64" s="417"/>
      <c r="E64" s="417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7">
        <v>24000</v>
      </c>
    </row>
    <row r="65" spans="1:32" ht="29.25" customHeight="1" thickBot="1">
      <c r="A65" s="418" t="s">
        <v>113</v>
      </c>
      <c r="B65" s="415"/>
      <c r="C65" s="298" t="s">
        <v>2</v>
      </c>
      <c r="D65" s="298" t="s">
        <v>37</v>
      </c>
      <c r="E65" s="298" t="s">
        <v>3</v>
      </c>
      <c r="F65" s="415" t="s">
        <v>110</v>
      </c>
      <c r="G65" s="415"/>
      <c r="H65" s="415"/>
      <c r="I65" s="415"/>
      <c r="J65" s="415"/>
      <c r="K65" s="415" t="s">
        <v>39</v>
      </c>
      <c r="L65" s="415"/>
      <c r="M65" s="298" t="s">
        <v>40</v>
      </c>
      <c r="N65" s="415" t="s">
        <v>41</v>
      </c>
      <c r="O65" s="415"/>
      <c r="P65" s="412" t="s">
        <v>42</v>
      </c>
      <c r="Q65" s="414"/>
      <c r="R65" s="412" t="s">
        <v>43</v>
      </c>
      <c r="S65" s="413"/>
      <c r="T65" s="413"/>
      <c r="U65" s="413"/>
      <c r="V65" s="413"/>
      <c r="W65" s="413"/>
      <c r="X65" s="413"/>
      <c r="Y65" s="413"/>
      <c r="Z65" s="413"/>
      <c r="AA65" s="414"/>
      <c r="AB65" s="415" t="s">
        <v>44</v>
      </c>
      <c r="AC65" s="415"/>
      <c r="AD65" s="416"/>
      <c r="AF65" s="87">
        <f>SUM(AF62:AF64)</f>
        <v>96000</v>
      </c>
    </row>
    <row r="66" spans="1:32" ht="25.5" customHeight="1">
      <c r="A66" s="406">
        <v>1</v>
      </c>
      <c r="B66" s="407"/>
      <c r="C66" s="117" t="s">
        <v>466</v>
      </c>
      <c r="D66" s="302"/>
      <c r="E66" s="299" t="s">
        <v>117</v>
      </c>
      <c r="F66" s="408" t="s">
        <v>467</v>
      </c>
      <c r="G66" s="400"/>
      <c r="H66" s="400"/>
      <c r="I66" s="400"/>
      <c r="J66" s="400"/>
      <c r="K66" s="400" t="s">
        <v>197</v>
      </c>
      <c r="L66" s="400"/>
      <c r="M66" s="51" t="s">
        <v>240</v>
      </c>
      <c r="N66" s="411" t="s">
        <v>143</v>
      </c>
      <c r="O66" s="411"/>
      <c r="P66" s="409"/>
      <c r="Q66" s="409"/>
      <c r="R66" s="410" t="s">
        <v>468</v>
      </c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2</v>
      </c>
      <c r="B67" s="407"/>
      <c r="C67" s="117" t="s">
        <v>324</v>
      </c>
      <c r="D67" s="302"/>
      <c r="E67" s="299"/>
      <c r="F67" s="408" t="s">
        <v>484</v>
      </c>
      <c r="G67" s="400"/>
      <c r="H67" s="400"/>
      <c r="I67" s="400"/>
      <c r="J67" s="400"/>
      <c r="K67" s="400" t="s">
        <v>326</v>
      </c>
      <c r="L67" s="400"/>
      <c r="M67" s="51" t="s">
        <v>240</v>
      </c>
      <c r="N67" s="411" t="s">
        <v>143</v>
      </c>
      <c r="O67" s="411"/>
      <c r="P67" s="409">
        <v>100</v>
      </c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3</v>
      </c>
      <c r="B68" s="407"/>
      <c r="C68" s="117" t="s">
        <v>133</v>
      </c>
      <c r="D68" s="302"/>
      <c r="E68" s="299" t="s">
        <v>154</v>
      </c>
      <c r="F68" s="408" t="s">
        <v>485</v>
      </c>
      <c r="G68" s="400"/>
      <c r="H68" s="400"/>
      <c r="I68" s="400"/>
      <c r="J68" s="400"/>
      <c r="K68" s="400" t="s">
        <v>129</v>
      </c>
      <c r="L68" s="400"/>
      <c r="M68" s="51" t="s">
        <v>486</v>
      </c>
      <c r="N68" s="411" t="s">
        <v>143</v>
      </c>
      <c r="O68" s="411"/>
      <c r="P68" s="409">
        <v>100</v>
      </c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4</v>
      </c>
      <c r="B69" s="407"/>
      <c r="C69" s="117" t="s">
        <v>133</v>
      </c>
      <c r="D69" s="302"/>
      <c r="E69" s="299" t="s">
        <v>242</v>
      </c>
      <c r="F69" s="408" t="s">
        <v>487</v>
      </c>
      <c r="G69" s="400"/>
      <c r="H69" s="400"/>
      <c r="I69" s="400"/>
      <c r="J69" s="400"/>
      <c r="K69" s="400">
        <v>8301</v>
      </c>
      <c r="L69" s="400"/>
      <c r="M69" s="51" t="s">
        <v>486</v>
      </c>
      <c r="N69" s="411" t="s">
        <v>243</v>
      </c>
      <c r="O69" s="411"/>
      <c r="P69" s="409">
        <v>50</v>
      </c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5</v>
      </c>
      <c r="B70" s="407"/>
      <c r="C70" s="117"/>
      <c r="D70" s="302"/>
      <c r="E70" s="299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6</v>
      </c>
      <c r="B71" s="407"/>
      <c r="C71" s="117"/>
      <c r="D71" s="302"/>
      <c r="E71" s="299"/>
      <c r="F71" s="408"/>
      <c r="G71" s="400"/>
      <c r="H71" s="400"/>
      <c r="I71" s="400"/>
      <c r="J71" s="400"/>
      <c r="K71" s="400"/>
      <c r="L71" s="400"/>
      <c r="M71" s="51"/>
      <c r="N71" s="411"/>
      <c r="O71" s="411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7</v>
      </c>
      <c r="B72" s="407"/>
      <c r="C72" s="117"/>
      <c r="D72" s="302"/>
      <c r="E72" s="299"/>
      <c r="F72" s="408"/>
      <c r="G72" s="400"/>
      <c r="H72" s="400"/>
      <c r="I72" s="400"/>
      <c r="J72" s="400"/>
      <c r="K72" s="400"/>
      <c r="L72" s="400"/>
      <c r="M72" s="51"/>
      <c r="N72" s="411"/>
      <c r="O72" s="411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5.5" customHeight="1">
      <c r="A73" s="406">
        <v>8</v>
      </c>
      <c r="B73" s="407"/>
      <c r="C73" s="117"/>
      <c r="D73" s="302"/>
      <c r="E73" s="299"/>
      <c r="F73" s="408"/>
      <c r="G73" s="400"/>
      <c r="H73" s="400"/>
      <c r="I73" s="400"/>
      <c r="J73" s="400"/>
      <c r="K73" s="400"/>
      <c r="L73" s="400"/>
      <c r="M73" s="51"/>
      <c r="N73" s="400"/>
      <c r="O73" s="400"/>
      <c r="P73" s="409"/>
      <c r="Q73" s="409"/>
      <c r="R73" s="410"/>
      <c r="S73" s="410"/>
      <c r="T73" s="410"/>
      <c r="U73" s="410"/>
      <c r="V73" s="410"/>
      <c r="W73" s="410"/>
      <c r="X73" s="410"/>
      <c r="Y73" s="410"/>
      <c r="Z73" s="410"/>
      <c r="AA73" s="410"/>
      <c r="AB73" s="400"/>
      <c r="AC73" s="400"/>
      <c r="AD73" s="401"/>
      <c r="AF73" s="50"/>
    </row>
    <row r="74" spans="1:32" ht="26.25" customHeight="1" thickBot="1">
      <c r="A74" s="380" t="s">
        <v>488</v>
      </c>
      <c r="B74" s="380"/>
      <c r="C74" s="380"/>
      <c r="D74" s="380"/>
      <c r="E74" s="380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81" t="s">
        <v>113</v>
      </c>
      <c r="B75" s="382"/>
      <c r="C75" s="301" t="s">
        <v>2</v>
      </c>
      <c r="D75" s="301" t="s">
        <v>37</v>
      </c>
      <c r="E75" s="301" t="s">
        <v>3</v>
      </c>
      <c r="F75" s="382" t="s">
        <v>38</v>
      </c>
      <c r="G75" s="382"/>
      <c r="H75" s="382"/>
      <c r="I75" s="382"/>
      <c r="J75" s="382"/>
      <c r="K75" s="402" t="s">
        <v>58</v>
      </c>
      <c r="L75" s="403"/>
      <c r="M75" s="403"/>
      <c r="N75" s="403"/>
      <c r="O75" s="403"/>
      <c r="P75" s="403"/>
      <c r="Q75" s="403"/>
      <c r="R75" s="403"/>
      <c r="S75" s="404"/>
      <c r="T75" s="382" t="s">
        <v>49</v>
      </c>
      <c r="U75" s="382"/>
      <c r="V75" s="402" t="s">
        <v>50</v>
      </c>
      <c r="W75" s="404"/>
      <c r="X75" s="403" t="s">
        <v>51</v>
      </c>
      <c r="Y75" s="403"/>
      <c r="Z75" s="403"/>
      <c r="AA75" s="403"/>
      <c r="AB75" s="403"/>
      <c r="AC75" s="403"/>
      <c r="AD75" s="405"/>
      <c r="AF75" s="50"/>
    </row>
    <row r="76" spans="1:32" ht="33.75" customHeight="1">
      <c r="A76" s="374">
        <v>1</v>
      </c>
      <c r="B76" s="375"/>
      <c r="C76" s="303" t="s">
        <v>114</v>
      </c>
      <c r="D76" s="303"/>
      <c r="E76" s="65" t="s">
        <v>119</v>
      </c>
      <c r="F76" s="389" t="s">
        <v>118</v>
      </c>
      <c r="G76" s="390"/>
      <c r="H76" s="390"/>
      <c r="I76" s="390"/>
      <c r="J76" s="391"/>
      <c r="K76" s="392" t="s">
        <v>137</v>
      </c>
      <c r="L76" s="393"/>
      <c r="M76" s="393"/>
      <c r="N76" s="393"/>
      <c r="O76" s="393"/>
      <c r="P76" s="393"/>
      <c r="Q76" s="393"/>
      <c r="R76" s="393"/>
      <c r="S76" s="394"/>
      <c r="T76" s="395">
        <v>43675</v>
      </c>
      <c r="U76" s="396"/>
      <c r="V76" s="397"/>
      <c r="W76" s="397"/>
      <c r="X76" s="398"/>
      <c r="Y76" s="398"/>
      <c r="Z76" s="398"/>
      <c r="AA76" s="398"/>
      <c r="AB76" s="398"/>
      <c r="AC76" s="398"/>
      <c r="AD76" s="399"/>
      <c r="AF76" s="50"/>
    </row>
    <row r="77" spans="1:32" ht="30" customHeight="1">
      <c r="A77" s="367">
        <f>A76+1</f>
        <v>2</v>
      </c>
      <c r="B77" s="368"/>
      <c r="C77" s="302"/>
      <c r="D77" s="302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ref="A78:A84" si="30">A77+1</f>
        <v>3</v>
      </c>
      <c r="B78" s="368"/>
      <c r="C78" s="302"/>
      <c r="D78" s="302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30"/>
        <v>4</v>
      </c>
      <c r="B79" s="368"/>
      <c r="C79" s="302"/>
      <c r="D79" s="302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30"/>
        <v>5</v>
      </c>
      <c r="B80" s="368"/>
      <c r="C80" s="302"/>
      <c r="D80" s="302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30"/>
        <v>6</v>
      </c>
      <c r="B81" s="368"/>
      <c r="C81" s="302"/>
      <c r="D81" s="302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30"/>
        <v>7</v>
      </c>
      <c r="B82" s="368"/>
      <c r="C82" s="302"/>
      <c r="D82" s="302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30"/>
        <v>8</v>
      </c>
      <c r="B83" s="368"/>
      <c r="C83" s="302"/>
      <c r="D83" s="302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0" customHeight="1">
      <c r="A84" s="367">
        <f t="shared" si="30"/>
        <v>9</v>
      </c>
      <c r="B84" s="368"/>
      <c r="C84" s="302"/>
      <c r="D84" s="302"/>
      <c r="E84" s="32"/>
      <c r="F84" s="368"/>
      <c r="G84" s="368"/>
      <c r="H84" s="368"/>
      <c r="I84" s="368"/>
      <c r="J84" s="368"/>
      <c r="K84" s="383"/>
      <c r="L84" s="384"/>
      <c r="M84" s="384"/>
      <c r="N84" s="384"/>
      <c r="O84" s="384"/>
      <c r="P84" s="384"/>
      <c r="Q84" s="384"/>
      <c r="R84" s="384"/>
      <c r="S84" s="385"/>
      <c r="T84" s="386"/>
      <c r="U84" s="386"/>
      <c r="V84" s="386"/>
      <c r="W84" s="386"/>
      <c r="X84" s="387"/>
      <c r="Y84" s="387"/>
      <c r="Z84" s="387"/>
      <c r="AA84" s="387"/>
      <c r="AB84" s="387"/>
      <c r="AC84" s="387"/>
      <c r="AD84" s="388"/>
      <c r="AF84" s="50"/>
    </row>
    <row r="85" spans="1:32" ht="36" thickBot="1">
      <c r="A85" s="380" t="s">
        <v>489</v>
      </c>
      <c r="B85" s="380"/>
      <c r="C85" s="380"/>
      <c r="D85" s="380"/>
      <c r="E85" s="380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381" t="s">
        <v>113</v>
      </c>
      <c r="B86" s="382"/>
      <c r="C86" s="372" t="s">
        <v>52</v>
      </c>
      <c r="D86" s="372"/>
      <c r="E86" s="372" t="s">
        <v>53</v>
      </c>
      <c r="F86" s="372"/>
      <c r="G86" s="372"/>
      <c r="H86" s="372"/>
      <c r="I86" s="372"/>
      <c r="J86" s="372"/>
      <c r="K86" s="372" t="s">
        <v>54</v>
      </c>
      <c r="L86" s="372"/>
      <c r="M86" s="372"/>
      <c r="N86" s="372"/>
      <c r="O86" s="372"/>
      <c r="P86" s="372"/>
      <c r="Q86" s="372"/>
      <c r="R86" s="372"/>
      <c r="S86" s="372"/>
      <c r="T86" s="372" t="s">
        <v>55</v>
      </c>
      <c r="U86" s="372"/>
      <c r="V86" s="372" t="s">
        <v>56</v>
      </c>
      <c r="W86" s="372"/>
      <c r="X86" s="372"/>
      <c r="Y86" s="372" t="s">
        <v>51</v>
      </c>
      <c r="Z86" s="372"/>
      <c r="AA86" s="372"/>
      <c r="AB86" s="372"/>
      <c r="AC86" s="372"/>
      <c r="AD86" s="373"/>
      <c r="AF86" s="50"/>
    </row>
    <row r="87" spans="1:32" ht="30.75" customHeight="1">
      <c r="A87" s="374">
        <v>1</v>
      </c>
      <c r="B87" s="375"/>
      <c r="C87" s="376">
        <v>11</v>
      </c>
      <c r="D87" s="376"/>
      <c r="E87" s="376" t="s">
        <v>162</v>
      </c>
      <c r="F87" s="376"/>
      <c r="G87" s="376"/>
      <c r="H87" s="376"/>
      <c r="I87" s="376"/>
      <c r="J87" s="376"/>
      <c r="K87" s="376" t="s">
        <v>163</v>
      </c>
      <c r="L87" s="376"/>
      <c r="M87" s="376"/>
      <c r="N87" s="376"/>
      <c r="O87" s="376"/>
      <c r="P87" s="376"/>
      <c r="Q87" s="376"/>
      <c r="R87" s="376"/>
      <c r="S87" s="376"/>
      <c r="T87" s="376" t="s">
        <v>164</v>
      </c>
      <c r="U87" s="376"/>
      <c r="V87" s="377">
        <v>600000</v>
      </c>
      <c r="W87" s="377"/>
      <c r="X87" s="377"/>
      <c r="Y87" s="378"/>
      <c r="Z87" s="378"/>
      <c r="AA87" s="378"/>
      <c r="AB87" s="378"/>
      <c r="AC87" s="378"/>
      <c r="AD87" s="379"/>
      <c r="AF87" s="50"/>
    </row>
    <row r="88" spans="1:32" ht="30.75" customHeight="1">
      <c r="A88" s="367">
        <v>2</v>
      </c>
      <c r="B88" s="368"/>
      <c r="C88" s="369"/>
      <c r="D88" s="369"/>
      <c r="E88" s="369"/>
      <c r="F88" s="369"/>
      <c r="G88" s="369"/>
      <c r="H88" s="369"/>
      <c r="I88" s="369"/>
      <c r="J88" s="369"/>
      <c r="K88" s="369"/>
      <c r="L88" s="369"/>
      <c r="M88" s="369"/>
      <c r="N88" s="369"/>
      <c r="O88" s="369"/>
      <c r="P88" s="369"/>
      <c r="Q88" s="369"/>
      <c r="R88" s="369"/>
      <c r="S88" s="369"/>
      <c r="T88" s="370"/>
      <c r="U88" s="370"/>
      <c r="V88" s="371"/>
      <c r="W88" s="371"/>
      <c r="X88" s="371"/>
      <c r="Y88" s="360"/>
      <c r="Z88" s="360"/>
      <c r="AA88" s="360"/>
      <c r="AB88" s="360"/>
      <c r="AC88" s="360"/>
      <c r="AD88" s="361"/>
      <c r="AF88" s="50"/>
    </row>
    <row r="89" spans="1:32" ht="30.75" customHeight="1" thickBot="1">
      <c r="A89" s="362">
        <v>3</v>
      </c>
      <c r="B89" s="363"/>
      <c r="C89" s="364"/>
      <c r="D89" s="364"/>
      <c r="E89" s="364"/>
      <c r="F89" s="36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64"/>
      <c r="R89" s="364"/>
      <c r="S89" s="364"/>
      <c r="T89" s="364"/>
      <c r="U89" s="364"/>
      <c r="V89" s="364"/>
      <c r="W89" s="364"/>
      <c r="X89" s="364"/>
      <c r="Y89" s="365"/>
      <c r="Z89" s="365"/>
      <c r="AA89" s="365"/>
      <c r="AB89" s="365"/>
      <c r="AC89" s="365"/>
      <c r="AD89" s="366"/>
      <c r="AF89" s="50"/>
    </row>
  </sheetData>
  <mergeCells count="230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9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ACFD-B2F2-42B2-85E2-B2E97CFA7889}">
  <dimension ref="A1:AF89"/>
  <sheetViews>
    <sheetView zoomScale="72" zoomScaleNormal="72" zoomScaleSheetLayoutView="70" workbookViewId="0">
      <selection activeCell="K80" sqref="K80:S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490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3" si="1">L6-N6</f>
        <v>0</v>
      </c>
      <c r="N6" s="15">
        <v>0</v>
      </c>
      <c r="O6" s="58" t="str">
        <f t="shared" ref="O6:O24" si="2">IF(L6=0,"0",N6/L6)</f>
        <v>0</v>
      </c>
      <c r="P6" s="39" t="str">
        <f t="shared" ref="P6:P23" si="3">IF(L6=0,"0",(24-Q6))</f>
        <v>0</v>
      </c>
      <c r="Q6" s="40">
        <f t="shared" ref="Q6:Q23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3" si="5">IF(J6=0,"0",(L6/J6))</f>
        <v>0</v>
      </c>
      <c r="AC6" s="9">
        <f t="shared" ref="AC6:AC23" si="6">IF(P6=0,"0",(P6/24))</f>
        <v>0</v>
      </c>
      <c r="AD6" s="10">
        <f t="shared" ref="AD6:AD20" si="7">AC6*AB6*(1-O6)</f>
        <v>0</v>
      </c>
      <c r="AE6" s="36">
        <f t="shared" ref="AE6:AE23" si="8">$AD$24</f>
        <v>0.48333333333333334</v>
      </c>
      <c r="AF6" s="87">
        <f t="shared" ref="AF6:AF23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0.48333333333333334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50000</v>
      </c>
      <c r="J8" s="14">
        <v>4472</v>
      </c>
      <c r="K8" s="15">
        <f>L8+1722+1917+1867+4092+4437+4478+4488+4622+1866+4341</f>
        <v>38302</v>
      </c>
      <c r="L8" s="15">
        <f>2165+2307</f>
        <v>4472</v>
      </c>
      <c r="M8" s="15">
        <f t="shared" si="1"/>
        <v>4472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0.48333333333333334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117</v>
      </c>
      <c r="E9" s="53" t="s">
        <v>309</v>
      </c>
      <c r="F9" s="30" t="s">
        <v>121</v>
      </c>
      <c r="G9" s="33">
        <v>1</v>
      </c>
      <c r="H9" s="35">
        <v>24</v>
      </c>
      <c r="I9" s="7">
        <v>800</v>
      </c>
      <c r="J9" s="14">
        <v>1498</v>
      </c>
      <c r="K9" s="15">
        <f>L9</f>
        <v>1498</v>
      </c>
      <c r="L9" s="15">
        <v>1498</v>
      </c>
      <c r="M9" s="15">
        <f t="shared" si="1"/>
        <v>1498</v>
      </c>
      <c r="N9" s="15">
        <v>0</v>
      </c>
      <c r="O9" s="58">
        <f t="shared" si="2"/>
        <v>0</v>
      </c>
      <c r="P9" s="39">
        <f t="shared" si="3"/>
        <v>8</v>
      </c>
      <c r="Q9" s="40">
        <f t="shared" si="4"/>
        <v>16</v>
      </c>
      <c r="R9" s="7"/>
      <c r="S9" s="6"/>
      <c r="T9" s="16"/>
      <c r="U9" s="16"/>
      <c r="V9" s="17"/>
      <c r="W9" s="5">
        <v>16</v>
      </c>
      <c r="X9" s="16"/>
      <c r="Y9" s="16"/>
      <c r="Z9" s="16"/>
      <c r="AA9" s="18"/>
      <c r="AB9" s="8">
        <f t="shared" si="5"/>
        <v>1</v>
      </c>
      <c r="AC9" s="9">
        <f t="shared" si="6"/>
        <v>0.33333333333333331</v>
      </c>
      <c r="AD9" s="10">
        <f t="shared" si="7"/>
        <v>0.33333333333333331</v>
      </c>
      <c r="AE9" s="36">
        <f t="shared" si="8"/>
        <v>0.48333333333333334</v>
      </c>
      <c r="AF9" s="87">
        <f t="shared" si="9"/>
        <v>4</v>
      </c>
    </row>
    <row r="10" spans="1:32" ht="27" customHeight="1">
      <c r="A10" s="103">
        <v>4</v>
      </c>
      <c r="B10" s="11" t="s">
        <v>57</v>
      </c>
      <c r="C10" s="11" t="s">
        <v>114</v>
      </c>
      <c r="D10" s="52" t="s">
        <v>125</v>
      </c>
      <c r="E10" s="53" t="s">
        <v>317</v>
      </c>
      <c r="F10" s="30" t="s">
        <v>130</v>
      </c>
      <c r="G10" s="33">
        <v>1</v>
      </c>
      <c r="H10" s="35">
        <v>24</v>
      </c>
      <c r="I10" s="7">
        <v>1500</v>
      </c>
      <c r="J10" s="14">
        <v>2238</v>
      </c>
      <c r="K10" s="15">
        <f>L10</f>
        <v>2238</v>
      </c>
      <c r="L10" s="15">
        <f>2238</f>
        <v>2238</v>
      </c>
      <c r="M10" s="15">
        <f t="shared" si="1"/>
        <v>2238</v>
      </c>
      <c r="N10" s="15">
        <v>0</v>
      </c>
      <c r="O10" s="58">
        <f t="shared" si="2"/>
        <v>0</v>
      </c>
      <c r="P10" s="39">
        <f t="shared" si="3"/>
        <v>14</v>
      </c>
      <c r="Q10" s="40">
        <f t="shared" si="4"/>
        <v>10</v>
      </c>
      <c r="R10" s="7"/>
      <c r="S10" s="6"/>
      <c r="T10" s="16">
        <v>9</v>
      </c>
      <c r="U10" s="16"/>
      <c r="V10" s="17"/>
      <c r="W10" s="5">
        <v>1</v>
      </c>
      <c r="X10" s="16"/>
      <c r="Y10" s="16"/>
      <c r="Z10" s="16"/>
      <c r="AA10" s="18"/>
      <c r="AB10" s="8">
        <f t="shared" si="5"/>
        <v>1</v>
      </c>
      <c r="AC10" s="9">
        <f t="shared" si="6"/>
        <v>0.58333333333333337</v>
      </c>
      <c r="AD10" s="10">
        <f t="shared" si="7"/>
        <v>0.58333333333333337</v>
      </c>
      <c r="AE10" s="36">
        <f t="shared" si="8"/>
        <v>0.48333333333333334</v>
      </c>
      <c r="AF10" s="87">
        <f t="shared" si="9"/>
        <v>4</v>
      </c>
    </row>
    <row r="11" spans="1:32" ht="27" customHeight="1">
      <c r="A11" s="103">
        <v>5</v>
      </c>
      <c r="B11" s="11" t="s">
        <v>57</v>
      </c>
      <c r="C11" s="34" t="s">
        <v>124</v>
      </c>
      <c r="D11" s="52" t="s">
        <v>154</v>
      </c>
      <c r="E11" s="53" t="s">
        <v>160</v>
      </c>
      <c r="F11" s="30" t="s">
        <v>127</v>
      </c>
      <c r="G11" s="33">
        <v>2</v>
      </c>
      <c r="H11" s="35">
        <v>24</v>
      </c>
      <c r="I11" s="7">
        <v>90000</v>
      </c>
      <c r="J11" s="5">
        <v>3000</v>
      </c>
      <c r="K11" s="15">
        <f>L11+10866+11456+11694+4772+11130</f>
        <v>52918</v>
      </c>
      <c r="L11" s="15">
        <v>3000</v>
      </c>
      <c r="M11" s="15">
        <f t="shared" si="1"/>
        <v>3000</v>
      </c>
      <c r="N11" s="15">
        <v>0</v>
      </c>
      <c r="O11" s="58">
        <f t="shared" si="2"/>
        <v>0</v>
      </c>
      <c r="P11" s="39">
        <f t="shared" si="3"/>
        <v>6</v>
      </c>
      <c r="Q11" s="40">
        <f t="shared" si="4"/>
        <v>18</v>
      </c>
      <c r="R11" s="7"/>
      <c r="S11" s="6"/>
      <c r="T11" s="16"/>
      <c r="U11" s="16"/>
      <c r="V11" s="17"/>
      <c r="W11" s="5">
        <v>18</v>
      </c>
      <c r="X11" s="16"/>
      <c r="Y11" s="16"/>
      <c r="Z11" s="16"/>
      <c r="AA11" s="18"/>
      <c r="AB11" s="8">
        <f t="shared" si="5"/>
        <v>1</v>
      </c>
      <c r="AC11" s="9">
        <f t="shared" si="6"/>
        <v>0.25</v>
      </c>
      <c r="AD11" s="10">
        <f>AC11*AB11*(1-O11)</f>
        <v>0.25</v>
      </c>
      <c r="AE11" s="36">
        <f t="shared" si="8"/>
        <v>0.48333333333333334</v>
      </c>
      <c r="AF11" s="87">
        <f t="shared" si="9"/>
        <v>5</v>
      </c>
    </row>
    <row r="12" spans="1:32" ht="27" customHeight="1">
      <c r="A12" s="103">
        <v>5</v>
      </c>
      <c r="B12" s="11" t="s">
        <v>57</v>
      </c>
      <c r="C12" s="34" t="s">
        <v>124</v>
      </c>
      <c r="D12" s="52" t="s">
        <v>154</v>
      </c>
      <c r="E12" s="53" t="s">
        <v>481</v>
      </c>
      <c r="F12" s="30" t="s">
        <v>129</v>
      </c>
      <c r="G12" s="33">
        <v>2</v>
      </c>
      <c r="H12" s="35">
        <v>24</v>
      </c>
      <c r="I12" s="7">
        <v>1000</v>
      </c>
      <c r="J12" s="5">
        <v>2086</v>
      </c>
      <c r="K12" s="15">
        <f>L12</f>
        <v>2086</v>
      </c>
      <c r="L12" s="15">
        <f>1043*2</f>
        <v>2086</v>
      </c>
      <c r="M12" s="15">
        <f t="shared" ref="M12" si="10">L12-N12</f>
        <v>2086</v>
      </c>
      <c r="N12" s="15">
        <v>0</v>
      </c>
      <c r="O12" s="58">
        <f t="shared" ref="O12" si="11">IF(L12=0,"0",N12/L12)</f>
        <v>0</v>
      </c>
      <c r="P12" s="39">
        <f t="shared" ref="P12" si="12">IF(L12=0,"0",(24-Q12))</f>
        <v>6</v>
      </c>
      <c r="Q12" s="40">
        <f t="shared" ref="Q12" si="13">SUM(R12:AA12)</f>
        <v>18</v>
      </c>
      <c r="R12" s="7"/>
      <c r="S12" s="6"/>
      <c r="T12" s="16"/>
      <c r="U12" s="16"/>
      <c r="V12" s="17"/>
      <c r="W12" s="5">
        <v>18</v>
      </c>
      <c r="X12" s="16"/>
      <c r="Y12" s="16"/>
      <c r="Z12" s="16"/>
      <c r="AA12" s="18"/>
      <c r="AB12" s="8">
        <f t="shared" ref="AB12" si="14">IF(J12=0,"0",(L12/J12))</f>
        <v>1</v>
      </c>
      <c r="AC12" s="9">
        <f t="shared" ref="AC12" si="15">IF(P12=0,"0",(P12/24))</f>
        <v>0.25</v>
      </c>
      <c r="AD12" s="10">
        <f>AC12*AB12*(1-O12)</f>
        <v>0.25</v>
      </c>
      <c r="AE12" s="36">
        <f t="shared" si="8"/>
        <v>0.48333333333333334</v>
      </c>
      <c r="AF12" s="87">
        <f t="shared" ref="AF12" si="16">A12</f>
        <v>5</v>
      </c>
    </row>
    <row r="13" spans="1:32" ht="27" customHeight="1">
      <c r="A13" s="103">
        <v>5</v>
      </c>
      <c r="B13" s="11" t="s">
        <v>57</v>
      </c>
      <c r="C13" s="34" t="s">
        <v>114</v>
      </c>
      <c r="D13" s="52" t="s">
        <v>128</v>
      </c>
      <c r="E13" s="53" t="s">
        <v>335</v>
      </c>
      <c r="F13" s="30" t="s">
        <v>129</v>
      </c>
      <c r="G13" s="33">
        <v>1</v>
      </c>
      <c r="H13" s="35">
        <v>24</v>
      </c>
      <c r="I13" s="7">
        <v>800</v>
      </c>
      <c r="J13" s="5">
        <v>937</v>
      </c>
      <c r="K13" s="15">
        <f>L13</f>
        <v>937</v>
      </c>
      <c r="L13" s="15">
        <v>937</v>
      </c>
      <c r="M13" s="15">
        <f t="shared" ref="M13" si="17">L13-N13</f>
        <v>937</v>
      </c>
      <c r="N13" s="15">
        <v>0</v>
      </c>
      <c r="O13" s="58">
        <f t="shared" ref="O13" si="18">IF(L13=0,"0",N13/L13)</f>
        <v>0</v>
      </c>
      <c r="P13" s="39">
        <f t="shared" ref="P13" si="19">IF(L13=0,"0",(24-Q13))</f>
        <v>5</v>
      </c>
      <c r="Q13" s="40">
        <f t="shared" ref="Q13" si="20">SUM(R13:AA13)</f>
        <v>19</v>
      </c>
      <c r="R13" s="7"/>
      <c r="S13" s="6"/>
      <c r="T13" s="16"/>
      <c r="U13" s="16"/>
      <c r="V13" s="17"/>
      <c r="W13" s="5">
        <v>19</v>
      </c>
      <c r="X13" s="16"/>
      <c r="Y13" s="16"/>
      <c r="Z13" s="16"/>
      <c r="AA13" s="18"/>
      <c r="AB13" s="8">
        <f t="shared" ref="AB13" si="21">IF(J13=0,"0",(L13/J13))</f>
        <v>1</v>
      </c>
      <c r="AC13" s="9">
        <f t="shared" ref="AC13" si="22">IF(P13=0,"0",(P13/24))</f>
        <v>0.20833333333333334</v>
      </c>
      <c r="AD13" s="10">
        <f>AC13*AB13*(1-O13)</f>
        <v>0.20833333333333334</v>
      </c>
      <c r="AE13" s="36">
        <f t="shared" si="8"/>
        <v>0.48333333333333334</v>
      </c>
      <c r="AF13" s="87">
        <f t="shared" ref="AF13" si="23">A13</f>
        <v>5</v>
      </c>
    </row>
    <row r="14" spans="1:32" ht="27" customHeight="1">
      <c r="A14" s="103">
        <v>6</v>
      </c>
      <c r="B14" s="11" t="s">
        <v>57</v>
      </c>
      <c r="C14" s="11" t="s">
        <v>133</v>
      </c>
      <c r="D14" s="52" t="s">
        <v>117</v>
      </c>
      <c r="E14" s="53" t="s">
        <v>436</v>
      </c>
      <c r="F14" s="30" t="s">
        <v>121</v>
      </c>
      <c r="G14" s="33">
        <v>1</v>
      </c>
      <c r="H14" s="35">
        <v>24</v>
      </c>
      <c r="I14" s="7">
        <v>25000</v>
      </c>
      <c r="J14" s="14">
        <v>5217</v>
      </c>
      <c r="K14" s="15">
        <f>L14+3151+2075+4881</f>
        <v>15324</v>
      </c>
      <c r="L14" s="15">
        <f>2713+2504</f>
        <v>5217</v>
      </c>
      <c r="M14" s="15">
        <f t="shared" si="1"/>
        <v>5217</v>
      </c>
      <c r="N14" s="15">
        <v>0</v>
      </c>
      <c r="O14" s="58">
        <f t="shared" si="2"/>
        <v>0</v>
      </c>
      <c r="P14" s="39">
        <f t="shared" si="3"/>
        <v>24</v>
      </c>
      <c r="Q14" s="40">
        <f t="shared" si="4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1</v>
      </c>
      <c r="AD14" s="10">
        <f t="shared" ref="AD14" si="24">AC14*AB14*(1-O14)</f>
        <v>1</v>
      </c>
      <c r="AE14" s="36">
        <f t="shared" si="8"/>
        <v>0.48333333333333334</v>
      </c>
      <c r="AF14" s="87">
        <f t="shared" si="9"/>
        <v>6</v>
      </c>
    </row>
    <row r="15" spans="1:32" ht="27" customHeight="1">
      <c r="A15" s="103">
        <v>7</v>
      </c>
      <c r="B15" s="11" t="s">
        <v>57</v>
      </c>
      <c r="C15" s="11" t="s">
        <v>124</v>
      </c>
      <c r="D15" s="52" t="s">
        <v>117</v>
      </c>
      <c r="E15" s="53" t="s">
        <v>168</v>
      </c>
      <c r="F15" s="30" t="s">
        <v>121</v>
      </c>
      <c r="G15" s="33">
        <v>1</v>
      </c>
      <c r="H15" s="35">
        <v>20</v>
      </c>
      <c r="I15" s="7">
        <v>50000</v>
      </c>
      <c r="J15" s="14">
        <v>4101</v>
      </c>
      <c r="K15" s="15">
        <f>L15+2445</f>
        <v>6546</v>
      </c>
      <c r="L15" s="15">
        <f>1844+2257</f>
        <v>4101</v>
      </c>
      <c r="M15" s="15">
        <f t="shared" si="1"/>
        <v>4101</v>
      </c>
      <c r="N15" s="15">
        <v>0</v>
      </c>
      <c r="O15" s="58">
        <f t="shared" si="2"/>
        <v>0</v>
      </c>
      <c r="P15" s="39">
        <f t="shared" si="3"/>
        <v>21</v>
      </c>
      <c r="Q15" s="40">
        <f t="shared" si="4"/>
        <v>3</v>
      </c>
      <c r="R15" s="7"/>
      <c r="S15" s="6">
        <v>3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0.875</v>
      </c>
      <c r="AD15" s="10">
        <f t="shared" si="7"/>
        <v>0.875</v>
      </c>
      <c r="AE15" s="36">
        <f t="shared" si="8"/>
        <v>0.48333333333333334</v>
      </c>
      <c r="AF15" s="87">
        <f t="shared" si="9"/>
        <v>7</v>
      </c>
    </row>
    <row r="16" spans="1:32" ht="27" customHeight="1">
      <c r="A16" s="103">
        <v>8</v>
      </c>
      <c r="B16" s="11" t="s">
        <v>57</v>
      </c>
      <c r="C16" s="11" t="s">
        <v>133</v>
      </c>
      <c r="D16" s="52" t="s">
        <v>154</v>
      </c>
      <c r="E16" s="53" t="s">
        <v>473</v>
      </c>
      <c r="F16" s="30" t="s">
        <v>129</v>
      </c>
      <c r="G16" s="33">
        <v>2</v>
      </c>
      <c r="H16" s="35">
        <v>24</v>
      </c>
      <c r="I16" s="7">
        <v>2000</v>
      </c>
      <c r="J16" s="14">
        <v>2312</v>
      </c>
      <c r="K16" s="15">
        <f>L16+2312</f>
        <v>2312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0.48333333333333334</v>
      </c>
      <c r="AF16" s="87">
        <f t="shared" si="9"/>
        <v>8</v>
      </c>
    </row>
    <row r="17" spans="1:32" ht="27" customHeight="1">
      <c r="A17" s="118">
        <v>9</v>
      </c>
      <c r="B17" s="11" t="s">
        <v>57</v>
      </c>
      <c r="C17" s="34" t="s">
        <v>114</v>
      </c>
      <c r="D17" s="52" t="s">
        <v>196</v>
      </c>
      <c r="E17" s="53" t="s">
        <v>189</v>
      </c>
      <c r="F17" s="30" t="s">
        <v>197</v>
      </c>
      <c r="G17" s="12">
        <v>1</v>
      </c>
      <c r="H17" s="13">
        <v>28</v>
      </c>
      <c r="I17" s="7">
        <v>2000</v>
      </c>
      <c r="J17" s="5">
        <v>1045</v>
      </c>
      <c r="K17" s="15">
        <f>L17+620+500+1045</f>
        <v>2165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0.48333333333333334</v>
      </c>
      <c r="AF17" s="87">
        <f t="shared" si="9"/>
        <v>9</v>
      </c>
    </row>
    <row r="18" spans="1:32" ht="27" customHeight="1">
      <c r="A18" s="102">
        <v>10</v>
      </c>
      <c r="B18" s="11" t="s">
        <v>57</v>
      </c>
      <c r="C18" s="34" t="s">
        <v>124</v>
      </c>
      <c r="D18" s="52" t="s">
        <v>242</v>
      </c>
      <c r="E18" s="53" t="s">
        <v>475</v>
      </c>
      <c r="F18" s="12" t="s">
        <v>151</v>
      </c>
      <c r="G18" s="12">
        <v>1</v>
      </c>
      <c r="H18" s="13">
        <v>24</v>
      </c>
      <c r="I18" s="31">
        <v>500</v>
      </c>
      <c r="J18" s="14">
        <v>770</v>
      </c>
      <c r="K18" s="15">
        <f>L18+770</f>
        <v>770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0.48333333333333334</v>
      </c>
      <c r="AF18" s="87">
        <f t="shared" si="9"/>
        <v>10</v>
      </c>
    </row>
    <row r="19" spans="1:32" ht="30" customHeight="1">
      <c r="A19" s="102">
        <v>11</v>
      </c>
      <c r="B19" s="11" t="s">
        <v>57</v>
      </c>
      <c r="C19" s="34" t="s">
        <v>124</v>
      </c>
      <c r="D19" s="52" t="s">
        <v>128</v>
      </c>
      <c r="E19" s="53" t="s">
        <v>150</v>
      </c>
      <c r="F19" s="30" t="s">
        <v>129</v>
      </c>
      <c r="G19" s="12">
        <v>1</v>
      </c>
      <c r="H19" s="13">
        <v>28</v>
      </c>
      <c r="I19" s="7">
        <v>9000</v>
      </c>
      <c r="J19" s="14">
        <v>4928</v>
      </c>
      <c r="K19" s="15">
        <f>L19+5027+5503+5566+4928</f>
        <v>21024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>
        <v>24</v>
      </c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0.48333333333333334</v>
      </c>
      <c r="AF19" s="87">
        <f t="shared" si="9"/>
        <v>11</v>
      </c>
    </row>
    <row r="20" spans="1:32" ht="27" customHeight="1">
      <c r="A20" s="102">
        <v>12</v>
      </c>
      <c r="B20" s="11" t="s">
        <v>57</v>
      </c>
      <c r="C20" s="11" t="s">
        <v>133</v>
      </c>
      <c r="D20" s="52" t="s">
        <v>148</v>
      </c>
      <c r="E20" s="53" t="s">
        <v>461</v>
      </c>
      <c r="F20" s="30" t="s">
        <v>151</v>
      </c>
      <c r="G20" s="33">
        <v>2</v>
      </c>
      <c r="H20" s="35">
        <v>20</v>
      </c>
      <c r="I20" s="7">
        <v>15000</v>
      </c>
      <c r="J20" s="14">
        <v>7136</v>
      </c>
      <c r="K20" s="15">
        <f>L20+9948</f>
        <v>17084</v>
      </c>
      <c r="L20" s="15">
        <f>2814*2+754*2</f>
        <v>7136</v>
      </c>
      <c r="M20" s="15">
        <f t="shared" si="1"/>
        <v>7136</v>
      </c>
      <c r="N20" s="15">
        <v>0</v>
      </c>
      <c r="O20" s="58">
        <f t="shared" si="2"/>
        <v>0</v>
      </c>
      <c r="P20" s="39">
        <f t="shared" si="3"/>
        <v>18</v>
      </c>
      <c r="Q20" s="40">
        <f t="shared" si="4"/>
        <v>6</v>
      </c>
      <c r="R20" s="7"/>
      <c r="S20" s="6"/>
      <c r="T20" s="16"/>
      <c r="U20" s="16"/>
      <c r="V20" s="17"/>
      <c r="W20" s="5">
        <v>6</v>
      </c>
      <c r="X20" s="16"/>
      <c r="Y20" s="16"/>
      <c r="Z20" s="16"/>
      <c r="AA20" s="18"/>
      <c r="AB20" s="8">
        <f t="shared" si="5"/>
        <v>1</v>
      </c>
      <c r="AC20" s="9">
        <f t="shared" si="6"/>
        <v>0.75</v>
      </c>
      <c r="AD20" s="10">
        <f t="shared" si="7"/>
        <v>0.75</v>
      </c>
      <c r="AE20" s="36">
        <f t="shared" si="8"/>
        <v>0.48333333333333334</v>
      </c>
      <c r="AF20" s="87">
        <f t="shared" si="9"/>
        <v>12</v>
      </c>
    </row>
    <row r="21" spans="1:32" ht="27" customHeight="1">
      <c r="A21" s="103">
        <v>13</v>
      </c>
      <c r="B21" s="11" t="s">
        <v>57</v>
      </c>
      <c r="C21" s="34" t="s">
        <v>124</v>
      </c>
      <c r="D21" s="52" t="s">
        <v>456</v>
      </c>
      <c r="E21" s="53" t="s">
        <v>457</v>
      </c>
      <c r="F21" s="30" t="s">
        <v>212</v>
      </c>
      <c r="G21" s="33">
        <v>1</v>
      </c>
      <c r="H21" s="35">
        <v>24</v>
      </c>
      <c r="I21" s="7">
        <v>16000</v>
      </c>
      <c r="J21" s="5">
        <v>4855</v>
      </c>
      <c r="K21" s="15">
        <f>L21+921+3493</f>
        <v>9269</v>
      </c>
      <c r="L21" s="15">
        <f>2471+2384</f>
        <v>4855</v>
      </c>
      <c r="M21" s="15">
        <f t="shared" si="1"/>
        <v>4855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>AC21*AB21*(1-O21)</f>
        <v>1</v>
      </c>
      <c r="AE21" s="36">
        <f t="shared" si="8"/>
        <v>0.48333333333333334</v>
      </c>
      <c r="AF21" s="87">
        <f t="shared" si="9"/>
        <v>13</v>
      </c>
    </row>
    <row r="22" spans="1:32" ht="27" customHeight="1">
      <c r="A22" s="103">
        <v>14</v>
      </c>
      <c r="B22" s="11" t="s">
        <v>57</v>
      </c>
      <c r="C22" s="11" t="s">
        <v>124</v>
      </c>
      <c r="D22" s="52" t="s">
        <v>122</v>
      </c>
      <c r="E22" s="53" t="s">
        <v>424</v>
      </c>
      <c r="F22" s="30" t="s">
        <v>212</v>
      </c>
      <c r="G22" s="33">
        <v>1</v>
      </c>
      <c r="H22" s="35">
        <v>24</v>
      </c>
      <c r="I22" s="7">
        <v>50000</v>
      </c>
      <c r="J22" s="14">
        <v>5532</v>
      </c>
      <c r="K22" s="15">
        <f>L22+2211+5670+2303+5334</f>
        <v>21050</v>
      </c>
      <c r="L22" s="15">
        <f>2858+2674</f>
        <v>5532</v>
      </c>
      <c r="M22" s="15">
        <f t="shared" si="1"/>
        <v>5532</v>
      </c>
      <c r="N22" s="15">
        <v>0</v>
      </c>
      <c r="O22" s="58">
        <f t="shared" si="2"/>
        <v>0</v>
      </c>
      <c r="P22" s="39">
        <f t="shared" si="3"/>
        <v>24</v>
      </c>
      <c r="Q22" s="40">
        <f t="shared" si="4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1</v>
      </c>
      <c r="AD22" s="10">
        <f t="shared" ref="AD22:AD23" si="25">AC22*AB22*(1-O22)</f>
        <v>1</v>
      </c>
      <c r="AE22" s="36">
        <f t="shared" si="8"/>
        <v>0.48333333333333334</v>
      </c>
      <c r="AF22" s="87">
        <f t="shared" si="9"/>
        <v>14</v>
      </c>
    </row>
    <row r="23" spans="1:32" ht="27" customHeight="1" thickBot="1">
      <c r="A23" s="103">
        <v>15</v>
      </c>
      <c r="B23" s="11" t="s">
        <v>57</v>
      </c>
      <c r="C23" s="11" t="s">
        <v>115</v>
      </c>
      <c r="D23" s="52"/>
      <c r="E23" s="53" t="s">
        <v>152</v>
      </c>
      <c r="F23" s="12" t="s">
        <v>116</v>
      </c>
      <c r="G23" s="12">
        <v>3</v>
      </c>
      <c r="H23" s="35">
        <v>20</v>
      </c>
      <c r="I23" s="7">
        <v>300000</v>
      </c>
      <c r="J23" s="14">
        <v>25017</v>
      </c>
      <c r="K23" s="15">
        <f>L23+54642+62589+25017</f>
        <v>142248</v>
      </c>
      <c r="L23" s="15"/>
      <c r="M23" s="15">
        <f t="shared" si="1"/>
        <v>0</v>
      </c>
      <c r="N23" s="15">
        <v>0</v>
      </c>
      <c r="O23" s="58" t="str">
        <f t="shared" si="2"/>
        <v>0</v>
      </c>
      <c r="P23" s="39" t="str">
        <f t="shared" si="3"/>
        <v>0</v>
      </c>
      <c r="Q23" s="40">
        <f t="shared" si="4"/>
        <v>24</v>
      </c>
      <c r="R23" s="7"/>
      <c r="S23" s="6">
        <v>24</v>
      </c>
      <c r="T23" s="16"/>
      <c r="U23" s="16"/>
      <c r="V23" s="17"/>
      <c r="W23" s="5"/>
      <c r="X23" s="16"/>
      <c r="Y23" s="16"/>
      <c r="Z23" s="16"/>
      <c r="AA23" s="18"/>
      <c r="AB23" s="8">
        <f t="shared" si="5"/>
        <v>0</v>
      </c>
      <c r="AC23" s="9">
        <f t="shared" si="6"/>
        <v>0</v>
      </c>
      <c r="AD23" s="10">
        <f t="shared" si="25"/>
        <v>0</v>
      </c>
      <c r="AE23" s="36">
        <f t="shared" si="8"/>
        <v>0.48333333333333334</v>
      </c>
      <c r="AF23" s="87">
        <f t="shared" si="9"/>
        <v>15</v>
      </c>
    </row>
    <row r="24" spans="1:32" ht="31.5" customHeight="1" thickBot="1">
      <c r="A24" s="437" t="s">
        <v>34</v>
      </c>
      <c r="B24" s="438"/>
      <c r="C24" s="438"/>
      <c r="D24" s="438"/>
      <c r="E24" s="438"/>
      <c r="F24" s="438"/>
      <c r="G24" s="438"/>
      <c r="H24" s="439"/>
      <c r="I24" s="22">
        <f t="shared" ref="I24:N24" si="26">SUM(I6:I23)</f>
        <v>634600</v>
      </c>
      <c r="J24" s="19">
        <f t="shared" si="26"/>
        <v>77205</v>
      </c>
      <c r="K24" s="20">
        <f t="shared" si="26"/>
        <v>347319</v>
      </c>
      <c r="L24" s="21">
        <f t="shared" si="26"/>
        <v>41072</v>
      </c>
      <c r="M24" s="20">
        <f t="shared" si="26"/>
        <v>41072</v>
      </c>
      <c r="N24" s="21">
        <f t="shared" si="26"/>
        <v>0</v>
      </c>
      <c r="O24" s="41">
        <f t="shared" si="2"/>
        <v>0</v>
      </c>
      <c r="P24" s="42">
        <f t="shared" ref="P24:AA24" si="27">SUM(P6:P23)</f>
        <v>174</v>
      </c>
      <c r="Q24" s="43">
        <f t="shared" si="27"/>
        <v>254</v>
      </c>
      <c r="R24" s="23">
        <f t="shared" si="27"/>
        <v>48</v>
      </c>
      <c r="S24" s="24">
        <f t="shared" si="27"/>
        <v>27</v>
      </c>
      <c r="T24" s="24">
        <f t="shared" si="27"/>
        <v>9</v>
      </c>
      <c r="U24" s="24">
        <f t="shared" si="27"/>
        <v>0</v>
      </c>
      <c r="V24" s="25">
        <f t="shared" si="27"/>
        <v>24</v>
      </c>
      <c r="W24" s="26">
        <f t="shared" si="27"/>
        <v>122</v>
      </c>
      <c r="X24" s="27">
        <f t="shared" si="27"/>
        <v>0</v>
      </c>
      <c r="Y24" s="27">
        <f t="shared" si="27"/>
        <v>0</v>
      </c>
      <c r="Z24" s="27">
        <f t="shared" si="27"/>
        <v>0</v>
      </c>
      <c r="AA24" s="27">
        <f t="shared" si="27"/>
        <v>24</v>
      </c>
      <c r="AB24" s="28">
        <f>SUM(AB6:AB23)/15</f>
        <v>0.73333333333333328</v>
      </c>
      <c r="AC24" s="4">
        <f>SUM(AC6:AC23)/15</f>
        <v>0.48333333333333334</v>
      </c>
      <c r="AD24" s="4">
        <f>SUM(AD6:AD23)/15</f>
        <v>0.48333333333333334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8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40" t="s">
        <v>45</v>
      </c>
      <c r="B51" s="440"/>
      <c r="C51" s="440"/>
      <c r="D51" s="440"/>
      <c r="E51" s="440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41" t="s">
        <v>491</v>
      </c>
      <c r="B52" s="442"/>
      <c r="C52" s="442"/>
      <c r="D52" s="442"/>
      <c r="E52" s="442"/>
      <c r="F52" s="442"/>
      <c r="G52" s="442"/>
      <c r="H52" s="442"/>
      <c r="I52" s="442"/>
      <c r="J52" s="442"/>
      <c r="K52" s="442"/>
      <c r="L52" s="442"/>
      <c r="M52" s="443"/>
      <c r="N52" s="444" t="s">
        <v>492</v>
      </c>
      <c r="O52" s="445"/>
      <c r="P52" s="445"/>
      <c r="Q52" s="445"/>
      <c r="R52" s="445"/>
      <c r="S52" s="445"/>
      <c r="T52" s="445"/>
      <c r="U52" s="445"/>
      <c r="V52" s="445"/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7" t="s">
        <v>2</v>
      </c>
      <c r="B53" s="448"/>
      <c r="C53" s="294" t="s">
        <v>46</v>
      </c>
      <c r="D53" s="294" t="s">
        <v>47</v>
      </c>
      <c r="E53" s="294" t="s">
        <v>108</v>
      </c>
      <c r="F53" s="448" t="s">
        <v>107</v>
      </c>
      <c r="G53" s="448"/>
      <c r="H53" s="448"/>
      <c r="I53" s="448"/>
      <c r="J53" s="448"/>
      <c r="K53" s="448"/>
      <c r="L53" s="448"/>
      <c r="M53" s="449"/>
      <c r="N53" s="67" t="s">
        <v>112</v>
      </c>
      <c r="O53" s="294" t="s">
        <v>46</v>
      </c>
      <c r="P53" s="450" t="s">
        <v>47</v>
      </c>
      <c r="Q53" s="451"/>
      <c r="R53" s="450" t="s">
        <v>38</v>
      </c>
      <c r="S53" s="452"/>
      <c r="T53" s="452"/>
      <c r="U53" s="451"/>
      <c r="V53" s="450" t="s">
        <v>48</v>
      </c>
      <c r="W53" s="452"/>
      <c r="X53" s="452"/>
      <c r="Y53" s="452"/>
      <c r="Z53" s="452"/>
      <c r="AA53" s="452"/>
      <c r="AB53" s="452"/>
      <c r="AC53" s="452"/>
      <c r="AD53" s="453"/>
    </row>
    <row r="54" spans="1:32" ht="27" customHeight="1">
      <c r="A54" s="419" t="s">
        <v>114</v>
      </c>
      <c r="B54" s="420"/>
      <c r="C54" s="296" t="s">
        <v>184</v>
      </c>
      <c r="D54" s="296" t="s">
        <v>117</v>
      </c>
      <c r="E54" s="296" t="s">
        <v>309</v>
      </c>
      <c r="F54" s="421" t="s">
        <v>120</v>
      </c>
      <c r="G54" s="422"/>
      <c r="H54" s="422"/>
      <c r="I54" s="422"/>
      <c r="J54" s="422"/>
      <c r="K54" s="422"/>
      <c r="L54" s="422"/>
      <c r="M54" s="423"/>
      <c r="N54" s="295" t="s">
        <v>124</v>
      </c>
      <c r="O54" s="300" t="s">
        <v>184</v>
      </c>
      <c r="P54" s="433" t="s">
        <v>148</v>
      </c>
      <c r="Q54" s="434"/>
      <c r="R54" s="420" t="s">
        <v>191</v>
      </c>
      <c r="S54" s="420"/>
      <c r="T54" s="420"/>
      <c r="U54" s="420"/>
      <c r="V54" s="410" t="s">
        <v>120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296" t="s">
        <v>184</v>
      </c>
      <c r="D55" s="296" t="s">
        <v>125</v>
      </c>
      <c r="E55" s="296" t="s">
        <v>317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295" t="s">
        <v>114</v>
      </c>
      <c r="O55" s="300" t="s">
        <v>131</v>
      </c>
      <c r="P55" s="433" t="s">
        <v>122</v>
      </c>
      <c r="Q55" s="434"/>
      <c r="R55" s="420" t="s">
        <v>493</v>
      </c>
      <c r="S55" s="420"/>
      <c r="T55" s="420"/>
      <c r="U55" s="420"/>
      <c r="V55" s="410" t="s">
        <v>120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124</v>
      </c>
      <c r="B56" s="420"/>
      <c r="C56" s="296" t="s">
        <v>139</v>
      </c>
      <c r="D56" s="296" t="s">
        <v>117</v>
      </c>
      <c r="E56" s="296" t="s">
        <v>168</v>
      </c>
      <c r="F56" s="421" t="s">
        <v>179</v>
      </c>
      <c r="G56" s="422"/>
      <c r="H56" s="422"/>
      <c r="I56" s="422"/>
      <c r="J56" s="422"/>
      <c r="K56" s="422"/>
      <c r="L56" s="422"/>
      <c r="M56" s="423"/>
      <c r="N56" s="295" t="s">
        <v>114</v>
      </c>
      <c r="O56" s="300" t="s">
        <v>131</v>
      </c>
      <c r="P56" s="433" t="s">
        <v>117</v>
      </c>
      <c r="Q56" s="434"/>
      <c r="R56" s="420" t="s">
        <v>494</v>
      </c>
      <c r="S56" s="420"/>
      <c r="T56" s="420"/>
      <c r="U56" s="420"/>
      <c r="V56" s="410" t="s">
        <v>120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114</v>
      </c>
      <c r="B57" s="420"/>
      <c r="C57" s="296" t="s">
        <v>131</v>
      </c>
      <c r="D57" s="296" t="s">
        <v>128</v>
      </c>
      <c r="E57" s="296" t="s">
        <v>335</v>
      </c>
      <c r="F57" s="421" t="s">
        <v>120</v>
      </c>
      <c r="G57" s="422"/>
      <c r="H57" s="422"/>
      <c r="I57" s="422"/>
      <c r="J57" s="422"/>
      <c r="K57" s="422"/>
      <c r="L57" s="422"/>
      <c r="M57" s="423"/>
      <c r="N57" s="295" t="s">
        <v>114</v>
      </c>
      <c r="O57" s="300" t="s">
        <v>131</v>
      </c>
      <c r="P57" s="433" t="s">
        <v>128</v>
      </c>
      <c r="Q57" s="434"/>
      <c r="R57" s="433" t="s">
        <v>495</v>
      </c>
      <c r="S57" s="476"/>
      <c r="T57" s="476"/>
      <c r="U57" s="434"/>
      <c r="V57" s="410" t="s">
        <v>120</v>
      </c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124</v>
      </c>
      <c r="B58" s="420"/>
      <c r="C58" s="296" t="s">
        <v>131</v>
      </c>
      <c r="D58" s="296" t="s">
        <v>154</v>
      </c>
      <c r="E58" s="296" t="s">
        <v>481</v>
      </c>
      <c r="F58" s="421" t="s">
        <v>120</v>
      </c>
      <c r="G58" s="422"/>
      <c r="H58" s="422"/>
      <c r="I58" s="422"/>
      <c r="J58" s="422"/>
      <c r="K58" s="422"/>
      <c r="L58" s="422"/>
      <c r="M58" s="423"/>
      <c r="N58" s="295" t="s">
        <v>124</v>
      </c>
      <c r="O58" s="300" t="s">
        <v>500</v>
      </c>
      <c r="P58" s="433" t="s">
        <v>117</v>
      </c>
      <c r="Q58" s="434"/>
      <c r="R58" s="420" t="s">
        <v>496</v>
      </c>
      <c r="S58" s="420"/>
      <c r="T58" s="420"/>
      <c r="U58" s="420"/>
      <c r="V58" s="410" t="s">
        <v>497</v>
      </c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296"/>
      <c r="D59" s="296"/>
      <c r="E59" s="296"/>
      <c r="F59" s="421"/>
      <c r="G59" s="422"/>
      <c r="H59" s="422"/>
      <c r="I59" s="422"/>
      <c r="J59" s="422"/>
      <c r="K59" s="422"/>
      <c r="L59" s="422"/>
      <c r="M59" s="423"/>
      <c r="N59" s="295" t="s">
        <v>114</v>
      </c>
      <c r="O59" s="300" t="s">
        <v>501</v>
      </c>
      <c r="P59" s="433" t="s">
        <v>502</v>
      </c>
      <c r="Q59" s="434"/>
      <c r="R59" s="420" t="s">
        <v>498</v>
      </c>
      <c r="S59" s="420"/>
      <c r="T59" s="420"/>
      <c r="U59" s="420"/>
      <c r="V59" s="410" t="s">
        <v>120</v>
      </c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296"/>
      <c r="D60" s="296"/>
      <c r="E60" s="296"/>
      <c r="F60" s="421"/>
      <c r="G60" s="422"/>
      <c r="H60" s="422"/>
      <c r="I60" s="422"/>
      <c r="J60" s="422"/>
      <c r="K60" s="422"/>
      <c r="L60" s="422"/>
      <c r="M60" s="423"/>
      <c r="N60" s="295" t="s">
        <v>114</v>
      </c>
      <c r="O60" s="300" t="s">
        <v>501</v>
      </c>
      <c r="P60" s="433" t="s">
        <v>503</v>
      </c>
      <c r="Q60" s="434"/>
      <c r="R60" s="420" t="s">
        <v>499</v>
      </c>
      <c r="S60" s="420"/>
      <c r="T60" s="420"/>
      <c r="U60" s="420"/>
      <c r="V60" s="410" t="s">
        <v>120</v>
      </c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/>
      <c r="B61" s="420"/>
      <c r="C61" s="296"/>
      <c r="D61" s="296"/>
      <c r="E61" s="296"/>
      <c r="F61" s="421"/>
      <c r="G61" s="422"/>
      <c r="H61" s="422"/>
      <c r="I61" s="422"/>
      <c r="J61" s="422"/>
      <c r="K61" s="422"/>
      <c r="L61" s="422"/>
      <c r="M61" s="423"/>
      <c r="N61" s="295"/>
      <c r="O61" s="300"/>
      <c r="P61" s="433"/>
      <c r="Q61" s="434"/>
      <c r="R61" s="420"/>
      <c r="S61" s="420"/>
      <c r="T61" s="420"/>
      <c r="U61" s="420"/>
      <c r="V61" s="410"/>
      <c r="W61" s="410"/>
      <c r="X61" s="410"/>
      <c r="Y61" s="410"/>
      <c r="Z61" s="410"/>
      <c r="AA61" s="410"/>
      <c r="AB61" s="410"/>
      <c r="AC61" s="410"/>
      <c r="AD61" s="424"/>
    </row>
    <row r="62" spans="1:32" ht="27" customHeight="1">
      <c r="A62" s="419"/>
      <c r="B62" s="420"/>
      <c r="C62" s="296"/>
      <c r="D62" s="296"/>
      <c r="E62" s="296"/>
      <c r="F62" s="421"/>
      <c r="G62" s="422"/>
      <c r="H62" s="422"/>
      <c r="I62" s="422"/>
      <c r="J62" s="422"/>
      <c r="K62" s="422"/>
      <c r="L62" s="422"/>
      <c r="M62" s="423"/>
      <c r="N62" s="295"/>
      <c r="O62" s="300"/>
      <c r="P62" s="420"/>
      <c r="Q62" s="420"/>
      <c r="R62" s="420"/>
      <c r="S62" s="420"/>
      <c r="T62" s="420"/>
      <c r="U62" s="420"/>
      <c r="V62" s="410"/>
      <c r="W62" s="410"/>
      <c r="X62" s="410"/>
      <c r="Y62" s="410"/>
      <c r="Z62" s="410"/>
      <c r="AA62" s="410"/>
      <c r="AB62" s="410"/>
      <c r="AC62" s="410"/>
      <c r="AD62" s="424"/>
      <c r="AF62" s="87">
        <f>8*3000</f>
        <v>24000</v>
      </c>
    </row>
    <row r="63" spans="1:32" ht="27" customHeight="1" thickBot="1">
      <c r="A63" s="425"/>
      <c r="B63" s="426"/>
      <c r="C63" s="297"/>
      <c r="D63" s="297"/>
      <c r="E63" s="297"/>
      <c r="F63" s="427"/>
      <c r="G63" s="428"/>
      <c r="H63" s="428"/>
      <c r="I63" s="428"/>
      <c r="J63" s="428"/>
      <c r="K63" s="428"/>
      <c r="L63" s="428"/>
      <c r="M63" s="429"/>
      <c r="N63" s="124"/>
      <c r="O63" s="114"/>
      <c r="P63" s="430"/>
      <c r="Q63" s="430"/>
      <c r="R63" s="430"/>
      <c r="S63" s="430"/>
      <c r="T63" s="430"/>
      <c r="U63" s="430"/>
      <c r="V63" s="431"/>
      <c r="W63" s="431"/>
      <c r="X63" s="431"/>
      <c r="Y63" s="431"/>
      <c r="Z63" s="431"/>
      <c r="AA63" s="431"/>
      <c r="AB63" s="431"/>
      <c r="AC63" s="431"/>
      <c r="AD63" s="432"/>
      <c r="AF63" s="87">
        <f>16*3000</f>
        <v>48000</v>
      </c>
    </row>
    <row r="64" spans="1:32" ht="27.75" thickBot="1">
      <c r="A64" s="417" t="s">
        <v>504</v>
      </c>
      <c r="B64" s="417"/>
      <c r="C64" s="417"/>
      <c r="D64" s="417"/>
      <c r="E64" s="417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7">
        <v>24000</v>
      </c>
    </row>
    <row r="65" spans="1:32" ht="29.25" customHeight="1" thickBot="1">
      <c r="A65" s="418" t="s">
        <v>113</v>
      </c>
      <c r="B65" s="415"/>
      <c r="C65" s="298" t="s">
        <v>2</v>
      </c>
      <c r="D65" s="298" t="s">
        <v>37</v>
      </c>
      <c r="E65" s="298" t="s">
        <v>3</v>
      </c>
      <c r="F65" s="415" t="s">
        <v>110</v>
      </c>
      <c r="G65" s="415"/>
      <c r="H65" s="415"/>
      <c r="I65" s="415"/>
      <c r="J65" s="415"/>
      <c r="K65" s="415" t="s">
        <v>39</v>
      </c>
      <c r="L65" s="415"/>
      <c r="M65" s="298" t="s">
        <v>40</v>
      </c>
      <c r="N65" s="415" t="s">
        <v>41</v>
      </c>
      <c r="O65" s="415"/>
      <c r="P65" s="412" t="s">
        <v>42</v>
      </c>
      <c r="Q65" s="414"/>
      <c r="R65" s="412" t="s">
        <v>43</v>
      </c>
      <c r="S65" s="413"/>
      <c r="T65" s="413"/>
      <c r="U65" s="413"/>
      <c r="V65" s="413"/>
      <c r="W65" s="413"/>
      <c r="X65" s="413"/>
      <c r="Y65" s="413"/>
      <c r="Z65" s="413"/>
      <c r="AA65" s="414"/>
      <c r="AB65" s="415" t="s">
        <v>44</v>
      </c>
      <c r="AC65" s="415"/>
      <c r="AD65" s="416"/>
      <c r="AF65" s="87">
        <f>SUM(AF62:AF64)</f>
        <v>96000</v>
      </c>
    </row>
    <row r="66" spans="1:32" ht="25.5" customHeight="1">
      <c r="A66" s="406">
        <v>1</v>
      </c>
      <c r="B66" s="407"/>
      <c r="C66" s="117" t="s">
        <v>509</v>
      </c>
      <c r="D66" s="302"/>
      <c r="E66" s="299" t="s">
        <v>510</v>
      </c>
      <c r="F66" s="408" t="s">
        <v>505</v>
      </c>
      <c r="G66" s="400"/>
      <c r="H66" s="400"/>
      <c r="I66" s="400"/>
      <c r="J66" s="400"/>
      <c r="K66" s="400" t="s">
        <v>512</v>
      </c>
      <c r="L66" s="400"/>
      <c r="M66" s="51" t="s">
        <v>513</v>
      </c>
      <c r="N66" s="411" t="s">
        <v>514</v>
      </c>
      <c r="O66" s="411"/>
      <c r="P66" s="409">
        <v>20</v>
      </c>
      <c r="Q66" s="409"/>
      <c r="R66" s="410" t="s">
        <v>506</v>
      </c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2</v>
      </c>
      <c r="B67" s="407"/>
      <c r="C67" s="117" t="s">
        <v>517</v>
      </c>
      <c r="D67" s="302"/>
      <c r="E67" s="299" t="s">
        <v>510</v>
      </c>
      <c r="F67" s="408" t="s">
        <v>508</v>
      </c>
      <c r="G67" s="400"/>
      <c r="H67" s="400"/>
      <c r="I67" s="400"/>
      <c r="J67" s="400"/>
      <c r="K67" s="400" t="s">
        <v>515</v>
      </c>
      <c r="L67" s="400"/>
      <c r="M67" s="51" t="s">
        <v>516</v>
      </c>
      <c r="N67" s="411" t="s">
        <v>514</v>
      </c>
      <c r="O67" s="411"/>
      <c r="P67" s="409">
        <v>50</v>
      </c>
      <c r="Q67" s="409"/>
      <c r="R67" s="410" t="s">
        <v>506</v>
      </c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3</v>
      </c>
      <c r="B68" s="407"/>
      <c r="C68" s="117" t="s">
        <v>517</v>
      </c>
      <c r="D68" s="302"/>
      <c r="E68" s="299" t="s">
        <v>511</v>
      </c>
      <c r="F68" s="408" t="s">
        <v>507</v>
      </c>
      <c r="G68" s="400"/>
      <c r="H68" s="400"/>
      <c r="I68" s="400"/>
      <c r="J68" s="400"/>
      <c r="K68" s="400" t="s">
        <v>515</v>
      </c>
      <c r="L68" s="400"/>
      <c r="M68" s="51" t="s">
        <v>516</v>
      </c>
      <c r="N68" s="411" t="s">
        <v>514</v>
      </c>
      <c r="O68" s="411"/>
      <c r="P68" s="409">
        <v>50</v>
      </c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4</v>
      </c>
      <c r="B69" s="407"/>
      <c r="C69" s="117" t="s">
        <v>517</v>
      </c>
      <c r="D69" s="302"/>
      <c r="E69" s="299"/>
      <c r="F69" s="408" t="s">
        <v>518</v>
      </c>
      <c r="G69" s="400"/>
      <c r="H69" s="400"/>
      <c r="I69" s="400"/>
      <c r="J69" s="400"/>
      <c r="K69" s="400">
        <v>7301</v>
      </c>
      <c r="L69" s="400"/>
      <c r="M69" s="51" t="s">
        <v>519</v>
      </c>
      <c r="N69" s="411" t="s">
        <v>514</v>
      </c>
      <c r="O69" s="411"/>
      <c r="P69" s="409"/>
      <c r="Q69" s="409"/>
      <c r="R69" s="410" t="s">
        <v>520</v>
      </c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5</v>
      </c>
      <c r="B70" s="407"/>
      <c r="C70" s="117" t="s">
        <v>523</v>
      </c>
      <c r="D70" s="302"/>
      <c r="E70" s="299"/>
      <c r="F70" s="408" t="s">
        <v>521</v>
      </c>
      <c r="G70" s="400"/>
      <c r="H70" s="400"/>
      <c r="I70" s="400"/>
      <c r="J70" s="400"/>
      <c r="K70" s="400" t="s">
        <v>522</v>
      </c>
      <c r="L70" s="400"/>
      <c r="M70" s="51" t="s">
        <v>513</v>
      </c>
      <c r="N70" s="411" t="s">
        <v>501</v>
      </c>
      <c r="O70" s="411"/>
      <c r="P70" s="409">
        <v>100</v>
      </c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6</v>
      </c>
      <c r="B71" s="407"/>
      <c r="C71" s="117"/>
      <c r="D71" s="302"/>
      <c r="E71" s="299"/>
      <c r="F71" s="408"/>
      <c r="G71" s="400"/>
      <c r="H71" s="400"/>
      <c r="I71" s="400"/>
      <c r="J71" s="400"/>
      <c r="K71" s="400"/>
      <c r="L71" s="400"/>
      <c r="M71" s="51"/>
      <c r="N71" s="411"/>
      <c r="O71" s="411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7</v>
      </c>
      <c r="B72" s="407"/>
      <c r="C72" s="117"/>
      <c r="D72" s="302"/>
      <c r="E72" s="299"/>
      <c r="F72" s="408"/>
      <c r="G72" s="400"/>
      <c r="H72" s="400"/>
      <c r="I72" s="400"/>
      <c r="J72" s="400"/>
      <c r="K72" s="400"/>
      <c r="L72" s="400"/>
      <c r="M72" s="51"/>
      <c r="N72" s="411"/>
      <c r="O72" s="411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5.5" customHeight="1">
      <c r="A73" s="406">
        <v>8</v>
      </c>
      <c r="B73" s="407"/>
      <c r="C73" s="117"/>
      <c r="D73" s="302"/>
      <c r="E73" s="299"/>
      <c r="F73" s="408"/>
      <c r="G73" s="400"/>
      <c r="H73" s="400"/>
      <c r="I73" s="400"/>
      <c r="J73" s="400"/>
      <c r="K73" s="400"/>
      <c r="L73" s="400"/>
      <c r="M73" s="51"/>
      <c r="N73" s="400"/>
      <c r="O73" s="400"/>
      <c r="P73" s="409"/>
      <c r="Q73" s="409"/>
      <c r="R73" s="410"/>
      <c r="S73" s="410"/>
      <c r="T73" s="410"/>
      <c r="U73" s="410"/>
      <c r="V73" s="410"/>
      <c r="W73" s="410"/>
      <c r="X73" s="410"/>
      <c r="Y73" s="410"/>
      <c r="Z73" s="410"/>
      <c r="AA73" s="410"/>
      <c r="AB73" s="400"/>
      <c r="AC73" s="400"/>
      <c r="AD73" s="401"/>
      <c r="AF73" s="50"/>
    </row>
    <row r="74" spans="1:32" ht="26.25" customHeight="1" thickBot="1">
      <c r="A74" s="380" t="s">
        <v>524</v>
      </c>
      <c r="B74" s="380"/>
      <c r="C74" s="380"/>
      <c r="D74" s="380"/>
      <c r="E74" s="380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81" t="s">
        <v>113</v>
      </c>
      <c r="B75" s="382"/>
      <c r="C75" s="301" t="s">
        <v>2</v>
      </c>
      <c r="D75" s="301" t="s">
        <v>37</v>
      </c>
      <c r="E75" s="301" t="s">
        <v>3</v>
      </c>
      <c r="F75" s="382" t="s">
        <v>38</v>
      </c>
      <c r="G75" s="382"/>
      <c r="H75" s="382"/>
      <c r="I75" s="382"/>
      <c r="J75" s="382"/>
      <c r="K75" s="402" t="s">
        <v>58</v>
      </c>
      <c r="L75" s="403"/>
      <c r="M75" s="403"/>
      <c r="N75" s="403"/>
      <c r="O75" s="403"/>
      <c r="P75" s="403"/>
      <c r="Q75" s="403"/>
      <c r="R75" s="403"/>
      <c r="S75" s="404"/>
      <c r="T75" s="382" t="s">
        <v>49</v>
      </c>
      <c r="U75" s="382"/>
      <c r="V75" s="402" t="s">
        <v>50</v>
      </c>
      <c r="W75" s="404"/>
      <c r="X75" s="403" t="s">
        <v>51</v>
      </c>
      <c r="Y75" s="403"/>
      <c r="Z75" s="403"/>
      <c r="AA75" s="403"/>
      <c r="AB75" s="403"/>
      <c r="AC75" s="403"/>
      <c r="AD75" s="405"/>
      <c r="AF75" s="50"/>
    </row>
    <row r="76" spans="1:32" ht="33.75" customHeight="1">
      <c r="A76" s="374">
        <v>1</v>
      </c>
      <c r="B76" s="375"/>
      <c r="C76" s="303" t="s">
        <v>114</v>
      </c>
      <c r="D76" s="303"/>
      <c r="E76" s="65" t="s">
        <v>119</v>
      </c>
      <c r="F76" s="389" t="s">
        <v>118</v>
      </c>
      <c r="G76" s="390"/>
      <c r="H76" s="390"/>
      <c r="I76" s="390"/>
      <c r="J76" s="391"/>
      <c r="K76" s="392" t="s">
        <v>137</v>
      </c>
      <c r="L76" s="393"/>
      <c r="M76" s="393"/>
      <c r="N76" s="393"/>
      <c r="O76" s="393"/>
      <c r="P76" s="393"/>
      <c r="Q76" s="393"/>
      <c r="R76" s="393"/>
      <c r="S76" s="394"/>
      <c r="T76" s="395">
        <v>43675</v>
      </c>
      <c r="U76" s="396"/>
      <c r="V76" s="397"/>
      <c r="W76" s="397"/>
      <c r="X76" s="398"/>
      <c r="Y76" s="398"/>
      <c r="Z76" s="398"/>
      <c r="AA76" s="398"/>
      <c r="AB76" s="398"/>
      <c r="AC76" s="398"/>
      <c r="AD76" s="399"/>
      <c r="AF76" s="50"/>
    </row>
    <row r="77" spans="1:32" ht="30" customHeight="1">
      <c r="A77" s="367">
        <f>A76+1</f>
        <v>2</v>
      </c>
      <c r="B77" s="368"/>
      <c r="C77" s="302"/>
      <c r="D77" s="302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ref="A78:A84" si="28">A77+1</f>
        <v>3</v>
      </c>
      <c r="B78" s="368"/>
      <c r="C78" s="302"/>
      <c r="D78" s="302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8"/>
        <v>4</v>
      </c>
      <c r="B79" s="368"/>
      <c r="C79" s="302"/>
      <c r="D79" s="302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8"/>
        <v>5</v>
      </c>
      <c r="B80" s="368"/>
      <c r="C80" s="302"/>
      <c r="D80" s="302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8"/>
        <v>6</v>
      </c>
      <c r="B81" s="368"/>
      <c r="C81" s="302"/>
      <c r="D81" s="302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8"/>
        <v>7</v>
      </c>
      <c r="B82" s="368"/>
      <c r="C82" s="302"/>
      <c r="D82" s="302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28"/>
        <v>8</v>
      </c>
      <c r="B83" s="368"/>
      <c r="C83" s="302"/>
      <c r="D83" s="302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0" customHeight="1">
      <c r="A84" s="367">
        <f t="shared" si="28"/>
        <v>9</v>
      </c>
      <c r="B84" s="368"/>
      <c r="C84" s="302"/>
      <c r="D84" s="302"/>
      <c r="E84" s="32"/>
      <c r="F84" s="368"/>
      <c r="G84" s="368"/>
      <c r="H84" s="368"/>
      <c r="I84" s="368"/>
      <c r="J84" s="368"/>
      <c r="K84" s="383"/>
      <c r="L84" s="384"/>
      <c r="M84" s="384"/>
      <c r="N84" s="384"/>
      <c r="O84" s="384"/>
      <c r="P84" s="384"/>
      <c r="Q84" s="384"/>
      <c r="R84" s="384"/>
      <c r="S84" s="385"/>
      <c r="T84" s="386"/>
      <c r="U84" s="386"/>
      <c r="V84" s="386"/>
      <c r="W84" s="386"/>
      <c r="X84" s="387"/>
      <c r="Y84" s="387"/>
      <c r="Z84" s="387"/>
      <c r="AA84" s="387"/>
      <c r="AB84" s="387"/>
      <c r="AC84" s="387"/>
      <c r="AD84" s="388"/>
      <c r="AF84" s="50"/>
    </row>
    <row r="85" spans="1:32" ht="36" thickBot="1">
      <c r="A85" s="380" t="s">
        <v>525</v>
      </c>
      <c r="B85" s="380"/>
      <c r="C85" s="380"/>
      <c r="D85" s="380"/>
      <c r="E85" s="380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381" t="s">
        <v>113</v>
      </c>
      <c r="B86" s="382"/>
      <c r="C86" s="372" t="s">
        <v>52</v>
      </c>
      <c r="D86" s="372"/>
      <c r="E86" s="372" t="s">
        <v>53</v>
      </c>
      <c r="F86" s="372"/>
      <c r="G86" s="372"/>
      <c r="H86" s="372"/>
      <c r="I86" s="372"/>
      <c r="J86" s="372"/>
      <c r="K86" s="372" t="s">
        <v>54</v>
      </c>
      <c r="L86" s="372"/>
      <c r="M86" s="372"/>
      <c r="N86" s="372"/>
      <c r="O86" s="372"/>
      <c r="P86" s="372"/>
      <c r="Q86" s="372"/>
      <c r="R86" s="372"/>
      <c r="S86" s="372"/>
      <c r="T86" s="372" t="s">
        <v>55</v>
      </c>
      <c r="U86" s="372"/>
      <c r="V86" s="372" t="s">
        <v>56</v>
      </c>
      <c r="W86" s="372"/>
      <c r="X86" s="372"/>
      <c r="Y86" s="372" t="s">
        <v>51</v>
      </c>
      <c r="Z86" s="372"/>
      <c r="AA86" s="372"/>
      <c r="AB86" s="372"/>
      <c r="AC86" s="372"/>
      <c r="AD86" s="373"/>
      <c r="AF86" s="50"/>
    </row>
    <row r="87" spans="1:32" ht="30.75" customHeight="1">
      <c r="A87" s="374">
        <v>1</v>
      </c>
      <c r="B87" s="375"/>
      <c r="C87" s="376">
        <v>11</v>
      </c>
      <c r="D87" s="376"/>
      <c r="E87" s="376" t="s">
        <v>162</v>
      </c>
      <c r="F87" s="376"/>
      <c r="G87" s="376"/>
      <c r="H87" s="376"/>
      <c r="I87" s="376"/>
      <c r="J87" s="376"/>
      <c r="K87" s="376" t="s">
        <v>163</v>
      </c>
      <c r="L87" s="376"/>
      <c r="M87" s="376"/>
      <c r="N87" s="376"/>
      <c r="O87" s="376"/>
      <c r="P87" s="376"/>
      <c r="Q87" s="376"/>
      <c r="R87" s="376"/>
      <c r="S87" s="376"/>
      <c r="T87" s="376" t="s">
        <v>164</v>
      </c>
      <c r="U87" s="376"/>
      <c r="V87" s="377">
        <v>600000</v>
      </c>
      <c r="W87" s="377"/>
      <c r="X87" s="377"/>
      <c r="Y87" s="378"/>
      <c r="Z87" s="378"/>
      <c r="AA87" s="378"/>
      <c r="AB87" s="378"/>
      <c r="AC87" s="378"/>
      <c r="AD87" s="379"/>
      <c r="AF87" s="50"/>
    </row>
    <row r="88" spans="1:32" ht="30.75" customHeight="1">
      <c r="A88" s="367">
        <v>2</v>
      </c>
      <c r="B88" s="368"/>
      <c r="C88" s="369"/>
      <c r="D88" s="369"/>
      <c r="E88" s="369"/>
      <c r="F88" s="369"/>
      <c r="G88" s="369"/>
      <c r="H88" s="369"/>
      <c r="I88" s="369"/>
      <c r="J88" s="369"/>
      <c r="K88" s="369"/>
      <c r="L88" s="369"/>
      <c r="M88" s="369"/>
      <c r="N88" s="369"/>
      <c r="O88" s="369"/>
      <c r="P88" s="369"/>
      <c r="Q88" s="369"/>
      <c r="R88" s="369"/>
      <c r="S88" s="369"/>
      <c r="T88" s="370"/>
      <c r="U88" s="370"/>
      <c r="V88" s="371"/>
      <c r="W88" s="371"/>
      <c r="X88" s="371"/>
      <c r="Y88" s="360"/>
      <c r="Z88" s="360"/>
      <c r="AA88" s="360"/>
      <c r="AB88" s="360"/>
      <c r="AC88" s="360"/>
      <c r="AD88" s="361"/>
      <c r="AF88" s="50"/>
    </row>
    <row r="89" spans="1:32" ht="30.75" customHeight="1" thickBot="1">
      <c r="A89" s="362">
        <v>3</v>
      </c>
      <c r="B89" s="363"/>
      <c r="C89" s="364"/>
      <c r="D89" s="364"/>
      <c r="E89" s="364"/>
      <c r="F89" s="36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64"/>
      <c r="R89" s="364"/>
      <c r="S89" s="364"/>
      <c r="T89" s="364"/>
      <c r="U89" s="364"/>
      <c r="V89" s="364"/>
      <c r="W89" s="364"/>
      <c r="X89" s="364"/>
      <c r="Y89" s="365"/>
      <c r="Z89" s="365"/>
      <c r="AA89" s="365"/>
      <c r="AB89" s="365"/>
      <c r="AC89" s="365"/>
      <c r="AD89" s="366"/>
      <c r="AF89" s="50"/>
    </row>
  </sheetData>
  <mergeCells count="230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9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CFBA-CC23-4281-97D3-5B89DA4212A7}">
  <dimension ref="A1:AF89"/>
  <sheetViews>
    <sheetView zoomScale="72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526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304" t="s">
        <v>17</v>
      </c>
      <c r="L5" s="304" t="s">
        <v>18</v>
      </c>
      <c r="M5" s="304" t="s">
        <v>19</v>
      </c>
      <c r="N5" s="30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3" si="1">L6-N6</f>
        <v>0</v>
      </c>
      <c r="N6" s="15">
        <v>0</v>
      </c>
      <c r="O6" s="58" t="str">
        <f t="shared" ref="O6:O24" si="2">IF(L6=0,"0",N6/L6)</f>
        <v>0</v>
      </c>
      <c r="P6" s="39" t="str">
        <f t="shared" ref="P6:P23" si="3">IF(L6=0,"0",(24-Q6))</f>
        <v>0</v>
      </c>
      <c r="Q6" s="40">
        <f t="shared" ref="Q6:Q23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3" si="5">IF(J6=0,"0",(L6/J6))</f>
        <v>0</v>
      </c>
      <c r="AC6" s="9">
        <f t="shared" ref="AC6:AC23" si="6">IF(P6=0,"0",(P6/24))</f>
        <v>0</v>
      </c>
      <c r="AD6" s="10">
        <f t="shared" ref="AD6:AD20" si="7">AC6*AB6*(1-O6)</f>
        <v>0</v>
      </c>
      <c r="AE6" s="36">
        <f t="shared" ref="AE6:AE23" si="8">$AD$24</f>
        <v>0.51388888888888884</v>
      </c>
      <c r="AF6" s="87">
        <f t="shared" ref="AF6:AF23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0.51388888888888884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50000</v>
      </c>
      <c r="J8" s="14">
        <v>4469</v>
      </c>
      <c r="K8" s="15">
        <f>L8+1722+1917+1867+4092+4437+4478+4488+4622+1866+4341+4472</f>
        <v>42771</v>
      </c>
      <c r="L8" s="15">
        <f>2152+2317</f>
        <v>4469</v>
      </c>
      <c r="M8" s="15">
        <f t="shared" si="1"/>
        <v>4469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0.51388888888888884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2572</v>
      </c>
      <c r="K9" s="15">
        <f>L9+1593+1896+2807+1401+3459+1160+3830+650+1584+2358+4249+584+4731+3038+1149+1391+2345</f>
        <v>40797</v>
      </c>
      <c r="L9" s="15">
        <f>2072+500</f>
        <v>2572</v>
      </c>
      <c r="M9" s="15">
        <f t="shared" si="1"/>
        <v>2572</v>
      </c>
      <c r="N9" s="15">
        <v>0</v>
      </c>
      <c r="O9" s="58">
        <f t="shared" si="2"/>
        <v>0</v>
      </c>
      <c r="P9" s="39">
        <f t="shared" si="3"/>
        <v>15</v>
      </c>
      <c r="Q9" s="40">
        <f t="shared" si="4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0.625</v>
      </c>
      <c r="AD9" s="10">
        <f t="shared" si="7"/>
        <v>0.625</v>
      </c>
      <c r="AE9" s="36">
        <f t="shared" si="8"/>
        <v>0.51388888888888884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11" t="s">
        <v>114</v>
      </c>
      <c r="D10" s="52" t="s">
        <v>122</v>
      </c>
      <c r="E10" s="53" t="s">
        <v>493</v>
      </c>
      <c r="F10" s="30" t="s">
        <v>123</v>
      </c>
      <c r="G10" s="33">
        <v>1</v>
      </c>
      <c r="H10" s="35">
        <v>24</v>
      </c>
      <c r="I10" s="7">
        <v>600</v>
      </c>
      <c r="J10" s="14">
        <v>650</v>
      </c>
      <c r="K10" s="15">
        <f>L10</f>
        <v>650</v>
      </c>
      <c r="L10" s="15">
        <v>650</v>
      </c>
      <c r="M10" s="15">
        <f t="shared" si="1"/>
        <v>650</v>
      </c>
      <c r="N10" s="15">
        <v>0</v>
      </c>
      <c r="O10" s="58">
        <f t="shared" si="2"/>
        <v>0</v>
      </c>
      <c r="P10" s="39">
        <f t="shared" si="3"/>
        <v>4</v>
      </c>
      <c r="Q10" s="40">
        <f t="shared" si="4"/>
        <v>20</v>
      </c>
      <c r="R10" s="7"/>
      <c r="S10" s="6"/>
      <c r="T10" s="16"/>
      <c r="U10" s="16"/>
      <c r="V10" s="17"/>
      <c r="W10" s="5">
        <v>20</v>
      </c>
      <c r="X10" s="16"/>
      <c r="Y10" s="16"/>
      <c r="Z10" s="16"/>
      <c r="AA10" s="18"/>
      <c r="AB10" s="8">
        <f t="shared" si="5"/>
        <v>1</v>
      </c>
      <c r="AC10" s="9">
        <f t="shared" si="6"/>
        <v>0.16666666666666666</v>
      </c>
      <c r="AD10" s="10">
        <f t="shared" si="7"/>
        <v>0.16666666666666666</v>
      </c>
      <c r="AE10" s="36">
        <f t="shared" si="8"/>
        <v>0.51388888888888884</v>
      </c>
      <c r="AF10" s="87">
        <f t="shared" si="9"/>
        <v>5</v>
      </c>
    </row>
    <row r="11" spans="1:32" ht="27" customHeight="1">
      <c r="A11" s="103">
        <v>5</v>
      </c>
      <c r="B11" s="11" t="s">
        <v>57</v>
      </c>
      <c r="C11" s="34" t="s">
        <v>114</v>
      </c>
      <c r="D11" s="52" t="s">
        <v>117</v>
      </c>
      <c r="E11" s="53" t="s">
        <v>494</v>
      </c>
      <c r="F11" s="30" t="s">
        <v>123</v>
      </c>
      <c r="G11" s="33">
        <v>1</v>
      </c>
      <c r="H11" s="35">
        <v>24</v>
      </c>
      <c r="I11" s="7">
        <v>600</v>
      </c>
      <c r="J11" s="5">
        <v>773</v>
      </c>
      <c r="K11" s="15">
        <f>L11</f>
        <v>773</v>
      </c>
      <c r="L11" s="15">
        <v>773</v>
      </c>
      <c r="M11" s="15">
        <f t="shared" si="1"/>
        <v>773</v>
      </c>
      <c r="N11" s="15">
        <v>0</v>
      </c>
      <c r="O11" s="58">
        <f t="shared" si="2"/>
        <v>0</v>
      </c>
      <c r="P11" s="39">
        <f t="shared" si="3"/>
        <v>4</v>
      </c>
      <c r="Q11" s="40">
        <f t="shared" si="4"/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si="5"/>
        <v>1</v>
      </c>
      <c r="AC11" s="9">
        <f t="shared" si="6"/>
        <v>0.16666666666666666</v>
      </c>
      <c r="AD11" s="10">
        <f>AC11*AB11*(1-O11)</f>
        <v>0.16666666666666666</v>
      </c>
      <c r="AE11" s="36">
        <f t="shared" si="8"/>
        <v>0.51388888888888884</v>
      </c>
      <c r="AF11" s="87">
        <f t="shared" si="9"/>
        <v>5</v>
      </c>
    </row>
    <row r="12" spans="1:32" ht="27" customHeight="1">
      <c r="A12" s="103">
        <v>5</v>
      </c>
      <c r="B12" s="11" t="s">
        <v>57</v>
      </c>
      <c r="C12" s="34" t="s">
        <v>114</v>
      </c>
      <c r="D12" s="52" t="s">
        <v>128</v>
      </c>
      <c r="E12" s="53" t="s">
        <v>495</v>
      </c>
      <c r="F12" s="30" t="s">
        <v>129</v>
      </c>
      <c r="G12" s="33">
        <v>1</v>
      </c>
      <c r="H12" s="35">
        <v>24</v>
      </c>
      <c r="I12" s="7">
        <v>600</v>
      </c>
      <c r="J12" s="5">
        <v>773</v>
      </c>
      <c r="K12" s="15">
        <f>L12</f>
        <v>773</v>
      </c>
      <c r="L12" s="15">
        <v>773</v>
      </c>
      <c r="M12" s="15">
        <f t="shared" si="1"/>
        <v>773</v>
      </c>
      <c r="N12" s="15">
        <v>0</v>
      </c>
      <c r="O12" s="58">
        <f t="shared" si="2"/>
        <v>0</v>
      </c>
      <c r="P12" s="39">
        <f t="shared" si="3"/>
        <v>4</v>
      </c>
      <c r="Q12" s="40">
        <f t="shared" si="4"/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si="5"/>
        <v>1</v>
      </c>
      <c r="AC12" s="9">
        <f t="shared" si="6"/>
        <v>0.16666666666666666</v>
      </c>
      <c r="AD12" s="10">
        <f>AC12*AB12*(1-O12)</f>
        <v>0.16666666666666666</v>
      </c>
      <c r="AE12" s="36">
        <f t="shared" si="8"/>
        <v>0.51388888888888884</v>
      </c>
      <c r="AF12" s="87">
        <f t="shared" si="9"/>
        <v>5</v>
      </c>
    </row>
    <row r="13" spans="1:32" ht="27" customHeight="1">
      <c r="A13" s="103">
        <v>6</v>
      </c>
      <c r="B13" s="11" t="s">
        <v>57</v>
      </c>
      <c r="C13" s="11" t="s">
        <v>133</v>
      </c>
      <c r="D13" s="52" t="s">
        <v>117</v>
      </c>
      <c r="E13" s="53" t="s">
        <v>436</v>
      </c>
      <c r="F13" s="30" t="s">
        <v>121</v>
      </c>
      <c r="G13" s="33">
        <v>1</v>
      </c>
      <c r="H13" s="35">
        <v>24</v>
      </c>
      <c r="I13" s="7">
        <v>25000</v>
      </c>
      <c r="J13" s="14">
        <v>5296</v>
      </c>
      <c r="K13" s="15">
        <f>L13+3151+2075+4881+5127</f>
        <v>20530</v>
      </c>
      <c r="L13" s="15">
        <f>2576+2720</f>
        <v>5296</v>
      </c>
      <c r="M13" s="15">
        <f t="shared" si="1"/>
        <v>5296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ref="AD13" si="10">AC13*AB13*(1-O13)</f>
        <v>1</v>
      </c>
      <c r="AE13" s="36">
        <f t="shared" si="8"/>
        <v>0.51388888888888884</v>
      </c>
      <c r="AF13" s="87">
        <f t="shared" si="9"/>
        <v>6</v>
      </c>
    </row>
    <row r="14" spans="1:32" ht="27" customHeight="1">
      <c r="A14" s="103">
        <v>7</v>
      </c>
      <c r="B14" s="11" t="s">
        <v>57</v>
      </c>
      <c r="C14" s="11" t="s">
        <v>124</v>
      </c>
      <c r="D14" s="52" t="s">
        <v>117</v>
      </c>
      <c r="E14" s="53" t="s">
        <v>168</v>
      </c>
      <c r="F14" s="30" t="s">
        <v>121</v>
      </c>
      <c r="G14" s="33">
        <v>1</v>
      </c>
      <c r="H14" s="35">
        <v>20</v>
      </c>
      <c r="I14" s="7">
        <v>50000</v>
      </c>
      <c r="J14" s="14">
        <v>2795</v>
      </c>
      <c r="K14" s="15">
        <f>L14+2445+4101</f>
        <v>9341</v>
      </c>
      <c r="L14" s="15">
        <f>525+2270</f>
        <v>2795</v>
      </c>
      <c r="M14" s="15">
        <f t="shared" si="1"/>
        <v>2795</v>
      </c>
      <c r="N14" s="15">
        <v>0</v>
      </c>
      <c r="O14" s="58">
        <f t="shared" si="2"/>
        <v>0</v>
      </c>
      <c r="P14" s="39">
        <f t="shared" si="3"/>
        <v>16</v>
      </c>
      <c r="Q14" s="40">
        <f t="shared" si="4"/>
        <v>8</v>
      </c>
      <c r="R14" s="7"/>
      <c r="S14" s="6">
        <v>8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0.66666666666666663</v>
      </c>
      <c r="AD14" s="10">
        <f t="shared" si="7"/>
        <v>0.66666666666666663</v>
      </c>
      <c r="AE14" s="36">
        <f t="shared" si="8"/>
        <v>0.51388888888888884</v>
      </c>
      <c r="AF14" s="87">
        <f t="shared" si="9"/>
        <v>7</v>
      </c>
    </row>
    <row r="15" spans="1:32" ht="27" customHeight="1">
      <c r="A15" s="103">
        <v>8</v>
      </c>
      <c r="B15" s="11" t="s">
        <v>57</v>
      </c>
      <c r="C15" s="11" t="s">
        <v>114</v>
      </c>
      <c r="D15" s="52" t="s">
        <v>219</v>
      </c>
      <c r="E15" s="53" t="s">
        <v>220</v>
      </c>
      <c r="F15" s="30" t="s">
        <v>227</v>
      </c>
      <c r="G15" s="33">
        <v>1</v>
      </c>
      <c r="H15" s="35">
        <v>24</v>
      </c>
      <c r="I15" s="7">
        <v>4000</v>
      </c>
      <c r="J15" s="14">
        <v>2864</v>
      </c>
      <c r="K15" s="15">
        <f>L15</f>
        <v>2864</v>
      </c>
      <c r="L15" s="15">
        <v>2864</v>
      </c>
      <c r="M15" s="15">
        <f t="shared" si="1"/>
        <v>2864</v>
      </c>
      <c r="N15" s="15">
        <v>0</v>
      </c>
      <c r="O15" s="58">
        <f t="shared" si="2"/>
        <v>0</v>
      </c>
      <c r="P15" s="39">
        <f t="shared" si="3"/>
        <v>14</v>
      </c>
      <c r="Q15" s="40">
        <f t="shared" si="4"/>
        <v>10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10</v>
      </c>
      <c r="AB15" s="8">
        <f t="shared" si="5"/>
        <v>1</v>
      </c>
      <c r="AC15" s="9">
        <f t="shared" si="6"/>
        <v>0.58333333333333337</v>
      </c>
      <c r="AD15" s="10">
        <f t="shared" si="7"/>
        <v>0.58333333333333337</v>
      </c>
      <c r="AE15" s="36">
        <f t="shared" si="8"/>
        <v>0.51388888888888884</v>
      </c>
      <c r="AF15" s="87">
        <f t="shared" si="9"/>
        <v>8</v>
      </c>
    </row>
    <row r="16" spans="1:32" ht="27" customHeight="1">
      <c r="A16" s="118">
        <v>9</v>
      </c>
      <c r="B16" s="11" t="s">
        <v>57</v>
      </c>
      <c r="C16" s="34" t="s">
        <v>114</v>
      </c>
      <c r="D16" s="52" t="s">
        <v>196</v>
      </c>
      <c r="E16" s="53" t="s">
        <v>189</v>
      </c>
      <c r="F16" s="30" t="s">
        <v>197</v>
      </c>
      <c r="G16" s="12">
        <v>1</v>
      </c>
      <c r="H16" s="13">
        <v>28</v>
      </c>
      <c r="I16" s="7">
        <v>2000</v>
      </c>
      <c r="J16" s="5">
        <v>1045</v>
      </c>
      <c r="K16" s="15">
        <f>L16+620+500+1045</f>
        <v>2165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0.51388888888888884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114</v>
      </c>
      <c r="D17" s="52" t="s">
        <v>125</v>
      </c>
      <c r="E17" s="53" t="s">
        <v>499</v>
      </c>
      <c r="F17" s="12" t="s">
        <v>527</v>
      </c>
      <c r="G17" s="12">
        <v>1</v>
      </c>
      <c r="H17" s="13">
        <v>24</v>
      </c>
      <c r="I17" s="31">
        <v>600</v>
      </c>
      <c r="J17" s="14">
        <v>710</v>
      </c>
      <c r="K17" s="15">
        <f>L17</f>
        <v>710</v>
      </c>
      <c r="L17" s="15">
        <v>710</v>
      </c>
      <c r="M17" s="15">
        <f t="shared" ref="M17" si="11">L17-N17</f>
        <v>710</v>
      </c>
      <c r="N17" s="15">
        <v>0</v>
      </c>
      <c r="O17" s="58">
        <f t="shared" ref="O17" si="12">IF(L17=0,"0",N17/L17)</f>
        <v>0</v>
      </c>
      <c r="P17" s="39">
        <f t="shared" ref="P17" si="13">IF(L17=0,"0",(24-Q17))</f>
        <v>4</v>
      </c>
      <c r="Q17" s="40">
        <f t="shared" ref="Q17" si="14">SUM(R17:AA17)</f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ref="AB17" si="15">IF(J17=0,"0",(L17/J17))</f>
        <v>1</v>
      </c>
      <c r="AC17" s="9">
        <f t="shared" ref="AC17" si="16">IF(P17=0,"0",(P17/24))</f>
        <v>0.16666666666666666</v>
      </c>
      <c r="AD17" s="10">
        <f t="shared" ref="AD17" si="17">AC17*AB17*(1-O17)</f>
        <v>0.16666666666666666</v>
      </c>
      <c r="AE17" s="36">
        <f t="shared" si="8"/>
        <v>0.51388888888888884</v>
      </c>
      <c r="AF17" s="87">
        <f t="shared" ref="AF17" si="18">A17</f>
        <v>10</v>
      </c>
    </row>
    <row r="18" spans="1:32" ht="27" customHeight="1">
      <c r="A18" s="102">
        <v>10</v>
      </c>
      <c r="B18" s="11" t="s">
        <v>57</v>
      </c>
      <c r="C18" s="34" t="s">
        <v>114</v>
      </c>
      <c r="D18" s="52" t="s">
        <v>192</v>
      </c>
      <c r="E18" s="53" t="s">
        <v>498</v>
      </c>
      <c r="F18" s="12" t="s">
        <v>314</v>
      </c>
      <c r="G18" s="12">
        <v>1</v>
      </c>
      <c r="H18" s="13">
        <v>24</v>
      </c>
      <c r="I18" s="31">
        <v>600</v>
      </c>
      <c r="J18" s="14">
        <v>835</v>
      </c>
      <c r="K18" s="15">
        <f>L18</f>
        <v>835</v>
      </c>
      <c r="L18" s="15">
        <v>835</v>
      </c>
      <c r="M18" s="15">
        <f t="shared" si="1"/>
        <v>835</v>
      </c>
      <c r="N18" s="15">
        <v>0</v>
      </c>
      <c r="O18" s="58">
        <f t="shared" si="2"/>
        <v>0</v>
      </c>
      <c r="P18" s="39">
        <f t="shared" si="3"/>
        <v>5</v>
      </c>
      <c r="Q18" s="40">
        <f t="shared" si="4"/>
        <v>19</v>
      </c>
      <c r="R18" s="7"/>
      <c r="S18" s="6"/>
      <c r="T18" s="16"/>
      <c r="U18" s="16"/>
      <c r="V18" s="17"/>
      <c r="W18" s="5">
        <v>19</v>
      </c>
      <c r="X18" s="16"/>
      <c r="Y18" s="16"/>
      <c r="Z18" s="16"/>
      <c r="AA18" s="18"/>
      <c r="AB18" s="8">
        <f t="shared" si="5"/>
        <v>1</v>
      </c>
      <c r="AC18" s="9">
        <f t="shared" si="6"/>
        <v>0.20833333333333334</v>
      </c>
      <c r="AD18" s="10">
        <f t="shared" si="7"/>
        <v>0.20833333333333334</v>
      </c>
      <c r="AE18" s="36">
        <f t="shared" si="8"/>
        <v>0.51388888888888884</v>
      </c>
      <c r="AF18" s="87">
        <f t="shared" si="9"/>
        <v>10</v>
      </c>
    </row>
    <row r="19" spans="1:32" ht="30" customHeight="1">
      <c r="A19" s="102">
        <v>11</v>
      </c>
      <c r="B19" s="11" t="s">
        <v>57</v>
      </c>
      <c r="C19" s="34" t="s">
        <v>124</v>
      </c>
      <c r="D19" s="52" t="s">
        <v>128</v>
      </c>
      <c r="E19" s="53" t="s">
        <v>150</v>
      </c>
      <c r="F19" s="30" t="s">
        <v>129</v>
      </c>
      <c r="G19" s="12">
        <v>1</v>
      </c>
      <c r="H19" s="13">
        <v>28</v>
      </c>
      <c r="I19" s="7">
        <v>9000</v>
      </c>
      <c r="J19" s="14">
        <v>4928</v>
      </c>
      <c r="K19" s="15">
        <f>L19+5027+5503+5566+4928</f>
        <v>21024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>
        <v>24</v>
      </c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0.51388888888888884</v>
      </c>
      <c r="AF19" s="87">
        <f t="shared" si="9"/>
        <v>11</v>
      </c>
    </row>
    <row r="20" spans="1:32" ht="27" customHeight="1">
      <c r="A20" s="102">
        <v>12</v>
      </c>
      <c r="B20" s="11" t="s">
        <v>57</v>
      </c>
      <c r="C20" s="11" t="s">
        <v>114</v>
      </c>
      <c r="D20" s="52" t="s">
        <v>192</v>
      </c>
      <c r="E20" s="53" t="s">
        <v>416</v>
      </c>
      <c r="F20" s="30" t="s">
        <v>314</v>
      </c>
      <c r="G20" s="33">
        <v>1</v>
      </c>
      <c r="H20" s="35">
        <v>20</v>
      </c>
      <c r="I20" s="7">
        <v>4000</v>
      </c>
      <c r="J20" s="14">
        <v>4409</v>
      </c>
      <c r="K20" s="15">
        <f>L20</f>
        <v>4409</v>
      </c>
      <c r="L20" s="15">
        <f>2550+1859</f>
        <v>4409</v>
      </c>
      <c r="M20" s="15">
        <f t="shared" si="1"/>
        <v>4409</v>
      </c>
      <c r="N20" s="15">
        <v>0</v>
      </c>
      <c r="O20" s="58">
        <f t="shared" si="2"/>
        <v>0</v>
      </c>
      <c r="P20" s="39">
        <f t="shared" si="3"/>
        <v>23</v>
      </c>
      <c r="Q20" s="40">
        <f t="shared" si="4"/>
        <v>1</v>
      </c>
      <c r="R20" s="7"/>
      <c r="S20" s="6"/>
      <c r="T20" s="16">
        <v>1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0.95833333333333337</v>
      </c>
      <c r="AD20" s="10">
        <f t="shared" si="7"/>
        <v>0.95833333333333337</v>
      </c>
      <c r="AE20" s="36">
        <f t="shared" si="8"/>
        <v>0.51388888888888884</v>
      </c>
      <c r="AF20" s="87">
        <f t="shared" si="9"/>
        <v>12</v>
      </c>
    </row>
    <row r="21" spans="1:32" ht="27" customHeight="1">
      <c r="A21" s="103">
        <v>13</v>
      </c>
      <c r="B21" s="11" t="s">
        <v>57</v>
      </c>
      <c r="C21" s="34" t="s">
        <v>124</v>
      </c>
      <c r="D21" s="52" t="s">
        <v>456</v>
      </c>
      <c r="E21" s="53" t="s">
        <v>457</v>
      </c>
      <c r="F21" s="30" t="s">
        <v>212</v>
      </c>
      <c r="G21" s="33">
        <v>1</v>
      </c>
      <c r="H21" s="35">
        <v>24</v>
      </c>
      <c r="I21" s="7">
        <v>16000</v>
      </c>
      <c r="J21" s="5">
        <v>4827</v>
      </c>
      <c r="K21" s="15">
        <f>L21+921+3493+4855</f>
        <v>14096</v>
      </c>
      <c r="L21" s="15">
        <f>2518+2309</f>
        <v>4827</v>
      </c>
      <c r="M21" s="15">
        <f t="shared" si="1"/>
        <v>4827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>AC21*AB21*(1-O21)</f>
        <v>1</v>
      </c>
      <c r="AE21" s="36">
        <f t="shared" si="8"/>
        <v>0.51388888888888884</v>
      </c>
      <c r="AF21" s="87">
        <f t="shared" si="9"/>
        <v>13</v>
      </c>
    </row>
    <row r="22" spans="1:32" ht="27" customHeight="1">
      <c r="A22" s="103">
        <v>14</v>
      </c>
      <c r="B22" s="11" t="s">
        <v>57</v>
      </c>
      <c r="C22" s="11" t="s">
        <v>124</v>
      </c>
      <c r="D22" s="52" t="s">
        <v>122</v>
      </c>
      <c r="E22" s="53" t="s">
        <v>424</v>
      </c>
      <c r="F22" s="30" t="s">
        <v>212</v>
      </c>
      <c r="G22" s="33">
        <v>1</v>
      </c>
      <c r="H22" s="35">
        <v>24</v>
      </c>
      <c r="I22" s="7">
        <v>50000</v>
      </c>
      <c r="J22" s="14">
        <v>5564</v>
      </c>
      <c r="K22" s="15">
        <f>L22+2211+5670+2303+5334+5532</f>
        <v>26614</v>
      </c>
      <c r="L22" s="15">
        <f>2875+2689</f>
        <v>5564</v>
      </c>
      <c r="M22" s="15">
        <f t="shared" si="1"/>
        <v>5564</v>
      </c>
      <c r="N22" s="15">
        <v>0</v>
      </c>
      <c r="O22" s="58">
        <f t="shared" si="2"/>
        <v>0</v>
      </c>
      <c r="P22" s="39">
        <f t="shared" si="3"/>
        <v>24</v>
      </c>
      <c r="Q22" s="40">
        <f t="shared" si="4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1</v>
      </c>
      <c r="AD22" s="10">
        <f t="shared" ref="AD22:AD23" si="19">AC22*AB22*(1-O22)</f>
        <v>1</v>
      </c>
      <c r="AE22" s="36">
        <f t="shared" si="8"/>
        <v>0.51388888888888884</v>
      </c>
      <c r="AF22" s="87">
        <f t="shared" si="9"/>
        <v>14</v>
      </c>
    </row>
    <row r="23" spans="1:32" ht="27" customHeight="1" thickBot="1">
      <c r="A23" s="103">
        <v>15</v>
      </c>
      <c r="B23" s="11" t="s">
        <v>57</v>
      </c>
      <c r="C23" s="11" t="s">
        <v>115</v>
      </c>
      <c r="D23" s="52"/>
      <c r="E23" s="53" t="s">
        <v>528</v>
      </c>
      <c r="F23" s="12" t="s">
        <v>116</v>
      </c>
      <c r="G23" s="12">
        <v>4</v>
      </c>
      <c r="H23" s="35">
        <v>20</v>
      </c>
      <c r="I23" s="7">
        <v>300000</v>
      </c>
      <c r="J23" s="14">
        <v>25017</v>
      </c>
      <c r="K23" s="15">
        <f>L23</f>
        <v>0</v>
      </c>
      <c r="L23" s="15"/>
      <c r="M23" s="15">
        <f t="shared" si="1"/>
        <v>0</v>
      </c>
      <c r="N23" s="15">
        <v>0</v>
      </c>
      <c r="O23" s="58" t="str">
        <f t="shared" si="2"/>
        <v>0</v>
      </c>
      <c r="P23" s="39" t="str">
        <f t="shared" si="3"/>
        <v>0</v>
      </c>
      <c r="Q23" s="40">
        <f t="shared" si="4"/>
        <v>24</v>
      </c>
      <c r="R23" s="7"/>
      <c r="S23" s="6">
        <v>24</v>
      </c>
      <c r="T23" s="16"/>
      <c r="U23" s="16"/>
      <c r="V23" s="17"/>
      <c r="W23" s="5"/>
      <c r="X23" s="16"/>
      <c r="Y23" s="16"/>
      <c r="Z23" s="16"/>
      <c r="AA23" s="18"/>
      <c r="AB23" s="8">
        <f t="shared" si="5"/>
        <v>0</v>
      </c>
      <c r="AC23" s="9">
        <f t="shared" si="6"/>
        <v>0</v>
      </c>
      <c r="AD23" s="10">
        <f t="shared" si="19"/>
        <v>0</v>
      </c>
      <c r="AE23" s="36">
        <f t="shared" si="8"/>
        <v>0.51388888888888884</v>
      </c>
      <c r="AF23" s="87">
        <f t="shared" si="9"/>
        <v>15</v>
      </c>
    </row>
    <row r="24" spans="1:32" ht="31.5" customHeight="1" thickBot="1">
      <c r="A24" s="437" t="s">
        <v>34</v>
      </c>
      <c r="B24" s="438"/>
      <c r="C24" s="438"/>
      <c r="D24" s="438"/>
      <c r="E24" s="438"/>
      <c r="F24" s="438"/>
      <c r="G24" s="438"/>
      <c r="H24" s="439"/>
      <c r="I24" s="22">
        <f t="shared" ref="I24:N24" si="20">SUM(I6:I23)</f>
        <v>584000</v>
      </c>
      <c r="J24" s="19">
        <f t="shared" si="20"/>
        <v>69588</v>
      </c>
      <c r="K24" s="20">
        <f t="shared" si="20"/>
        <v>199900</v>
      </c>
      <c r="L24" s="21">
        <f t="shared" si="20"/>
        <v>36537</v>
      </c>
      <c r="M24" s="20">
        <f t="shared" si="20"/>
        <v>36537</v>
      </c>
      <c r="N24" s="21">
        <f t="shared" si="20"/>
        <v>0</v>
      </c>
      <c r="O24" s="41">
        <f t="shared" si="2"/>
        <v>0</v>
      </c>
      <c r="P24" s="42">
        <f t="shared" ref="P24:AA24" si="21">SUM(P6:P23)</f>
        <v>185</v>
      </c>
      <c r="Q24" s="43">
        <f t="shared" si="21"/>
        <v>247</v>
      </c>
      <c r="R24" s="23">
        <f t="shared" si="21"/>
        <v>48</v>
      </c>
      <c r="S24" s="24">
        <f t="shared" si="21"/>
        <v>41</v>
      </c>
      <c r="T24" s="24">
        <f t="shared" si="21"/>
        <v>1</v>
      </c>
      <c r="U24" s="24">
        <f t="shared" si="21"/>
        <v>0</v>
      </c>
      <c r="V24" s="25">
        <f t="shared" si="21"/>
        <v>24</v>
      </c>
      <c r="W24" s="26">
        <f t="shared" si="21"/>
        <v>123</v>
      </c>
      <c r="X24" s="27">
        <f t="shared" si="21"/>
        <v>0</v>
      </c>
      <c r="Y24" s="27">
        <f t="shared" si="21"/>
        <v>0</v>
      </c>
      <c r="Z24" s="27">
        <f t="shared" si="21"/>
        <v>0</v>
      </c>
      <c r="AA24" s="27">
        <f t="shared" si="21"/>
        <v>10</v>
      </c>
      <c r="AB24" s="28">
        <f>SUM(AB6:AB23)/15</f>
        <v>0.8666666666666667</v>
      </c>
      <c r="AC24" s="4">
        <f>SUM(AC6:AC23)/15</f>
        <v>0.51388888888888884</v>
      </c>
      <c r="AD24" s="4">
        <f>SUM(AD6:AD23)/15</f>
        <v>0.51388888888888884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8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40" t="s">
        <v>45</v>
      </c>
      <c r="B51" s="440"/>
      <c r="C51" s="440"/>
      <c r="D51" s="440"/>
      <c r="E51" s="440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41" t="s">
        <v>529</v>
      </c>
      <c r="B52" s="442"/>
      <c r="C52" s="442"/>
      <c r="D52" s="442"/>
      <c r="E52" s="442"/>
      <c r="F52" s="442"/>
      <c r="G52" s="442"/>
      <c r="H52" s="442"/>
      <c r="I52" s="442"/>
      <c r="J52" s="442"/>
      <c r="K52" s="442"/>
      <c r="L52" s="442"/>
      <c r="M52" s="443"/>
      <c r="N52" s="444" t="s">
        <v>535</v>
      </c>
      <c r="O52" s="445"/>
      <c r="P52" s="445"/>
      <c r="Q52" s="445"/>
      <c r="R52" s="445"/>
      <c r="S52" s="445"/>
      <c r="T52" s="445"/>
      <c r="U52" s="445"/>
      <c r="V52" s="445"/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7" t="s">
        <v>2</v>
      </c>
      <c r="B53" s="448"/>
      <c r="C53" s="305" t="s">
        <v>46</v>
      </c>
      <c r="D53" s="305" t="s">
        <v>47</v>
      </c>
      <c r="E53" s="305" t="s">
        <v>108</v>
      </c>
      <c r="F53" s="448" t="s">
        <v>107</v>
      </c>
      <c r="G53" s="448"/>
      <c r="H53" s="448"/>
      <c r="I53" s="448"/>
      <c r="J53" s="448"/>
      <c r="K53" s="448"/>
      <c r="L53" s="448"/>
      <c r="M53" s="449"/>
      <c r="N53" s="67" t="s">
        <v>112</v>
      </c>
      <c r="O53" s="305" t="s">
        <v>46</v>
      </c>
      <c r="P53" s="450" t="s">
        <v>47</v>
      </c>
      <c r="Q53" s="451"/>
      <c r="R53" s="450" t="s">
        <v>38</v>
      </c>
      <c r="S53" s="452"/>
      <c r="T53" s="452"/>
      <c r="U53" s="451"/>
      <c r="V53" s="450" t="s">
        <v>48</v>
      </c>
      <c r="W53" s="452"/>
      <c r="X53" s="452"/>
      <c r="Y53" s="452"/>
      <c r="Z53" s="452"/>
      <c r="AA53" s="452"/>
      <c r="AB53" s="452"/>
      <c r="AC53" s="452"/>
      <c r="AD53" s="453"/>
    </row>
    <row r="54" spans="1:32" ht="27" customHeight="1">
      <c r="A54" s="419" t="s">
        <v>124</v>
      </c>
      <c r="B54" s="420"/>
      <c r="C54" s="307" t="s">
        <v>184</v>
      </c>
      <c r="D54" s="307" t="s">
        <v>148</v>
      </c>
      <c r="E54" s="307" t="s">
        <v>191</v>
      </c>
      <c r="F54" s="421" t="s">
        <v>274</v>
      </c>
      <c r="G54" s="422"/>
      <c r="H54" s="422"/>
      <c r="I54" s="422"/>
      <c r="J54" s="422"/>
      <c r="K54" s="422"/>
      <c r="L54" s="422"/>
      <c r="M54" s="423"/>
      <c r="N54" s="306" t="s">
        <v>124</v>
      </c>
      <c r="O54" s="311" t="s">
        <v>184</v>
      </c>
      <c r="P54" s="433" t="s">
        <v>148</v>
      </c>
      <c r="Q54" s="434"/>
      <c r="R54" s="420" t="s">
        <v>191</v>
      </c>
      <c r="S54" s="420"/>
      <c r="T54" s="420"/>
      <c r="U54" s="420"/>
      <c r="V54" s="410" t="s">
        <v>126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124</v>
      </c>
      <c r="B55" s="420"/>
      <c r="C55" s="307" t="s">
        <v>139</v>
      </c>
      <c r="D55" s="307" t="s">
        <v>117</v>
      </c>
      <c r="E55" s="307" t="s">
        <v>168</v>
      </c>
      <c r="F55" s="421" t="s">
        <v>274</v>
      </c>
      <c r="G55" s="422"/>
      <c r="H55" s="422"/>
      <c r="I55" s="422"/>
      <c r="J55" s="422"/>
      <c r="K55" s="422"/>
      <c r="L55" s="422"/>
      <c r="M55" s="423"/>
      <c r="N55" s="306" t="s">
        <v>124</v>
      </c>
      <c r="O55" s="311" t="s">
        <v>131</v>
      </c>
      <c r="P55" s="433" t="s">
        <v>154</v>
      </c>
      <c r="Q55" s="434"/>
      <c r="R55" s="420" t="s">
        <v>531</v>
      </c>
      <c r="S55" s="420"/>
      <c r="T55" s="420"/>
      <c r="U55" s="420"/>
      <c r="V55" s="410" t="s">
        <v>120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114</v>
      </c>
      <c r="B56" s="420"/>
      <c r="C56" s="307" t="s">
        <v>131</v>
      </c>
      <c r="D56" s="307" t="s">
        <v>117</v>
      </c>
      <c r="E56" s="307" t="s">
        <v>494</v>
      </c>
      <c r="F56" s="421" t="s">
        <v>530</v>
      </c>
      <c r="G56" s="422"/>
      <c r="H56" s="422"/>
      <c r="I56" s="422"/>
      <c r="J56" s="422"/>
      <c r="K56" s="422"/>
      <c r="L56" s="422"/>
      <c r="M56" s="423"/>
      <c r="N56" s="306" t="s">
        <v>124</v>
      </c>
      <c r="O56" s="311" t="s">
        <v>131</v>
      </c>
      <c r="P56" s="433" t="s">
        <v>248</v>
      </c>
      <c r="Q56" s="434"/>
      <c r="R56" s="420" t="s">
        <v>532</v>
      </c>
      <c r="S56" s="420"/>
      <c r="T56" s="420"/>
      <c r="U56" s="420"/>
      <c r="V56" s="410" t="s">
        <v>120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114</v>
      </c>
      <c r="B57" s="420"/>
      <c r="C57" s="307" t="s">
        <v>131</v>
      </c>
      <c r="D57" s="307" t="s">
        <v>128</v>
      </c>
      <c r="E57" s="307" t="s">
        <v>495</v>
      </c>
      <c r="F57" s="421" t="s">
        <v>120</v>
      </c>
      <c r="G57" s="422"/>
      <c r="H57" s="422"/>
      <c r="I57" s="422"/>
      <c r="J57" s="422"/>
      <c r="K57" s="422"/>
      <c r="L57" s="422"/>
      <c r="M57" s="423"/>
      <c r="N57" s="306" t="s">
        <v>133</v>
      </c>
      <c r="O57" s="311" t="s">
        <v>131</v>
      </c>
      <c r="P57" s="433" t="s">
        <v>226</v>
      </c>
      <c r="Q57" s="434"/>
      <c r="R57" s="433" t="s">
        <v>218</v>
      </c>
      <c r="S57" s="476"/>
      <c r="T57" s="476"/>
      <c r="U57" s="434"/>
      <c r="V57" s="410" t="s">
        <v>120</v>
      </c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114</v>
      </c>
      <c r="B58" s="420"/>
      <c r="C58" s="307" t="s">
        <v>131</v>
      </c>
      <c r="D58" s="307" t="s">
        <v>122</v>
      </c>
      <c r="E58" s="307" t="s">
        <v>493</v>
      </c>
      <c r="F58" s="421" t="s">
        <v>120</v>
      </c>
      <c r="G58" s="422"/>
      <c r="H58" s="422"/>
      <c r="I58" s="422"/>
      <c r="J58" s="422"/>
      <c r="K58" s="422"/>
      <c r="L58" s="422"/>
      <c r="M58" s="423"/>
      <c r="N58" s="306" t="s">
        <v>124</v>
      </c>
      <c r="O58" s="311" t="s">
        <v>139</v>
      </c>
      <c r="P58" s="433" t="s">
        <v>117</v>
      </c>
      <c r="Q58" s="434"/>
      <c r="R58" s="420" t="s">
        <v>168</v>
      </c>
      <c r="S58" s="420"/>
      <c r="T58" s="420"/>
      <c r="U58" s="420"/>
      <c r="V58" s="410" t="s">
        <v>126</v>
      </c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 t="s">
        <v>114</v>
      </c>
      <c r="B59" s="420"/>
      <c r="C59" s="307" t="s">
        <v>243</v>
      </c>
      <c r="D59" s="307" t="s">
        <v>125</v>
      </c>
      <c r="E59" s="307" t="s">
        <v>499</v>
      </c>
      <c r="F59" s="421" t="s">
        <v>120</v>
      </c>
      <c r="G59" s="422"/>
      <c r="H59" s="422"/>
      <c r="I59" s="422"/>
      <c r="J59" s="422"/>
      <c r="K59" s="422"/>
      <c r="L59" s="422"/>
      <c r="M59" s="423"/>
      <c r="N59" s="306" t="s">
        <v>124</v>
      </c>
      <c r="O59" s="311" t="s">
        <v>135</v>
      </c>
      <c r="P59" s="433" t="s">
        <v>192</v>
      </c>
      <c r="Q59" s="434"/>
      <c r="R59" s="420" t="s">
        <v>482</v>
      </c>
      <c r="S59" s="420"/>
      <c r="T59" s="420"/>
      <c r="U59" s="420"/>
      <c r="V59" s="410" t="s">
        <v>120</v>
      </c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 t="s">
        <v>114</v>
      </c>
      <c r="B60" s="420"/>
      <c r="C60" s="307" t="s">
        <v>243</v>
      </c>
      <c r="D60" s="307" t="s">
        <v>192</v>
      </c>
      <c r="E60" s="307" t="s">
        <v>498</v>
      </c>
      <c r="F60" s="421" t="s">
        <v>120</v>
      </c>
      <c r="G60" s="422"/>
      <c r="H60" s="422"/>
      <c r="I60" s="422"/>
      <c r="J60" s="422"/>
      <c r="K60" s="422"/>
      <c r="L60" s="422"/>
      <c r="M60" s="423"/>
      <c r="N60" s="306" t="s">
        <v>124</v>
      </c>
      <c r="O60" s="311" t="s">
        <v>533</v>
      </c>
      <c r="P60" s="433" t="s">
        <v>128</v>
      </c>
      <c r="Q60" s="434"/>
      <c r="R60" s="420" t="s">
        <v>534</v>
      </c>
      <c r="S60" s="420"/>
      <c r="T60" s="420"/>
      <c r="U60" s="420"/>
      <c r="V60" s="410" t="s">
        <v>120</v>
      </c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 t="s">
        <v>114</v>
      </c>
      <c r="B61" s="420"/>
      <c r="C61" s="307" t="s">
        <v>135</v>
      </c>
      <c r="D61" s="307" t="s">
        <v>192</v>
      </c>
      <c r="E61" s="307" t="s">
        <v>416</v>
      </c>
      <c r="F61" s="421" t="s">
        <v>120</v>
      </c>
      <c r="G61" s="422"/>
      <c r="H61" s="422"/>
      <c r="I61" s="422"/>
      <c r="J61" s="422"/>
      <c r="K61" s="422"/>
      <c r="L61" s="422"/>
      <c r="M61" s="423"/>
      <c r="N61" s="306"/>
      <c r="O61" s="311"/>
      <c r="P61" s="433"/>
      <c r="Q61" s="434"/>
      <c r="R61" s="420"/>
      <c r="S61" s="420"/>
      <c r="T61" s="420"/>
      <c r="U61" s="420"/>
      <c r="V61" s="410"/>
      <c r="W61" s="410"/>
      <c r="X61" s="410"/>
      <c r="Y61" s="410"/>
      <c r="Z61" s="410"/>
      <c r="AA61" s="410"/>
      <c r="AB61" s="410"/>
      <c r="AC61" s="410"/>
      <c r="AD61" s="424"/>
    </row>
    <row r="62" spans="1:32" ht="27" customHeight="1">
      <c r="A62" s="419" t="s">
        <v>114</v>
      </c>
      <c r="B62" s="420"/>
      <c r="C62" s="307" t="s">
        <v>143</v>
      </c>
      <c r="D62" s="307" t="s">
        <v>219</v>
      </c>
      <c r="E62" s="307" t="s">
        <v>220</v>
      </c>
      <c r="F62" s="421" t="s">
        <v>120</v>
      </c>
      <c r="G62" s="422"/>
      <c r="H62" s="422"/>
      <c r="I62" s="422"/>
      <c r="J62" s="422"/>
      <c r="K62" s="422"/>
      <c r="L62" s="422"/>
      <c r="M62" s="423"/>
      <c r="N62" s="306"/>
      <c r="O62" s="311"/>
      <c r="P62" s="420"/>
      <c r="Q62" s="420"/>
      <c r="R62" s="420"/>
      <c r="S62" s="420"/>
      <c r="T62" s="420"/>
      <c r="U62" s="420"/>
      <c r="V62" s="410"/>
      <c r="W62" s="410"/>
      <c r="X62" s="410"/>
      <c r="Y62" s="410"/>
      <c r="Z62" s="410"/>
      <c r="AA62" s="410"/>
      <c r="AB62" s="410"/>
      <c r="AC62" s="410"/>
      <c r="AD62" s="424"/>
      <c r="AF62" s="87">
        <f>8*3000</f>
        <v>24000</v>
      </c>
    </row>
    <row r="63" spans="1:32" ht="27" customHeight="1" thickBot="1">
      <c r="A63" s="425"/>
      <c r="B63" s="426"/>
      <c r="C63" s="308"/>
      <c r="D63" s="308"/>
      <c r="E63" s="308"/>
      <c r="F63" s="427"/>
      <c r="G63" s="428"/>
      <c r="H63" s="428"/>
      <c r="I63" s="428"/>
      <c r="J63" s="428"/>
      <c r="K63" s="428"/>
      <c r="L63" s="428"/>
      <c r="M63" s="429"/>
      <c r="N63" s="124"/>
      <c r="O63" s="114"/>
      <c r="P63" s="430"/>
      <c r="Q63" s="430"/>
      <c r="R63" s="430"/>
      <c r="S63" s="430"/>
      <c r="T63" s="430"/>
      <c r="U63" s="430"/>
      <c r="V63" s="431"/>
      <c r="W63" s="431"/>
      <c r="X63" s="431"/>
      <c r="Y63" s="431"/>
      <c r="Z63" s="431"/>
      <c r="AA63" s="431"/>
      <c r="AB63" s="431"/>
      <c r="AC63" s="431"/>
      <c r="AD63" s="432"/>
      <c r="AF63" s="87">
        <f>16*3000</f>
        <v>48000</v>
      </c>
    </row>
    <row r="64" spans="1:32" ht="27.75" thickBot="1">
      <c r="A64" s="417" t="s">
        <v>536</v>
      </c>
      <c r="B64" s="417"/>
      <c r="C64" s="417"/>
      <c r="D64" s="417"/>
      <c r="E64" s="417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7">
        <v>24000</v>
      </c>
    </row>
    <row r="65" spans="1:32" ht="29.25" customHeight="1" thickBot="1">
      <c r="A65" s="418" t="s">
        <v>113</v>
      </c>
      <c r="B65" s="415"/>
      <c r="C65" s="309" t="s">
        <v>2</v>
      </c>
      <c r="D65" s="309" t="s">
        <v>37</v>
      </c>
      <c r="E65" s="309" t="s">
        <v>3</v>
      </c>
      <c r="F65" s="415" t="s">
        <v>110</v>
      </c>
      <c r="G65" s="415"/>
      <c r="H65" s="415"/>
      <c r="I65" s="415"/>
      <c r="J65" s="415"/>
      <c r="K65" s="415" t="s">
        <v>39</v>
      </c>
      <c r="L65" s="415"/>
      <c r="M65" s="309" t="s">
        <v>40</v>
      </c>
      <c r="N65" s="415" t="s">
        <v>41</v>
      </c>
      <c r="O65" s="415"/>
      <c r="P65" s="412" t="s">
        <v>42</v>
      </c>
      <c r="Q65" s="414"/>
      <c r="R65" s="412" t="s">
        <v>43</v>
      </c>
      <c r="S65" s="413"/>
      <c r="T65" s="413"/>
      <c r="U65" s="413"/>
      <c r="V65" s="413"/>
      <c r="W65" s="413"/>
      <c r="X65" s="413"/>
      <c r="Y65" s="413"/>
      <c r="Z65" s="413"/>
      <c r="AA65" s="414"/>
      <c r="AB65" s="415" t="s">
        <v>44</v>
      </c>
      <c r="AC65" s="415"/>
      <c r="AD65" s="416"/>
      <c r="AF65" s="87">
        <f>SUM(AF62:AF64)</f>
        <v>96000</v>
      </c>
    </row>
    <row r="66" spans="1:32" ht="25.5" customHeight="1">
      <c r="A66" s="406">
        <v>1</v>
      </c>
      <c r="B66" s="407"/>
      <c r="C66" s="117" t="s">
        <v>133</v>
      </c>
      <c r="D66" s="313"/>
      <c r="E66" s="310" t="s">
        <v>268</v>
      </c>
      <c r="F66" s="408" t="s">
        <v>518</v>
      </c>
      <c r="G66" s="400"/>
      <c r="H66" s="400"/>
      <c r="I66" s="400"/>
      <c r="J66" s="400"/>
      <c r="K66" s="400" t="s">
        <v>123</v>
      </c>
      <c r="L66" s="400"/>
      <c r="M66" s="51" t="s">
        <v>327</v>
      </c>
      <c r="N66" s="411" t="s">
        <v>143</v>
      </c>
      <c r="O66" s="411"/>
      <c r="P66" s="409">
        <v>150</v>
      </c>
      <c r="Q66" s="409"/>
      <c r="R66" s="410" t="s">
        <v>537</v>
      </c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2</v>
      </c>
      <c r="B67" s="407"/>
      <c r="C67" s="117" t="s">
        <v>133</v>
      </c>
      <c r="D67" s="313"/>
      <c r="E67" s="310" t="s">
        <v>538</v>
      </c>
      <c r="F67" s="408" t="s">
        <v>539</v>
      </c>
      <c r="G67" s="400"/>
      <c r="H67" s="400"/>
      <c r="I67" s="400"/>
      <c r="J67" s="400"/>
      <c r="K67" s="400" t="s">
        <v>123</v>
      </c>
      <c r="L67" s="400"/>
      <c r="M67" s="51" t="s">
        <v>327</v>
      </c>
      <c r="N67" s="411" t="s">
        <v>143</v>
      </c>
      <c r="O67" s="411"/>
      <c r="P67" s="409">
        <v>150</v>
      </c>
      <c r="Q67" s="409"/>
      <c r="R67" s="410" t="s">
        <v>537</v>
      </c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3</v>
      </c>
      <c r="B68" s="407"/>
      <c r="C68" s="117" t="s">
        <v>133</v>
      </c>
      <c r="D68" s="313"/>
      <c r="E68" s="310" t="s">
        <v>149</v>
      </c>
      <c r="F68" s="408"/>
      <c r="G68" s="400"/>
      <c r="H68" s="400"/>
      <c r="I68" s="400"/>
      <c r="J68" s="400"/>
      <c r="K68" s="400" t="s">
        <v>123</v>
      </c>
      <c r="L68" s="400"/>
      <c r="M68" s="51" t="s">
        <v>327</v>
      </c>
      <c r="N68" s="411" t="s">
        <v>143</v>
      </c>
      <c r="O68" s="411"/>
      <c r="P68" s="409">
        <v>100</v>
      </c>
      <c r="Q68" s="409"/>
      <c r="R68" s="410" t="s">
        <v>537</v>
      </c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4</v>
      </c>
      <c r="B69" s="407"/>
      <c r="C69" s="117" t="s">
        <v>124</v>
      </c>
      <c r="D69" s="313"/>
      <c r="E69" s="310" t="s">
        <v>117</v>
      </c>
      <c r="F69" s="408" t="s">
        <v>540</v>
      </c>
      <c r="G69" s="400"/>
      <c r="H69" s="400"/>
      <c r="I69" s="400"/>
      <c r="J69" s="400"/>
      <c r="K69" s="400">
        <v>7301</v>
      </c>
      <c r="L69" s="400"/>
      <c r="M69" s="51" t="s">
        <v>327</v>
      </c>
      <c r="N69" s="411" t="s">
        <v>188</v>
      </c>
      <c r="O69" s="411"/>
      <c r="P69" s="409">
        <v>30</v>
      </c>
      <c r="Q69" s="409"/>
      <c r="R69" s="410" t="s">
        <v>541</v>
      </c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5</v>
      </c>
      <c r="B70" s="407"/>
      <c r="C70" s="117"/>
      <c r="D70" s="313"/>
      <c r="E70" s="310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6</v>
      </c>
      <c r="B71" s="407"/>
      <c r="C71" s="117"/>
      <c r="D71" s="313"/>
      <c r="E71" s="310"/>
      <c r="F71" s="408"/>
      <c r="G71" s="400"/>
      <c r="H71" s="400"/>
      <c r="I71" s="400"/>
      <c r="J71" s="400"/>
      <c r="K71" s="400"/>
      <c r="L71" s="400"/>
      <c r="M71" s="51"/>
      <c r="N71" s="411"/>
      <c r="O71" s="411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7</v>
      </c>
      <c r="B72" s="407"/>
      <c r="C72" s="117"/>
      <c r="D72" s="313"/>
      <c r="E72" s="310"/>
      <c r="F72" s="408"/>
      <c r="G72" s="400"/>
      <c r="H72" s="400"/>
      <c r="I72" s="400"/>
      <c r="J72" s="400"/>
      <c r="K72" s="400"/>
      <c r="L72" s="400"/>
      <c r="M72" s="51"/>
      <c r="N72" s="411"/>
      <c r="O72" s="411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5.5" customHeight="1">
      <c r="A73" s="406">
        <v>8</v>
      </c>
      <c r="B73" s="407"/>
      <c r="C73" s="117"/>
      <c r="D73" s="313"/>
      <c r="E73" s="310"/>
      <c r="F73" s="408"/>
      <c r="G73" s="400"/>
      <c r="H73" s="400"/>
      <c r="I73" s="400"/>
      <c r="J73" s="400"/>
      <c r="K73" s="400"/>
      <c r="L73" s="400"/>
      <c r="M73" s="51"/>
      <c r="N73" s="400"/>
      <c r="O73" s="400"/>
      <c r="P73" s="409"/>
      <c r="Q73" s="409"/>
      <c r="R73" s="410"/>
      <c r="S73" s="410"/>
      <c r="T73" s="410"/>
      <c r="U73" s="410"/>
      <c r="V73" s="410"/>
      <c r="W73" s="410"/>
      <c r="X73" s="410"/>
      <c r="Y73" s="410"/>
      <c r="Z73" s="410"/>
      <c r="AA73" s="410"/>
      <c r="AB73" s="400"/>
      <c r="AC73" s="400"/>
      <c r="AD73" s="401"/>
      <c r="AF73" s="50"/>
    </row>
    <row r="74" spans="1:32" ht="26.25" customHeight="1" thickBot="1">
      <c r="A74" s="380" t="s">
        <v>542</v>
      </c>
      <c r="B74" s="380"/>
      <c r="C74" s="380"/>
      <c r="D74" s="380"/>
      <c r="E74" s="380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81" t="s">
        <v>113</v>
      </c>
      <c r="B75" s="382"/>
      <c r="C75" s="312" t="s">
        <v>2</v>
      </c>
      <c r="D75" s="312" t="s">
        <v>37</v>
      </c>
      <c r="E75" s="312" t="s">
        <v>3</v>
      </c>
      <c r="F75" s="382" t="s">
        <v>38</v>
      </c>
      <c r="G75" s="382"/>
      <c r="H75" s="382"/>
      <c r="I75" s="382"/>
      <c r="J75" s="382"/>
      <c r="K75" s="402" t="s">
        <v>58</v>
      </c>
      <c r="L75" s="403"/>
      <c r="M75" s="403"/>
      <c r="N75" s="403"/>
      <c r="O75" s="403"/>
      <c r="P75" s="403"/>
      <c r="Q75" s="403"/>
      <c r="R75" s="403"/>
      <c r="S75" s="404"/>
      <c r="T75" s="382" t="s">
        <v>49</v>
      </c>
      <c r="U75" s="382"/>
      <c r="V75" s="402" t="s">
        <v>50</v>
      </c>
      <c r="W75" s="404"/>
      <c r="X75" s="403" t="s">
        <v>51</v>
      </c>
      <c r="Y75" s="403"/>
      <c r="Z75" s="403"/>
      <c r="AA75" s="403"/>
      <c r="AB75" s="403"/>
      <c r="AC75" s="403"/>
      <c r="AD75" s="405"/>
      <c r="AF75" s="50"/>
    </row>
    <row r="76" spans="1:32" ht="33.75" customHeight="1">
      <c r="A76" s="374">
        <v>1</v>
      </c>
      <c r="B76" s="375"/>
      <c r="C76" s="314" t="s">
        <v>114</v>
      </c>
      <c r="D76" s="314"/>
      <c r="E76" s="65" t="s">
        <v>119</v>
      </c>
      <c r="F76" s="389" t="s">
        <v>118</v>
      </c>
      <c r="G76" s="390"/>
      <c r="H76" s="390"/>
      <c r="I76" s="390"/>
      <c r="J76" s="391"/>
      <c r="K76" s="392" t="s">
        <v>137</v>
      </c>
      <c r="L76" s="393"/>
      <c r="M76" s="393"/>
      <c r="N76" s="393"/>
      <c r="O76" s="393"/>
      <c r="P76" s="393"/>
      <c r="Q76" s="393"/>
      <c r="R76" s="393"/>
      <c r="S76" s="394"/>
      <c r="T76" s="395">
        <v>43675</v>
      </c>
      <c r="U76" s="396"/>
      <c r="V76" s="397"/>
      <c r="W76" s="397"/>
      <c r="X76" s="398"/>
      <c r="Y76" s="398"/>
      <c r="Z76" s="398"/>
      <c r="AA76" s="398"/>
      <c r="AB76" s="398"/>
      <c r="AC76" s="398"/>
      <c r="AD76" s="399"/>
      <c r="AF76" s="50"/>
    </row>
    <row r="77" spans="1:32" ht="30" customHeight="1">
      <c r="A77" s="367">
        <f>A76+1</f>
        <v>2</v>
      </c>
      <c r="B77" s="368"/>
      <c r="C77" s="313"/>
      <c r="D77" s="313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ref="A78:A84" si="22">A77+1</f>
        <v>3</v>
      </c>
      <c r="B78" s="368"/>
      <c r="C78" s="313"/>
      <c r="D78" s="313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2"/>
        <v>4</v>
      </c>
      <c r="B79" s="368"/>
      <c r="C79" s="313"/>
      <c r="D79" s="313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2"/>
        <v>5</v>
      </c>
      <c r="B80" s="368"/>
      <c r="C80" s="313"/>
      <c r="D80" s="313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2"/>
        <v>6</v>
      </c>
      <c r="B81" s="368"/>
      <c r="C81" s="313"/>
      <c r="D81" s="313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2"/>
        <v>7</v>
      </c>
      <c r="B82" s="368"/>
      <c r="C82" s="313"/>
      <c r="D82" s="313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22"/>
        <v>8</v>
      </c>
      <c r="B83" s="368"/>
      <c r="C83" s="313"/>
      <c r="D83" s="313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0" customHeight="1">
      <c r="A84" s="367">
        <f t="shared" si="22"/>
        <v>9</v>
      </c>
      <c r="B84" s="368"/>
      <c r="C84" s="313"/>
      <c r="D84" s="313"/>
      <c r="E84" s="32"/>
      <c r="F84" s="368"/>
      <c r="G84" s="368"/>
      <c r="H84" s="368"/>
      <c r="I84" s="368"/>
      <c r="J84" s="368"/>
      <c r="K84" s="383"/>
      <c r="L84" s="384"/>
      <c r="M84" s="384"/>
      <c r="N84" s="384"/>
      <c r="O84" s="384"/>
      <c r="P84" s="384"/>
      <c r="Q84" s="384"/>
      <c r="R84" s="384"/>
      <c r="S84" s="385"/>
      <c r="T84" s="386"/>
      <c r="U84" s="386"/>
      <c r="V84" s="386"/>
      <c r="W84" s="386"/>
      <c r="X84" s="387"/>
      <c r="Y84" s="387"/>
      <c r="Z84" s="387"/>
      <c r="AA84" s="387"/>
      <c r="AB84" s="387"/>
      <c r="AC84" s="387"/>
      <c r="AD84" s="388"/>
      <c r="AF84" s="50"/>
    </row>
    <row r="85" spans="1:32" ht="36" thickBot="1">
      <c r="A85" s="380" t="s">
        <v>543</v>
      </c>
      <c r="B85" s="380"/>
      <c r="C85" s="380"/>
      <c r="D85" s="380"/>
      <c r="E85" s="380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381" t="s">
        <v>113</v>
      </c>
      <c r="B86" s="382"/>
      <c r="C86" s="372" t="s">
        <v>52</v>
      </c>
      <c r="D86" s="372"/>
      <c r="E86" s="372" t="s">
        <v>53</v>
      </c>
      <c r="F86" s="372"/>
      <c r="G86" s="372"/>
      <c r="H86" s="372"/>
      <c r="I86" s="372"/>
      <c r="J86" s="372"/>
      <c r="K86" s="372" t="s">
        <v>54</v>
      </c>
      <c r="L86" s="372"/>
      <c r="M86" s="372"/>
      <c r="N86" s="372"/>
      <c r="O86" s="372"/>
      <c r="P86" s="372"/>
      <c r="Q86" s="372"/>
      <c r="R86" s="372"/>
      <c r="S86" s="372"/>
      <c r="T86" s="372" t="s">
        <v>55</v>
      </c>
      <c r="U86" s="372"/>
      <c r="V86" s="372" t="s">
        <v>56</v>
      </c>
      <c r="W86" s="372"/>
      <c r="X86" s="372"/>
      <c r="Y86" s="372" t="s">
        <v>51</v>
      </c>
      <c r="Z86" s="372"/>
      <c r="AA86" s="372"/>
      <c r="AB86" s="372"/>
      <c r="AC86" s="372"/>
      <c r="AD86" s="373"/>
      <c r="AF86" s="50"/>
    </row>
    <row r="87" spans="1:32" ht="30.75" customHeight="1">
      <c r="A87" s="374">
        <v>1</v>
      </c>
      <c r="B87" s="375"/>
      <c r="C87" s="376">
        <v>11</v>
      </c>
      <c r="D87" s="376"/>
      <c r="E87" s="376" t="s">
        <v>162</v>
      </c>
      <c r="F87" s="376"/>
      <c r="G87" s="376"/>
      <c r="H87" s="376"/>
      <c r="I87" s="376"/>
      <c r="J87" s="376"/>
      <c r="K87" s="376" t="s">
        <v>163</v>
      </c>
      <c r="L87" s="376"/>
      <c r="M87" s="376"/>
      <c r="N87" s="376"/>
      <c r="O87" s="376"/>
      <c r="P87" s="376"/>
      <c r="Q87" s="376"/>
      <c r="R87" s="376"/>
      <c r="S87" s="376"/>
      <c r="T87" s="376" t="s">
        <v>164</v>
      </c>
      <c r="U87" s="376"/>
      <c r="V87" s="377">
        <v>600000</v>
      </c>
      <c r="W87" s="377"/>
      <c r="X87" s="377"/>
      <c r="Y87" s="378"/>
      <c r="Z87" s="378"/>
      <c r="AA87" s="378"/>
      <c r="AB87" s="378"/>
      <c r="AC87" s="378"/>
      <c r="AD87" s="379"/>
      <c r="AF87" s="50"/>
    </row>
    <row r="88" spans="1:32" ht="30.75" customHeight="1">
      <c r="A88" s="367">
        <v>2</v>
      </c>
      <c r="B88" s="368"/>
      <c r="C88" s="369"/>
      <c r="D88" s="369"/>
      <c r="E88" s="369"/>
      <c r="F88" s="369"/>
      <c r="G88" s="369"/>
      <c r="H88" s="369"/>
      <c r="I88" s="369"/>
      <c r="J88" s="369"/>
      <c r="K88" s="369"/>
      <c r="L88" s="369"/>
      <c r="M88" s="369"/>
      <c r="N88" s="369"/>
      <c r="O88" s="369"/>
      <c r="P88" s="369"/>
      <c r="Q88" s="369"/>
      <c r="R88" s="369"/>
      <c r="S88" s="369"/>
      <c r="T88" s="370"/>
      <c r="U88" s="370"/>
      <c r="V88" s="371"/>
      <c r="W88" s="371"/>
      <c r="X88" s="371"/>
      <c r="Y88" s="360"/>
      <c r="Z88" s="360"/>
      <c r="AA88" s="360"/>
      <c r="AB88" s="360"/>
      <c r="AC88" s="360"/>
      <c r="AD88" s="361"/>
      <c r="AF88" s="50"/>
    </row>
    <row r="89" spans="1:32" ht="30.75" customHeight="1" thickBot="1">
      <c r="A89" s="362">
        <v>3</v>
      </c>
      <c r="B89" s="363"/>
      <c r="C89" s="364"/>
      <c r="D89" s="364"/>
      <c r="E89" s="364"/>
      <c r="F89" s="36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64"/>
      <c r="R89" s="364"/>
      <c r="S89" s="364"/>
      <c r="T89" s="364"/>
      <c r="U89" s="364"/>
      <c r="V89" s="364"/>
      <c r="W89" s="364"/>
      <c r="X89" s="364"/>
      <c r="Y89" s="365"/>
      <c r="Z89" s="365"/>
      <c r="AA89" s="365"/>
      <c r="AB89" s="365"/>
      <c r="AC89" s="365"/>
      <c r="AD89" s="366"/>
      <c r="AF89" s="50"/>
    </row>
  </sheetData>
  <mergeCells count="230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9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E733-CB4F-4FCD-982E-92AC0E8340CC}">
  <dimension ref="A1:AF88"/>
  <sheetViews>
    <sheetView zoomScale="72" zoomScaleNormal="72" zoomScaleSheetLayoutView="70" workbookViewId="0">
      <selection activeCell="K78" sqref="K78:S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544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325" t="s">
        <v>17</v>
      </c>
      <c r="L5" s="325" t="s">
        <v>18</v>
      </c>
      <c r="M5" s="325" t="s">
        <v>19</v>
      </c>
      <c r="N5" s="32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19" si="7">AC6*AB6*(1-O6)</f>
        <v>0</v>
      </c>
      <c r="AE6" s="36">
        <f t="shared" ref="AE6:AE22" si="8">$AD$23</f>
        <v>0.51944444444444449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0.51944444444444449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128</v>
      </c>
      <c r="E8" s="53" t="s">
        <v>322</v>
      </c>
      <c r="F8" s="30" t="s">
        <v>127</v>
      </c>
      <c r="G8" s="33">
        <v>1</v>
      </c>
      <c r="H8" s="35">
        <v>24</v>
      </c>
      <c r="I8" s="7">
        <v>50000</v>
      </c>
      <c r="J8" s="14">
        <v>4044</v>
      </c>
      <c r="K8" s="15">
        <f>L8+1722+1917+1867+4092+4437+4478+4488+4622+1866+4341+4472+4469</f>
        <v>46815</v>
      </c>
      <c r="L8" s="15">
        <f>1894+2150</f>
        <v>4044</v>
      </c>
      <c r="M8" s="15">
        <f t="shared" si="1"/>
        <v>4044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0.51944444444444449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1276</v>
      </c>
      <c r="K9" s="15">
        <f>L9+1593+1896+2807+1401+3459+1160+3830+650+1584+2358+4249+584+4731+3038+1149+1391+2345+2572</f>
        <v>42073</v>
      </c>
      <c r="L9" s="15">
        <f>456+820</f>
        <v>1276</v>
      </c>
      <c r="M9" s="15">
        <f t="shared" si="1"/>
        <v>1276</v>
      </c>
      <c r="N9" s="15">
        <v>0</v>
      </c>
      <c r="O9" s="58">
        <f t="shared" si="2"/>
        <v>0</v>
      </c>
      <c r="P9" s="39">
        <f t="shared" si="3"/>
        <v>7</v>
      </c>
      <c r="Q9" s="40">
        <f t="shared" si="4"/>
        <v>17</v>
      </c>
      <c r="R9" s="7"/>
      <c r="S9" s="6">
        <v>17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0.29166666666666669</v>
      </c>
      <c r="AD9" s="10">
        <f t="shared" si="7"/>
        <v>0.29166666666666669</v>
      </c>
      <c r="AE9" s="36">
        <f t="shared" si="8"/>
        <v>0.51944444444444449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11" t="s">
        <v>124</v>
      </c>
      <c r="D10" s="52" t="s">
        <v>248</v>
      </c>
      <c r="E10" s="53" t="s">
        <v>532</v>
      </c>
      <c r="F10" s="30" t="s">
        <v>127</v>
      </c>
      <c r="G10" s="33">
        <v>1</v>
      </c>
      <c r="H10" s="35">
        <v>24</v>
      </c>
      <c r="I10" s="7">
        <v>500</v>
      </c>
      <c r="J10" s="14">
        <v>113</v>
      </c>
      <c r="K10" s="15">
        <f>L10</f>
        <v>113</v>
      </c>
      <c r="L10" s="15">
        <v>113</v>
      </c>
      <c r="M10" s="15">
        <f t="shared" si="1"/>
        <v>113</v>
      </c>
      <c r="N10" s="15">
        <v>0</v>
      </c>
      <c r="O10" s="58">
        <f t="shared" si="2"/>
        <v>0</v>
      </c>
      <c r="P10" s="39">
        <f t="shared" si="3"/>
        <v>2</v>
      </c>
      <c r="Q10" s="40">
        <f t="shared" si="4"/>
        <v>22</v>
      </c>
      <c r="R10" s="7"/>
      <c r="S10" s="6"/>
      <c r="T10" s="16"/>
      <c r="U10" s="16"/>
      <c r="V10" s="17"/>
      <c r="W10" s="5">
        <v>22</v>
      </c>
      <c r="X10" s="16"/>
      <c r="Y10" s="16"/>
      <c r="Z10" s="16"/>
      <c r="AA10" s="18"/>
      <c r="AB10" s="8">
        <f t="shared" si="5"/>
        <v>1</v>
      </c>
      <c r="AC10" s="9">
        <f t="shared" si="6"/>
        <v>8.3333333333333329E-2</v>
      </c>
      <c r="AD10" s="10">
        <f t="shared" si="7"/>
        <v>8.3333333333333329E-2</v>
      </c>
      <c r="AE10" s="36">
        <f t="shared" si="8"/>
        <v>0.51944444444444449</v>
      </c>
      <c r="AF10" s="87">
        <f t="shared" si="9"/>
        <v>5</v>
      </c>
    </row>
    <row r="11" spans="1:32" ht="27" customHeight="1">
      <c r="A11" s="103">
        <v>5</v>
      </c>
      <c r="B11" s="11" t="s">
        <v>57</v>
      </c>
      <c r="C11" s="34" t="s">
        <v>124</v>
      </c>
      <c r="D11" s="52" t="s">
        <v>154</v>
      </c>
      <c r="E11" s="53" t="s">
        <v>531</v>
      </c>
      <c r="F11" s="30" t="s">
        <v>127</v>
      </c>
      <c r="G11" s="33">
        <v>2</v>
      </c>
      <c r="H11" s="35">
        <v>24</v>
      </c>
      <c r="I11" s="7">
        <v>2000</v>
      </c>
      <c r="J11" s="5">
        <v>2648</v>
      </c>
      <c r="K11" s="15">
        <f>L11</f>
        <v>2648</v>
      </c>
      <c r="L11" s="15">
        <f>1324*2</f>
        <v>2648</v>
      </c>
      <c r="M11" s="15">
        <f t="shared" si="1"/>
        <v>2648</v>
      </c>
      <c r="N11" s="15">
        <v>0</v>
      </c>
      <c r="O11" s="58">
        <f t="shared" si="2"/>
        <v>0</v>
      </c>
      <c r="P11" s="39">
        <f t="shared" si="3"/>
        <v>7</v>
      </c>
      <c r="Q11" s="40">
        <f t="shared" si="4"/>
        <v>17</v>
      </c>
      <c r="R11" s="7"/>
      <c r="S11" s="6"/>
      <c r="T11" s="16"/>
      <c r="U11" s="16"/>
      <c r="V11" s="17"/>
      <c r="W11" s="5">
        <v>17</v>
      </c>
      <c r="X11" s="16"/>
      <c r="Y11" s="16"/>
      <c r="Z11" s="16"/>
      <c r="AA11" s="18"/>
      <c r="AB11" s="8">
        <f t="shared" si="5"/>
        <v>1</v>
      </c>
      <c r="AC11" s="9">
        <f t="shared" si="6"/>
        <v>0.29166666666666669</v>
      </c>
      <c r="AD11" s="10">
        <f>AC11*AB11*(1-O11)</f>
        <v>0.29166666666666669</v>
      </c>
      <c r="AE11" s="36">
        <f t="shared" si="8"/>
        <v>0.51944444444444449</v>
      </c>
      <c r="AF11" s="87">
        <f t="shared" si="9"/>
        <v>5</v>
      </c>
    </row>
    <row r="12" spans="1:32" ht="27" customHeight="1">
      <c r="A12" s="103">
        <v>5</v>
      </c>
      <c r="B12" s="11" t="s">
        <v>57</v>
      </c>
      <c r="C12" s="34" t="s">
        <v>133</v>
      </c>
      <c r="D12" s="52" t="s">
        <v>226</v>
      </c>
      <c r="E12" s="53" t="s">
        <v>218</v>
      </c>
      <c r="F12" s="30" t="s">
        <v>127</v>
      </c>
      <c r="G12" s="33">
        <v>2</v>
      </c>
      <c r="H12" s="35">
        <v>24</v>
      </c>
      <c r="I12" s="7">
        <v>7000</v>
      </c>
      <c r="J12" s="5">
        <v>5226</v>
      </c>
      <c r="K12" s="15">
        <f>L12</f>
        <v>5226</v>
      </c>
      <c r="L12" s="15">
        <f>202+2512*2</f>
        <v>5226</v>
      </c>
      <c r="M12" s="15">
        <f t="shared" si="1"/>
        <v>5226</v>
      </c>
      <c r="N12" s="15">
        <v>0</v>
      </c>
      <c r="O12" s="58">
        <f t="shared" si="2"/>
        <v>0</v>
      </c>
      <c r="P12" s="39">
        <f t="shared" si="3"/>
        <v>14</v>
      </c>
      <c r="Q12" s="40">
        <f t="shared" si="4"/>
        <v>10</v>
      </c>
      <c r="R12" s="7"/>
      <c r="S12" s="6"/>
      <c r="T12" s="16">
        <v>10</v>
      </c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0.58333333333333337</v>
      </c>
      <c r="AD12" s="10">
        <f>AC12*AB12*(1-O12)</f>
        <v>0.58333333333333337</v>
      </c>
      <c r="AE12" s="36">
        <f t="shared" si="8"/>
        <v>0.51944444444444449</v>
      </c>
      <c r="AF12" s="87">
        <f t="shared" si="9"/>
        <v>5</v>
      </c>
    </row>
    <row r="13" spans="1:32" ht="27" customHeight="1">
      <c r="A13" s="103">
        <v>6</v>
      </c>
      <c r="B13" s="11" t="s">
        <v>57</v>
      </c>
      <c r="C13" s="11" t="s">
        <v>133</v>
      </c>
      <c r="D13" s="52" t="s">
        <v>117</v>
      </c>
      <c r="E13" s="53" t="s">
        <v>436</v>
      </c>
      <c r="F13" s="30" t="s">
        <v>121</v>
      </c>
      <c r="G13" s="33">
        <v>1</v>
      </c>
      <c r="H13" s="35">
        <v>24</v>
      </c>
      <c r="I13" s="7">
        <v>25000</v>
      </c>
      <c r="J13" s="14">
        <v>5351</v>
      </c>
      <c r="K13" s="15">
        <f>L13+3151+2075+4881+5127+5296</f>
        <v>25881</v>
      </c>
      <c r="L13" s="15">
        <f>2592+2759</f>
        <v>5351</v>
      </c>
      <c r="M13" s="15">
        <f t="shared" si="1"/>
        <v>5351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ref="AD13" si="10">AC13*AB13*(1-O13)</f>
        <v>1</v>
      </c>
      <c r="AE13" s="36">
        <f t="shared" si="8"/>
        <v>0.51944444444444449</v>
      </c>
      <c r="AF13" s="87">
        <f t="shared" si="9"/>
        <v>6</v>
      </c>
    </row>
    <row r="14" spans="1:32" ht="27" customHeight="1">
      <c r="A14" s="103">
        <v>7</v>
      </c>
      <c r="B14" s="11" t="s">
        <v>57</v>
      </c>
      <c r="C14" s="11" t="s">
        <v>124</v>
      </c>
      <c r="D14" s="52" t="s">
        <v>117</v>
      </c>
      <c r="E14" s="53" t="s">
        <v>168</v>
      </c>
      <c r="F14" s="30" t="s">
        <v>121</v>
      </c>
      <c r="G14" s="33">
        <v>1</v>
      </c>
      <c r="H14" s="35">
        <v>20</v>
      </c>
      <c r="I14" s="7">
        <v>50000</v>
      </c>
      <c r="J14" s="14">
        <v>3910</v>
      </c>
      <c r="K14" s="15">
        <f>L14+2445+4101+2795</f>
        <v>13251</v>
      </c>
      <c r="L14" s="15">
        <f>2447+1463</f>
        <v>3910</v>
      </c>
      <c r="M14" s="15">
        <f t="shared" si="1"/>
        <v>3910</v>
      </c>
      <c r="N14" s="15">
        <v>0</v>
      </c>
      <c r="O14" s="58">
        <f t="shared" si="2"/>
        <v>0</v>
      </c>
      <c r="P14" s="39">
        <f t="shared" si="3"/>
        <v>19</v>
      </c>
      <c r="Q14" s="40">
        <f t="shared" si="4"/>
        <v>5</v>
      </c>
      <c r="R14" s="7"/>
      <c r="S14" s="6">
        <v>5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0.79166666666666663</v>
      </c>
      <c r="AD14" s="10">
        <f t="shared" si="7"/>
        <v>0.79166666666666663</v>
      </c>
      <c r="AE14" s="36">
        <f t="shared" si="8"/>
        <v>0.51944444444444449</v>
      </c>
      <c r="AF14" s="87">
        <f t="shared" si="9"/>
        <v>7</v>
      </c>
    </row>
    <row r="15" spans="1:32" ht="27" customHeight="1">
      <c r="A15" s="103">
        <v>8</v>
      </c>
      <c r="B15" s="11" t="s">
        <v>57</v>
      </c>
      <c r="C15" s="11" t="s">
        <v>114</v>
      </c>
      <c r="D15" s="52" t="s">
        <v>219</v>
      </c>
      <c r="E15" s="53" t="s">
        <v>220</v>
      </c>
      <c r="F15" s="30" t="s">
        <v>227</v>
      </c>
      <c r="G15" s="33">
        <v>1</v>
      </c>
      <c r="H15" s="35">
        <v>24</v>
      </c>
      <c r="I15" s="7">
        <v>4000</v>
      </c>
      <c r="J15" s="14">
        <v>2456</v>
      </c>
      <c r="K15" s="15">
        <f>L15+2864</f>
        <v>5320</v>
      </c>
      <c r="L15" s="15">
        <v>2456</v>
      </c>
      <c r="M15" s="15">
        <f t="shared" si="1"/>
        <v>2456</v>
      </c>
      <c r="N15" s="15">
        <v>0</v>
      </c>
      <c r="O15" s="58">
        <f t="shared" si="2"/>
        <v>0</v>
      </c>
      <c r="P15" s="39">
        <f t="shared" si="3"/>
        <v>11</v>
      </c>
      <c r="Q15" s="40">
        <f t="shared" si="4"/>
        <v>13</v>
      </c>
      <c r="R15" s="7"/>
      <c r="S15" s="6"/>
      <c r="T15" s="16"/>
      <c r="U15" s="16"/>
      <c r="V15" s="17"/>
      <c r="W15" s="5">
        <v>13</v>
      </c>
      <c r="X15" s="16"/>
      <c r="Y15" s="16"/>
      <c r="Z15" s="16"/>
      <c r="AA15" s="18"/>
      <c r="AB15" s="8">
        <f t="shared" si="5"/>
        <v>1</v>
      </c>
      <c r="AC15" s="9">
        <f t="shared" si="6"/>
        <v>0.45833333333333331</v>
      </c>
      <c r="AD15" s="10">
        <f t="shared" si="7"/>
        <v>0.45833333333333331</v>
      </c>
      <c r="AE15" s="36">
        <f t="shared" si="8"/>
        <v>0.51944444444444449</v>
      </c>
      <c r="AF15" s="87">
        <f t="shared" si="9"/>
        <v>8</v>
      </c>
    </row>
    <row r="16" spans="1:32" ht="27" customHeight="1">
      <c r="A16" s="118">
        <v>9</v>
      </c>
      <c r="B16" s="11" t="s">
        <v>57</v>
      </c>
      <c r="C16" s="34" t="s">
        <v>114</v>
      </c>
      <c r="D16" s="52" t="s">
        <v>196</v>
      </c>
      <c r="E16" s="53" t="s">
        <v>189</v>
      </c>
      <c r="F16" s="30" t="s">
        <v>197</v>
      </c>
      <c r="G16" s="12">
        <v>1</v>
      </c>
      <c r="H16" s="13">
        <v>28</v>
      </c>
      <c r="I16" s="7">
        <v>2000</v>
      </c>
      <c r="J16" s="5">
        <v>1045</v>
      </c>
      <c r="K16" s="15">
        <f>L16+620+500+1045</f>
        <v>2165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0.51944444444444449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114</v>
      </c>
      <c r="D17" s="52" t="s">
        <v>125</v>
      </c>
      <c r="E17" s="53" t="s">
        <v>499</v>
      </c>
      <c r="F17" s="12" t="s">
        <v>527</v>
      </c>
      <c r="G17" s="12">
        <v>1</v>
      </c>
      <c r="H17" s="13">
        <v>24</v>
      </c>
      <c r="I17" s="31">
        <v>600</v>
      </c>
      <c r="J17" s="14">
        <v>710</v>
      </c>
      <c r="K17" s="15">
        <f>L17+710</f>
        <v>710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0.51944444444444449</v>
      </c>
      <c r="AF17" s="87">
        <f t="shared" si="9"/>
        <v>10</v>
      </c>
    </row>
    <row r="18" spans="1:32" ht="30" customHeight="1">
      <c r="A18" s="102">
        <v>11</v>
      </c>
      <c r="B18" s="11" t="s">
        <v>57</v>
      </c>
      <c r="C18" s="34" t="s">
        <v>124</v>
      </c>
      <c r="D18" s="52" t="s">
        <v>128</v>
      </c>
      <c r="E18" s="53" t="s">
        <v>534</v>
      </c>
      <c r="F18" s="30" t="s">
        <v>129</v>
      </c>
      <c r="G18" s="12">
        <v>1</v>
      </c>
      <c r="H18" s="13">
        <v>28</v>
      </c>
      <c r="I18" s="7">
        <v>36000</v>
      </c>
      <c r="J18" s="14">
        <v>2340</v>
      </c>
      <c r="K18" s="15">
        <f>L18</f>
        <v>2340</v>
      </c>
      <c r="L18" s="15">
        <f>404+1936</f>
        <v>2340</v>
      </c>
      <c r="M18" s="15">
        <f t="shared" si="1"/>
        <v>2340</v>
      </c>
      <c r="N18" s="15">
        <v>0</v>
      </c>
      <c r="O18" s="58">
        <f t="shared" si="2"/>
        <v>0</v>
      </c>
      <c r="P18" s="39">
        <f t="shared" si="3"/>
        <v>13</v>
      </c>
      <c r="Q18" s="40">
        <f t="shared" si="4"/>
        <v>11</v>
      </c>
      <c r="R18" s="7">
        <v>11</v>
      </c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0.54166666666666663</v>
      </c>
      <c r="AD18" s="10">
        <f t="shared" si="7"/>
        <v>0.54166666666666663</v>
      </c>
      <c r="AE18" s="36">
        <f t="shared" si="8"/>
        <v>0.51944444444444449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11" t="s">
        <v>124</v>
      </c>
      <c r="D19" s="52" t="s">
        <v>192</v>
      </c>
      <c r="E19" s="53" t="s">
        <v>482</v>
      </c>
      <c r="F19" s="30" t="s">
        <v>314</v>
      </c>
      <c r="G19" s="33">
        <v>1</v>
      </c>
      <c r="H19" s="35">
        <v>20</v>
      </c>
      <c r="I19" s="7">
        <v>300</v>
      </c>
      <c r="J19" s="14">
        <v>674</v>
      </c>
      <c r="K19" s="15">
        <f>L19</f>
        <v>674</v>
      </c>
      <c r="L19" s="15">
        <v>674</v>
      </c>
      <c r="M19" s="15">
        <f t="shared" si="1"/>
        <v>674</v>
      </c>
      <c r="N19" s="15">
        <v>0</v>
      </c>
      <c r="O19" s="58">
        <f t="shared" si="2"/>
        <v>0</v>
      </c>
      <c r="P19" s="39">
        <f t="shared" si="3"/>
        <v>4</v>
      </c>
      <c r="Q19" s="40">
        <f t="shared" si="4"/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si="5"/>
        <v>1</v>
      </c>
      <c r="AC19" s="9">
        <f t="shared" si="6"/>
        <v>0.16666666666666666</v>
      </c>
      <c r="AD19" s="10">
        <f t="shared" si="7"/>
        <v>0.16666666666666666</v>
      </c>
      <c r="AE19" s="36">
        <f t="shared" si="8"/>
        <v>0.51944444444444449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124</v>
      </c>
      <c r="D20" s="52" t="s">
        <v>456</v>
      </c>
      <c r="E20" s="53" t="s">
        <v>457</v>
      </c>
      <c r="F20" s="30" t="s">
        <v>212</v>
      </c>
      <c r="G20" s="33">
        <v>1</v>
      </c>
      <c r="H20" s="35">
        <v>24</v>
      </c>
      <c r="I20" s="7">
        <v>16000</v>
      </c>
      <c r="J20" s="5">
        <v>4251</v>
      </c>
      <c r="K20" s="15">
        <f>L20+921+3493+4855+4827</f>
        <v>18347</v>
      </c>
      <c r="L20" s="15">
        <f>2367+1884</f>
        <v>4251</v>
      </c>
      <c r="M20" s="15">
        <f t="shared" si="1"/>
        <v>4251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>AC20*AB20*(1-O20)</f>
        <v>1</v>
      </c>
      <c r="AE20" s="36">
        <f t="shared" si="8"/>
        <v>0.51944444444444449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122</v>
      </c>
      <c r="E21" s="53" t="s">
        <v>424</v>
      </c>
      <c r="F21" s="30" t="s">
        <v>212</v>
      </c>
      <c r="G21" s="33">
        <v>1</v>
      </c>
      <c r="H21" s="35">
        <v>24</v>
      </c>
      <c r="I21" s="7">
        <v>50000</v>
      </c>
      <c r="J21" s="14">
        <v>5570</v>
      </c>
      <c r="K21" s="15">
        <f>L21+2211+5670+2303+5334+5532+5564</f>
        <v>32184</v>
      </c>
      <c r="L21" s="15">
        <f>2693+2877</f>
        <v>5570</v>
      </c>
      <c r="M21" s="15">
        <f t="shared" si="1"/>
        <v>5570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 t="shared" ref="AD21:AD22" si="11">AC21*AB21*(1-O21)</f>
        <v>1</v>
      </c>
      <c r="AE21" s="36">
        <f t="shared" si="8"/>
        <v>0.51944444444444449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545</v>
      </c>
      <c r="F22" s="12" t="s">
        <v>116</v>
      </c>
      <c r="G22" s="12">
        <v>4</v>
      </c>
      <c r="H22" s="35">
        <v>20</v>
      </c>
      <c r="I22" s="7">
        <v>200000</v>
      </c>
      <c r="J22" s="14">
        <v>43632</v>
      </c>
      <c r="K22" s="15">
        <f>L22</f>
        <v>43632</v>
      </c>
      <c r="L22" s="15">
        <f>10908*4</f>
        <v>43632</v>
      </c>
      <c r="M22" s="15">
        <f t="shared" si="1"/>
        <v>43632</v>
      </c>
      <c r="N22" s="15">
        <v>0</v>
      </c>
      <c r="O22" s="58">
        <f t="shared" si="2"/>
        <v>0</v>
      </c>
      <c r="P22" s="39">
        <f t="shared" si="3"/>
        <v>14</v>
      </c>
      <c r="Q22" s="40">
        <f t="shared" si="4"/>
        <v>10</v>
      </c>
      <c r="R22" s="7"/>
      <c r="S22" s="6"/>
      <c r="T22" s="16"/>
      <c r="U22" s="16"/>
      <c r="V22" s="17">
        <v>10</v>
      </c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0.58333333333333337</v>
      </c>
      <c r="AD22" s="10">
        <f t="shared" si="11"/>
        <v>0.58333333333333337</v>
      </c>
      <c r="AE22" s="36">
        <f t="shared" si="8"/>
        <v>0.51944444444444449</v>
      </c>
      <c r="AF22" s="87">
        <f t="shared" si="9"/>
        <v>15</v>
      </c>
    </row>
    <row r="23" spans="1:32" ht="31.5" customHeight="1" thickBot="1">
      <c r="A23" s="437" t="s">
        <v>34</v>
      </c>
      <c r="B23" s="438"/>
      <c r="C23" s="438"/>
      <c r="D23" s="438"/>
      <c r="E23" s="438"/>
      <c r="F23" s="438"/>
      <c r="G23" s="438"/>
      <c r="H23" s="439"/>
      <c r="I23" s="22">
        <f t="shared" ref="I23:N23" si="12">SUM(I6:I22)</f>
        <v>514400</v>
      </c>
      <c r="J23" s="19">
        <f t="shared" si="12"/>
        <v>85307</v>
      </c>
      <c r="K23" s="20">
        <f t="shared" si="12"/>
        <v>252927</v>
      </c>
      <c r="L23" s="21">
        <f t="shared" si="12"/>
        <v>81491</v>
      </c>
      <c r="M23" s="20">
        <f t="shared" si="12"/>
        <v>81491</v>
      </c>
      <c r="N23" s="21">
        <f t="shared" si="12"/>
        <v>0</v>
      </c>
      <c r="O23" s="41">
        <f t="shared" si="2"/>
        <v>0</v>
      </c>
      <c r="P23" s="42">
        <f t="shared" ref="P23:AA23" si="13">SUM(P6:P22)</f>
        <v>187</v>
      </c>
      <c r="Q23" s="43">
        <f t="shared" si="13"/>
        <v>221</v>
      </c>
      <c r="R23" s="23">
        <f t="shared" si="13"/>
        <v>35</v>
      </c>
      <c r="S23" s="24">
        <f t="shared" si="13"/>
        <v>22</v>
      </c>
      <c r="T23" s="24">
        <f t="shared" si="13"/>
        <v>10</v>
      </c>
      <c r="U23" s="24">
        <f t="shared" si="13"/>
        <v>0</v>
      </c>
      <c r="V23" s="25">
        <f t="shared" si="13"/>
        <v>34</v>
      </c>
      <c r="W23" s="26">
        <f t="shared" si="13"/>
        <v>120</v>
      </c>
      <c r="X23" s="27">
        <f t="shared" si="13"/>
        <v>0</v>
      </c>
      <c r="Y23" s="27">
        <f t="shared" si="13"/>
        <v>0</v>
      </c>
      <c r="Z23" s="27">
        <f t="shared" si="13"/>
        <v>0</v>
      </c>
      <c r="AA23" s="27">
        <f t="shared" si="13"/>
        <v>0</v>
      </c>
      <c r="AB23" s="28">
        <f>SUM(AB6:AB22)/15</f>
        <v>0.8666666666666667</v>
      </c>
      <c r="AC23" s="4">
        <f>SUM(AC6:AC22)/15</f>
        <v>0.51944444444444449</v>
      </c>
      <c r="AD23" s="4">
        <f>SUM(AD6:AD22)/15</f>
        <v>0.51944444444444449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0" t="s">
        <v>45</v>
      </c>
      <c r="B50" s="440"/>
      <c r="C50" s="440"/>
      <c r="D50" s="440"/>
      <c r="E50" s="440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1" t="s">
        <v>546</v>
      </c>
      <c r="B51" s="442"/>
      <c r="C51" s="442"/>
      <c r="D51" s="442"/>
      <c r="E51" s="442"/>
      <c r="F51" s="442"/>
      <c r="G51" s="442"/>
      <c r="H51" s="442"/>
      <c r="I51" s="442"/>
      <c r="J51" s="442"/>
      <c r="K51" s="442"/>
      <c r="L51" s="442"/>
      <c r="M51" s="443"/>
      <c r="N51" s="444" t="s">
        <v>547</v>
      </c>
      <c r="O51" s="445"/>
      <c r="P51" s="445"/>
      <c r="Q51" s="445"/>
      <c r="R51" s="445"/>
      <c r="S51" s="445"/>
      <c r="T51" s="445"/>
      <c r="U51" s="445"/>
      <c r="V51" s="445"/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7" t="s">
        <v>2</v>
      </c>
      <c r="B52" s="448"/>
      <c r="C52" s="324" t="s">
        <v>46</v>
      </c>
      <c r="D52" s="324" t="s">
        <v>47</v>
      </c>
      <c r="E52" s="324" t="s">
        <v>108</v>
      </c>
      <c r="F52" s="448" t="s">
        <v>107</v>
      </c>
      <c r="G52" s="448"/>
      <c r="H52" s="448"/>
      <c r="I52" s="448"/>
      <c r="J52" s="448"/>
      <c r="K52" s="448"/>
      <c r="L52" s="448"/>
      <c r="M52" s="449"/>
      <c r="N52" s="67" t="s">
        <v>112</v>
      </c>
      <c r="O52" s="324" t="s">
        <v>46</v>
      </c>
      <c r="P52" s="450" t="s">
        <v>47</v>
      </c>
      <c r="Q52" s="451"/>
      <c r="R52" s="450" t="s">
        <v>38</v>
      </c>
      <c r="S52" s="452"/>
      <c r="T52" s="452"/>
      <c r="U52" s="451"/>
      <c r="V52" s="450" t="s">
        <v>48</v>
      </c>
      <c r="W52" s="452"/>
      <c r="X52" s="452"/>
      <c r="Y52" s="452"/>
      <c r="Z52" s="452"/>
      <c r="AA52" s="452"/>
      <c r="AB52" s="452"/>
      <c r="AC52" s="452"/>
      <c r="AD52" s="453"/>
    </row>
    <row r="53" spans="1:32" ht="27" customHeight="1">
      <c r="A53" s="419" t="s">
        <v>124</v>
      </c>
      <c r="B53" s="420"/>
      <c r="C53" s="322" t="s">
        <v>184</v>
      </c>
      <c r="D53" s="322" t="s">
        <v>148</v>
      </c>
      <c r="E53" s="322" t="s">
        <v>191</v>
      </c>
      <c r="F53" s="421" t="s">
        <v>274</v>
      </c>
      <c r="G53" s="422"/>
      <c r="H53" s="422"/>
      <c r="I53" s="422"/>
      <c r="J53" s="422"/>
      <c r="K53" s="422"/>
      <c r="L53" s="422"/>
      <c r="M53" s="423"/>
      <c r="N53" s="321" t="s">
        <v>124</v>
      </c>
      <c r="O53" s="319" t="s">
        <v>184</v>
      </c>
      <c r="P53" s="433" t="s">
        <v>148</v>
      </c>
      <c r="Q53" s="434"/>
      <c r="R53" s="420" t="s">
        <v>191</v>
      </c>
      <c r="S53" s="420"/>
      <c r="T53" s="420"/>
      <c r="U53" s="420"/>
      <c r="V53" s="410" t="s">
        <v>126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322" t="s">
        <v>139</v>
      </c>
      <c r="D54" s="322" t="s">
        <v>117</v>
      </c>
      <c r="E54" s="322" t="s">
        <v>168</v>
      </c>
      <c r="F54" s="421" t="s">
        <v>126</v>
      </c>
      <c r="G54" s="422"/>
      <c r="H54" s="422"/>
      <c r="I54" s="422"/>
      <c r="J54" s="422"/>
      <c r="K54" s="422"/>
      <c r="L54" s="422"/>
      <c r="M54" s="423"/>
      <c r="N54" s="321" t="s">
        <v>133</v>
      </c>
      <c r="O54" s="319" t="s">
        <v>200</v>
      </c>
      <c r="P54" s="433" t="s">
        <v>122</v>
      </c>
      <c r="Q54" s="434"/>
      <c r="R54" s="420" t="s">
        <v>548</v>
      </c>
      <c r="S54" s="420"/>
      <c r="T54" s="420"/>
      <c r="U54" s="420"/>
      <c r="V54" s="410" t="s">
        <v>120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124</v>
      </c>
      <c r="B55" s="420"/>
      <c r="C55" s="322" t="s">
        <v>131</v>
      </c>
      <c r="D55" s="322" t="s">
        <v>248</v>
      </c>
      <c r="E55" s="322" t="s">
        <v>532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321" t="s">
        <v>133</v>
      </c>
      <c r="O55" s="319" t="s">
        <v>143</v>
      </c>
      <c r="P55" s="433" t="s">
        <v>117</v>
      </c>
      <c r="Q55" s="434"/>
      <c r="R55" s="420" t="s">
        <v>549</v>
      </c>
      <c r="S55" s="420"/>
      <c r="T55" s="420"/>
      <c r="U55" s="420"/>
      <c r="V55" s="410" t="s">
        <v>120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124</v>
      </c>
      <c r="B56" s="420"/>
      <c r="C56" s="322" t="s">
        <v>131</v>
      </c>
      <c r="D56" s="322" t="s">
        <v>154</v>
      </c>
      <c r="E56" s="322" t="s">
        <v>531</v>
      </c>
      <c r="F56" s="421" t="s">
        <v>120</v>
      </c>
      <c r="G56" s="422"/>
      <c r="H56" s="422"/>
      <c r="I56" s="422"/>
      <c r="J56" s="422"/>
      <c r="K56" s="422"/>
      <c r="L56" s="422"/>
      <c r="M56" s="423"/>
      <c r="N56" s="321" t="s">
        <v>124</v>
      </c>
      <c r="O56" s="319" t="s">
        <v>135</v>
      </c>
      <c r="P56" s="433" t="s">
        <v>171</v>
      </c>
      <c r="Q56" s="434"/>
      <c r="R56" s="433" t="s">
        <v>172</v>
      </c>
      <c r="S56" s="476"/>
      <c r="T56" s="476"/>
      <c r="U56" s="434"/>
      <c r="V56" s="410" t="s">
        <v>120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133</v>
      </c>
      <c r="B57" s="420"/>
      <c r="C57" s="322" t="s">
        <v>131</v>
      </c>
      <c r="D57" s="322" t="s">
        <v>226</v>
      </c>
      <c r="E57" s="322" t="s">
        <v>218</v>
      </c>
      <c r="F57" s="421" t="s">
        <v>120</v>
      </c>
      <c r="G57" s="422"/>
      <c r="H57" s="422"/>
      <c r="I57" s="422"/>
      <c r="J57" s="422"/>
      <c r="K57" s="422"/>
      <c r="L57" s="422"/>
      <c r="M57" s="423"/>
      <c r="N57" s="321" t="s">
        <v>114</v>
      </c>
      <c r="O57" s="319" t="s">
        <v>180</v>
      </c>
      <c r="P57" s="433" t="s">
        <v>117</v>
      </c>
      <c r="Q57" s="434"/>
      <c r="R57" s="420" t="s">
        <v>550</v>
      </c>
      <c r="S57" s="420"/>
      <c r="T57" s="420"/>
      <c r="U57" s="420"/>
      <c r="V57" s="410" t="s">
        <v>120</v>
      </c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124</v>
      </c>
      <c r="B58" s="420"/>
      <c r="C58" s="322" t="s">
        <v>135</v>
      </c>
      <c r="D58" s="322" t="s">
        <v>192</v>
      </c>
      <c r="E58" s="322" t="s">
        <v>482</v>
      </c>
      <c r="F58" s="421" t="s">
        <v>120</v>
      </c>
      <c r="G58" s="422"/>
      <c r="H58" s="422"/>
      <c r="I58" s="422"/>
      <c r="J58" s="422"/>
      <c r="K58" s="422"/>
      <c r="L58" s="422"/>
      <c r="M58" s="423"/>
      <c r="N58" s="321" t="s">
        <v>124</v>
      </c>
      <c r="O58" s="319" t="s">
        <v>180</v>
      </c>
      <c r="P58" s="433" t="s">
        <v>117</v>
      </c>
      <c r="Q58" s="434"/>
      <c r="R58" s="420" t="s">
        <v>318</v>
      </c>
      <c r="S58" s="420"/>
      <c r="T58" s="420"/>
      <c r="U58" s="420"/>
      <c r="V58" s="410" t="s">
        <v>120</v>
      </c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 t="s">
        <v>124</v>
      </c>
      <c r="B59" s="420"/>
      <c r="C59" s="322" t="s">
        <v>533</v>
      </c>
      <c r="D59" s="322" t="s">
        <v>128</v>
      </c>
      <c r="E59" s="322" t="s">
        <v>534</v>
      </c>
      <c r="F59" s="421" t="s">
        <v>120</v>
      </c>
      <c r="G59" s="422"/>
      <c r="H59" s="422"/>
      <c r="I59" s="422"/>
      <c r="J59" s="422"/>
      <c r="K59" s="422"/>
      <c r="L59" s="422"/>
      <c r="M59" s="423"/>
      <c r="N59" s="321"/>
      <c r="O59" s="319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322"/>
      <c r="D60" s="322"/>
      <c r="E60" s="322"/>
      <c r="F60" s="421"/>
      <c r="G60" s="422"/>
      <c r="H60" s="422"/>
      <c r="I60" s="422"/>
      <c r="J60" s="422"/>
      <c r="K60" s="422"/>
      <c r="L60" s="422"/>
      <c r="M60" s="423"/>
      <c r="N60" s="321"/>
      <c r="O60" s="319"/>
      <c r="P60" s="433"/>
      <c r="Q60" s="434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/>
      <c r="B61" s="420"/>
      <c r="C61" s="322"/>
      <c r="D61" s="322"/>
      <c r="E61" s="322"/>
      <c r="F61" s="421"/>
      <c r="G61" s="422"/>
      <c r="H61" s="422"/>
      <c r="I61" s="422"/>
      <c r="J61" s="422"/>
      <c r="K61" s="422"/>
      <c r="L61" s="422"/>
      <c r="M61" s="423"/>
      <c r="N61" s="321"/>
      <c r="O61" s="319"/>
      <c r="P61" s="420"/>
      <c r="Q61" s="420"/>
      <c r="R61" s="420"/>
      <c r="S61" s="420"/>
      <c r="T61" s="420"/>
      <c r="U61" s="420"/>
      <c r="V61" s="410"/>
      <c r="W61" s="410"/>
      <c r="X61" s="410"/>
      <c r="Y61" s="410"/>
      <c r="Z61" s="410"/>
      <c r="AA61" s="410"/>
      <c r="AB61" s="410"/>
      <c r="AC61" s="410"/>
      <c r="AD61" s="424"/>
      <c r="AF61" s="87">
        <f>8*3000</f>
        <v>24000</v>
      </c>
    </row>
    <row r="62" spans="1:32" ht="27" customHeight="1" thickBot="1">
      <c r="A62" s="425"/>
      <c r="B62" s="426"/>
      <c r="C62" s="323"/>
      <c r="D62" s="323"/>
      <c r="E62" s="323"/>
      <c r="F62" s="427"/>
      <c r="G62" s="428"/>
      <c r="H62" s="428"/>
      <c r="I62" s="428"/>
      <c r="J62" s="428"/>
      <c r="K62" s="428"/>
      <c r="L62" s="428"/>
      <c r="M62" s="429"/>
      <c r="N62" s="124"/>
      <c r="O62" s="114"/>
      <c r="P62" s="430"/>
      <c r="Q62" s="430"/>
      <c r="R62" s="430"/>
      <c r="S62" s="430"/>
      <c r="T62" s="430"/>
      <c r="U62" s="430"/>
      <c r="V62" s="431"/>
      <c r="W62" s="431"/>
      <c r="X62" s="431"/>
      <c r="Y62" s="431"/>
      <c r="Z62" s="431"/>
      <c r="AA62" s="431"/>
      <c r="AB62" s="431"/>
      <c r="AC62" s="431"/>
      <c r="AD62" s="432"/>
      <c r="AF62" s="87">
        <f>16*3000</f>
        <v>48000</v>
      </c>
    </row>
    <row r="63" spans="1:32" ht="27.75" thickBot="1">
      <c r="A63" s="417" t="s">
        <v>553</v>
      </c>
      <c r="B63" s="417"/>
      <c r="C63" s="417"/>
      <c r="D63" s="417"/>
      <c r="E63" s="417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18" t="s">
        <v>113</v>
      </c>
      <c r="B64" s="415"/>
      <c r="C64" s="320" t="s">
        <v>2</v>
      </c>
      <c r="D64" s="320" t="s">
        <v>37</v>
      </c>
      <c r="E64" s="320" t="s">
        <v>3</v>
      </c>
      <c r="F64" s="415" t="s">
        <v>110</v>
      </c>
      <c r="G64" s="415"/>
      <c r="H64" s="415"/>
      <c r="I64" s="415"/>
      <c r="J64" s="415"/>
      <c r="K64" s="415" t="s">
        <v>39</v>
      </c>
      <c r="L64" s="415"/>
      <c r="M64" s="320" t="s">
        <v>40</v>
      </c>
      <c r="N64" s="415" t="s">
        <v>41</v>
      </c>
      <c r="O64" s="415"/>
      <c r="P64" s="412" t="s">
        <v>42</v>
      </c>
      <c r="Q64" s="414"/>
      <c r="R64" s="412" t="s">
        <v>43</v>
      </c>
      <c r="S64" s="413"/>
      <c r="T64" s="413"/>
      <c r="U64" s="413"/>
      <c r="V64" s="413"/>
      <c r="W64" s="413"/>
      <c r="X64" s="413"/>
      <c r="Y64" s="413"/>
      <c r="Z64" s="413"/>
      <c r="AA64" s="414"/>
      <c r="AB64" s="415" t="s">
        <v>44</v>
      </c>
      <c r="AC64" s="415"/>
      <c r="AD64" s="416"/>
      <c r="AF64" s="87">
        <f>SUM(AF61:AF63)</f>
        <v>96000</v>
      </c>
    </row>
    <row r="65" spans="1:32" ht="25.5" customHeight="1">
      <c r="A65" s="406">
        <v>1</v>
      </c>
      <c r="B65" s="407"/>
      <c r="C65" s="117" t="s">
        <v>133</v>
      </c>
      <c r="D65" s="315"/>
      <c r="E65" s="318" t="s">
        <v>242</v>
      </c>
      <c r="F65" s="408" t="s">
        <v>552</v>
      </c>
      <c r="G65" s="400"/>
      <c r="H65" s="400"/>
      <c r="I65" s="400"/>
      <c r="J65" s="400"/>
      <c r="K65" s="400">
        <v>8301</v>
      </c>
      <c r="L65" s="400"/>
      <c r="M65" s="51" t="s">
        <v>240</v>
      </c>
      <c r="N65" s="411" t="s">
        <v>243</v>
      </c>
      <c r="O65" s="411"/>
      <c r="P65" s="409">
        <v>50</v>
      </c>
      <c r="Q65" s="409"/>
      <c r="R65" s="410" t="s">
        <v>551</v>
      </c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2</v>
      </c>
      <c r="B66" s="407"/>
      <c r="C66" s="117"/>
      <c r="D66" s="315"/>
      <c r="E66" s="318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3</v>
      </c>
      <c r="B67" s="407"/>
      <c r="C67" s="117"/>
      <c r="D67" s="315"/>
      <c r="E67" s="318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4</v>
      </c>
      <c r="B68" s="407"/>
      <c r="C68" s="117"/>
      <c r="D68" s="315"/>
      <c r="E68" s="318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5</v>
      </c>
      <c r="B69" s="407"/>
      <c r="C69" s="117"/>
      <c r="D69" s="315"/>
      <c r="E69" s="318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6</v>
      </c>
      <c r="B70" s="407"/>
      <c r="C70" s="117"/>
      <c r="D70" s="315"/>
      <c r="E70" s="318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7</v>
      </c>
      <c r="B71" s="407"/>
      <c r="C71" s="117"/>
      <c r="D71" s="315"/>
      <c r="E71" s="318"/>
      <c r="F71" s="408"/>
      <c r="G71" s="400"/>
      <c r="H71" s="400"/>
      <c r="I71" s="400"/>
      <c r="J71" s="400"/>
      <c r="K71" s="400"/>
      <c r="L71" s="400"/>
      <c r="M71" s="51"/>
      <c r="N71" s="411"/>
      <c r="O71" s="411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8</v>
      </c>
      <c r="B72" s="407"/>
      <c r="C72" s="117"/>
      <c r="D72" s="315"/>
      <c r="E72" s="318"/>
      <c r="F72" s="408"/>
      <c r="G72" s="400"/>
      <c r="H72" s="400"/>
      <c r="I72" s="400"/>
      <c r="J72" s="400"/>
      <c r="K72" s="400"/>
      <c r="L72" s="400"/>
      <c r="M72" s="51"/>
      <c r="N72" s="400"/>
      <c r="O72" s="400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6.25" customHeight="1" thickBot="1">
      <c r="A73" s="380" t="s">
        <v>554</v>
      </c>
      <c r="B73" s="380"/>
      <c r="C73" s="380"/>
      <c r="D73" s="380"/>
      <c r="E73" s="380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381" t="s">
        <v>113</v>
      </c>
      <c r="B74" s="382"/>
      <c r="C74" s="317" t="s">
        <v>2</v>
      </c>
      <c r="D74" s="317" t="s">
        <v>37</v>
      </c>
      <c r="E74" s="317" t="s">
        <v>3</v>
      </c>
      <c r="F74" s="382" t="s">
        <v>38</v>
      </c>
      <c r="G74" s="382"/>
      <c r="H74" s="382"/>
      <c r="I74" s="382"/>
      <c r="J74" s="382"/>
      <c r="K74" s="402" t="s">
        <v>58</v>
      </c>
      <c r="L74" s="403"/>
      <c r="M74" s="403"/>
      <c r="N74" s="403"/>
      <c r="O74" s="403"/>
      <c r="P74" s="403"/>
      <c r="Q74" s="403"/>
      <c r="R74" s="403"/>
      <c r="S74" s="404"/>
      <c r="T74" s="382" t="s">
        <v>49</v>
      </c>
      <c r="U74" s="382"/>
      <c r="V74" s="402" t="s">
        <v>50</v>
      </c>
      <c r="W74" s="404"/>
      <c r="X74" s="403" t="s">
        <v>51</v>
      </c>
      <c r="Y74" s="403"/>
      <c r="Z74" s="403"/>
      <c r="AA74" s="403"/>
      <c r="AB74" s="403"/>
      <c r="AC74" s="403"/>
      <c r="AD74" s="405"/>
      <c r="AF74" s="50"/>
    </row>
    <row r="75" spans="1:32" ht="33.75" customHeight="1">
      <c r="A75" s="374">
        <v>1</v>
      </c>
      <c r="B75" s="375"/>
      <c r="C75" s="316" t="s">
        <v>114</v>
      </c>
      <c r="D75" s="316"/>
      <c r="E75" s="65" t="s">
        <v>119</v>
      </c>
      <c r="F75" s="389" t="s">
        <v>118</v>
      </c>
      <c r="G75" s="390"/>
      <c r="H75" s="390"/>
      <c r="I75" s="390"/>
      <c r="J75" s="391"/>
      <c r="K75" s="392" t="s">
        <v>137</v>
      </c>
      <c r="L75" s="393"/>
      <c r="M75" s="393"/>
      <c r="N75" s="393"/>
      <c r="O75" s="393"/>
      <c r="P75" s="393"/>
      <c r="Q75" s="393"/>
      <c r="R75" s="393"/>
      <c r="S75" s="394"/>
      <c r="T75" s="395">
        <v>43675</v>
      </c>
      <c r="U75" s="396"/>
      <c r="V75" s="397"/>
      <c r="W75" s="397"/>
      <c r="X75" s="398"/>
      <c r="Y75" s="398"/>
      <c r="Z75" s="398"/>
      <c r="AA75" s="398"/>
      <c r="AB75" s="398"/>
      <c r="AC75" s="398"/>
      <c r="AD75" s="399"/>
      <c r="AF75" s="50"/>
    </row>
    <row r="76" spans="1:32" ht="30" customHeight="1">
      <c r="A76" s="367">
        <f>A75+1</f>
        <v>2</v>
      </c>
      <c r="B76" s="368"/>
      <c r="C76" s="315"/>
      <c r="D76" s="315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ref="A77:A83" si="14">A76+1</f>
        <v>3</v>
      </c>
      <c r="B77" s="368"/>
      <c r="C77" s="315"/>
      <c r="D77" s="315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4"/>
        <v>4</v>
      </c>
      <c r="B78" s="368"/>
      <c r="C78" s="315"/>
      <c r="D78" s="315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4"/>
        <v>5</v>
      </c>
      <c r="B79" s="368"/>
      <c r="C79" s="315"/>
      <c r="D79" s="315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4"/>
        <v>6</v>
      </c>
      <c r="B80" s="368"/>
      <c r="C80" s="315"/>
      <c r="D80" s="315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4"/>
        <v>7</v>
      </c>
      <c r="B81" s="368"/>
      <c r="C81" s="315"/>
      <c r="D81" s="315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14"/>
        <v>8</v>
      </c>
      <c r="B82" s="368"/>
      <c r="C82" s="315"/>
      <c r="D82" s="315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14"/>
        <v>9</v>
      </c>
      <c r="B83" s="368"/>
      <c r="C83" s="315"/>
      <c r="D83" s="315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6" thickBot="1">
      <c r="A84" s="380" t="s">
        <v>555</v>
      </c>
      <c r="B84" s="380"/>
      <c r="C84" s="380"/>
      <c r="D84" s="380"/>
      <c r="E84" s="380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381" t="s">
        <v>113</v>
      </c>
      <c r="B85" s="382"/>
      <c r="C85" s="372" t="s">
        <v>52</v>
      </c>
      <c r="D85" s="372"/>
      <c r="E85" s="372" t="s">
        <v>53</v>
      </c>
      <c r="F85" s="372"/>
      <c r="G85" s="372"/>
      <c r="H85" s="372"/>
      <c r="I85" s="372"/>
      <c r="J85" s="372"/>
      <c r="K85" s="372" t="s">
        <v>54</v>
      </c>
      <c r="L85" s="372"/>
      <c r="M85" s="372"/>
      <c r="N85" s="372"/>
      <c r="O85" s="372"/>
      <c r="P85" s="372"/>
      <c r="Q85" s="372"/>
      <c r="R85" s="372"/>
      <c r="S85" s="372"/>
      <c r="T85" s="372" t="s">
        <v>55</v>
      </c>
      <c r="U85" s="372"/>
      <c r="V85" s="372" t="s">
        <v>56</v>
      </c>
      <c r="W85" s="372"/>
      <c r="X85" s="372"/>
      <c r="Y85" s="372" t="s">
        <v>51</v>
      </c>
      <c r="Z85" s="372"/>
      <c r="AA85" s="372"/>
      <c r="AB85" s="372"/>
      <c r="AC85" s="372"/>
      <c r="AD85" s="373"/>
      <c r="AF85" s="50"/>
    </row>
    <row r="86" spans="1:32" ht="30.75" customHeight="1">
      <c r="A86" s="374">
        <v>1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7"/>
      <c r="W86" s="377"/>
      <c r="X86" s="377"/>
      <c r="Y86" s="378"/>
      <c r="Z86" s="378"/>
      <c r="AA86" s="378"/>
      <c r="AB86" s="378"/>
      <c r="AC86" s="378"/>
      <c r="AD86" s="379"/>
      <c r="AF86" s="50"/>
    </row>
    <row r="87" spans="1:32" ht="30.75" customHeight="1">
      <c r="A87" s="367">
        <v>2</v>
      </c>
      <c r="B87" s="368"/>
      <c r="C87" s="369"/>
      <c r="D87" s="369"/>
      <c r="E87" s="369"/>
      <c r="F87" s="369"/>
      <c r="G87" s="369"/>
      <c r="H87" s="369"/>
      <c r="I87" s="369"/>
      <c r="J87" s="369"/>
      <c r="K87" s="369"/>
      <c r="L87" s="369"/>
      <c r="M87" s="369"/>
      <c r="N87" s="369"/>
      <c r="O87" s="369"/>
      <c r="P87" s="369"/>
      <c r="Q87" s="369"/>
      <c r="R87" s="369"/>
      <c r="S87" s="369"/>
      <c r="T87" s="370"/>
      <c r="U87" s="370"/>
      <c r="V87" s="371"/>
      <c r="W87" s="371"/>
      <c r="X87" s="371"/>
      <c r="Y87" s="360"/>
      <c r="Z87" s="360"/>
      <c r="AA87" s="360"/>
      <c r="AB87" s="360"/>
      <c r="AC87" s="360"/>
      <c r="AD87" s="361"/>
      <c r="AF87" s="50"/>
    </row>
    <row r="88" spans="1:32" ht="30.75" customHeight="1" thickBot="1">
      <c r="A88" s="362">
        <v>3</v>
      </c>
      <c r="B88" s="363"/>
      <c r="C88" s="364"/>
      <c r="D88" s="364"/>
      <c r="E88" s="364"/>
      <c r="F88" s="36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64"/>
      <c r="R88" s="364"/>
      <c r="S88" s="364"/>
      <c r="T88" s="364"/>
      <c r="U88" s="364"/>
      <c r="V88" s="364"/>
      <c r="W88" s="364"/>
      <c r="X88" s="364"/>
      <c r="Y88" s="365"/>
      <c r="Z88" s="365"/>
      <c r="AA88" s="365"/>
      <c r="AB88" s="365"/>
      <c r="AC88" s="365"/>
      <c r="AD88" s="366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E4A8-DB18-4D28-A84B-26D6E9191F93}">
  <dimension ref="A1:AF88"/>
  <sheetViews>
    <sheetView zoomScale="72" zoomScaleNormal="72" zoomScaleSheetLayoutView="70" workbookViewId="0">
      <selection activeCell="F81" sqref="F81:J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556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326" t="s">
        <v>17</v>
      </c>
      <c r="L5" s="326" t="s">
        <v>18</v>
      </c>
      <c r="M5" s="326" t="s">
        <v>19</v>
      </c>
      <c r="N5" s="32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18" si="7">AC6*AB6*(1-O6)</f>
        <v>0</v>
      </c>
      <c r="AE6" s="36">
        <f t="shared" ref="AE6:AE22" si="8">$AD$23</f>
        <v>0.63611111111111107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0.63611111111111107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557</v>
      </c>
      <c r="F8" s="30" t="s">
        <v>123</v>
      </c>
      <c r="G8" s="33">
        <v>1</v>
      </c>
      <c r="H8" s="35">
        <v>24</v>
      </c>
      <c r="I8" s="7">
        <v>38000</v>
      </c>
      <c r="J8" s="14">
        <v>6174</v>
      </c>
      <c r="K8" s="15">
        <f>L8</f>
        <v>6174</v>
      </c>
      <c r="L8" s="15">
        <f>2807+3367</f>
        <v>6174</v>
      </c>
      <c r="M8" s="15">
        <f t="shared" si="1"/>
        <v>6174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0.63611111111111107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2512</v>
      </c>
      <c r="K9" s="15">
        <f>L9+1593+1896+2807+1401+3459+1160+3830+650+1584+2358+4249+584+4731+3038+1149+1391+2345+2572+1276</f>
        <v>44585</v>
      </c>
      <c r="L9" s="15">
        <f>1077+1435</f>
        <v>2512</v>
      </c>
      <c r="M9" s="15">
        <f t="shared" si="1"/>
        <v>2512</v>
      </c>
      <c r="N9" s="15">
        <v>0</v>
      </c>
      <c r="O9" s="58">
        <f t="shared" si="2"/>
        <v>0</v>
      </c>
      <c r="P9" s="39">
        <f t="shared" si="3"/>
        <v>13</v>
      </c>
      <c r="Q9" s="40">
        <f t="shared" si="4"/>
        <v>11</v>
      </c>
      <c r="R9" s="7"/>
      <c r="S9" s="6">
        <v>11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0.54166666666666663</v>
      </c>
      <c r="AD9" s="10">
        <f t="shared" si="7"/>
        <v>0.54166666666666663</v>
      </c>
      <c r="AE9" s="36">
        <f t="shared" si="8"/>
        <v>0.63611111111111107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133</v>
      </c>
      <c r="D10" s="52" t="s">
        <v>226</v>
      </c>
      <c r="E10" s="53" t="s">
        <v>218</v>
      </c>
      <c r="F10" s="30" t="s">
        <v>127</v>
      </c>
      <c r="G10" s="33">
        <v>2</v>
      </c>
      <c r="H10" s="35">
        <v>24</v>
      </c>
      <c r="I10" s="7">
        <v>7000</v>
      </c>
      <c r="J10" s="5">
        <v>5746</v>
      </c>
      <c r="K10" s="15">
        <f>L10+5226</f>
        <v>10972</v>
      </c>
      <c r="L10" s="15">
        <f>2368*2+505*2</f>
        <v>5746</v>
      </c>
      <c r="M10" s="15">
        <f t="shared" si="1"/>
        <v>5746</v>
      </c>
      <c r="N10" s="15">
        <v>0</v>
      </c>
      <c r="O10" s="58">
        <f t="shared" si="2"/>
        <v>0</v>
      </c>
      <c r="P10" s="39">
        <f t="shared" si="3"/>
        <v>18</v>
      </c>
      <c r="Q10" s="40">
        <f t="shared" si="4"/>
        <v>6</v>
      </c>
      <c r="R10" s="7"/>
      <c r="S10" s="6"/>
      <c r="T10" s="16"/>
      <c r="U10" s="16"/>
      <c r="V10" s="17"/>
      <c r="W10" s="5">
        <v>6</v>
      </c>
      <c r="X10" s="16"/>
      <c r="Y10" s="16"/>
      <c r="Z10" s="16"/>
      <c r="AA10" s="18"/>
      <c r="AB10" s="8">
        <f t="shared" si="5"/>
        <v>1</v>
      </c>
      <c r="AC10" s="9">
        <f t="shared" si="6"/>
        <v>0.75</v>
      </c>
      <c r="AD10" s="10">
        <f>AC10*AB10*(1-O10)</f>
        <v>0.75</v>
      </c>
      <c r="AE10" s="36">
        <f t="shared" si="8"/>
        <v>0.63611111111111107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133</v>
      </c>
      <c r="D11" s="52" t="s">
        <v>117</v>
      </c>
      <c r="E11" s="53" t="s">
        <v>436</v>
      </c>
      <c r="F11" s="30" t="s">
        <v>121</v>
      </c>
      <c r="G11" s="33">
        <v>1</v>
      </c>
      <c r="H11" s="35">
        <v>24</v>
      </c>
      <c r="I11" s="7">
        <v>25000</v>
      </c>
      <c r="J11" s="14">
        <v>899</v>
      </c>
      <c r="K11" s="15">
        <f>L11+3151+2075+4881+5127+5296+5351</f>
        <v>26780</v>
      </c>
      <c r="L11" s="15">
        <v>899</v>
      </c>
      <c r="M11" s="15">
        <f t="shared" si="1"/>
        <v>899</v>
      </c>
      <c r="N11" s="15">
        <v>0</v>
      </c>
      <c r="O11" s="58">
        <f t="shared" si="2"/>
        <v>0</v>
      </c>
      <c r="P11" s="39">
        <f t="shared" si="3"/>
        <v>5</v>
      </c>
      <c r="Q11" s="40">
        <f t="shared" si="4"/>
        <v>19</v>
      </c>
      <c r="R11" s="7"/>
      <c r="S11" s="6"/>
      <c r="T11" s="16"/>
      <c r="U11" s="16"/>
      <c r="V11" s="17"/>
      <c r="W11" s="5">
        <v>19</v>
      </c>
      <c r="X11" s="16"/>
      <c r="Y11" s="16"/>
      <c r="Z11" s="16"/>
      <c r="AA11" s="18"/>
      <c r="AB11" s="8">
        <f t="shared" si="5"/>
        <v>1</v>
      </c>
      <c r="AC11" s="9">
        <f t="shared" si="6"/>
        <v>0.20833333333333334</v>
      </c>
      <c r="AD11" s="10">
        <f t="shared" ref="AD11" si="10">AC11*AB11*(1-O11)</f>
        <v>0.20833333333333334</v>
      </c>
      <c r="AE11" s="36">
        <f t="shared" si="8"/>
        <v>0.63611111111111107</v>
      </c>
      <c r="AF11" s="87">
        <f t="shared" si="9"/>
        <v>6</v>
      </c>
    </row>
    <row r="12" spans="1:32" ht="27" customHeight="1">
      <c r="A12" s="103">
        <v>6</v>
      </c>
      <c r="B12" s="11" t="s">
        <v>57</v>
      </c>
      <c r="C12" s="11" t="s">
        <v>133</v>
      </c>
      <c r="D12" s="52" t="s">
        <v>122</v>
      </c>
      <c r="E12" s="53" t="s">
        <v>548</v>
      </c>
      <c r="F12" s="30" t="s">
        <v>144</v>
      </c>
      <c r="G12" s="33">
        <v>2</v>
      </c>
      <c r="H12" s="35">
        <v>24</v>
      </c>
      <c r="I12" s="7">
        <v>15000</v>
      </c>
      <c r="J12" s="14">
        <v>8720</v>
      </c>
      <c r="K12" s="15">
        <f>L12</f>
        <v>8720</v>
      </c>
      <c r="L12" s="15">
        <f>1448*2+2912*2</f>
        <v>8720</v>
      </c>
      <c r="M12" s="15">
        <f t="shared" ref="M12" si="11">L12-N12</f>
        <v>8720</v>
      </c>
      <c r="N12" s="15">
        <v>0</v>
      </c>
      <c r="O12" s="58">
        <f t="shared" ref="O12" si="12">IF(L12=0,"0",N12/L12)</f>
        <v>0</v>
      </c>
      <c r="P12" s="39">
        <f t="shared" ref="P12" si="13">IF(L12=0,"0",(24-Q12))</f>
        <v>18</v>
      </c>
      <c r="Q12" s="40">
        <f t="shared" ref="Q12" si="14">SUM(R12:AA12)</f>
        <v>6</v>
      </c>
      <c r="R12" s="7"/>
      <c r="S12" s="6"/>
      <c r="T12" s="16">
        <v>6</v>
      </c>
      <c r="U12" s="16"/>
      <c r="V12" s="17"/>
      <c r="W12" s="5"/>
      <c r="X12" s="16"/>
      <c r="Y12" s="16"/>
      <c r="Z12" s="16"/>
      <c r="AA12" s="18"/>
      <c r="AB12" s="8">
        <f t="shared" ref="AB12" si="15">IF(J12=0,"0",(L12/J12))</f>
        <v>1</v>
      </c>
      <c r="AC12" s="9">
        <f t="shared" ref="AC12" si="16">IF(P12=0,"0",(P12/24))</f>
        <v>0.75</v>
      </c>
      <c r="AD12" s="10">
        <f t="shared" ref="AD12" si="17">AC12*AB12*(1-O12)</f>
        <v>0.75</v>
      </c>
      <c r="AE12" s="36">
        <f t="shared" si="8"/>
        <v>0.63611111111111107</v>
      </c>
      <c r="AF12" s="87">
        <f t="shared" ref="AF12" si="18">A12</f>
        <v>6</v>
      </c>
    </row>
    <row r="13" spans="1:32" ht="27" customHeight="1">
      <c r="A13" s="103">
        <v>7</v>
      </c>
      <c r="B13" s="11" t="s">
        <v>57</v>
      </c>
      <c r="C13" s="11" t="s">
        <v>124</v>
      </c>
      <c r="D13" s="52" t="s">
        <v>117</v>
      </c>
      <c r="E13" s="53" t="s">
        <v>168</v>
      </c>
      <c r="F13" s="30" t="s">
        <v>121</v>
      </c>
      <c r="G13" s="33">
        <v>1</v>
      </c>
      <c r="H13" s="35">
        <v>20</v>
      </c>
      <c r="I13" s="7">
        <v>50000</v>
      </c>
      <c r="J13" s="14">
        <v>4765</v>
      </c>
      <c r="K13" s="15">
        <f>L13+2445+4101+2795+3910</f>
        <v>18016</v>
      </c>
      <c r="L13" s="15">
        <f>2312+2453</f>
        <v>4765</v>
      </c>
      <c r="M13" s="15">
        <f t="shared" si="1"/>
        <v>4765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0.63611111111111107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133</v>
      </c>
      <c r="D14" s="52" t="s">
        <v>117</v>
      </c>
      <c r="E14" s="53" t="s">
        <v>267</v>
      </c>
      <c r="F14" s="30" t="s">
        <v>121</v>
      </c>
      <c r="G14" s="33">
        <v>2</v>
      </c>
      <c r="H14" s="35">
        <v>24</v>
      </c>
      <c r="I14" s="7">
        <v>10000</v>
      </c>
      <c r="J14" s="14">
        <v>8590</v>
      </c>
      <c r="K14" s="15">
        <f>L14</f>
        <v>8590</v>
      </c>
      <c r="L14" s="15">
        <f>1465*2+2830*2</f>
        <v>8590</v>
      </c>
      <c r="M14" s="15">
        <f t="shared" si="1"/>
        <v>8590</v>
      </c>
      <c r="N14" s="15">
        <v>0</v>
      </c>
      <c r="O14" s="58">
        <f t="shared" si="2"/>
        <v>0</v>
      </c>
      <c r="P14" s="39">
        <f t="shared" si="3"/>
        <v>20</v>
      </c>
      <c r="Q14" s="40">
        <f t="shared" si="4"/>
        <v>4</v>
      </c>
      <c r="R14" s="7"/>
      <c r="S14" s="6">
        <v>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0.83333333333333337</v>
      </c>
      <c r="AD14" s="10">
        <f t="shared" si="7"/>
        <v>0.83333333333333337</v>
      </c>
      <c r="AE14" s="36">
        <f t="shared" si="8"/>
        <v>0.63611111111111107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196</v>
      </c>
      <c r="E15" s="53" t="s">
        <v>189</v>
      </c>
      <c r="F15" s="30" t="s">
        <v>197</v>
      </c>
      <c r="G15" s="12">
        <v>1</v>
      </c>
      <c r="H15" s="13">
        <v>28</v>
      </c>
      <c r="I15" s="7">
        <v>2000</v>
      </c>
      <c r="J15" s="5">
        <v>1045</v>
      </c>
      <c r="K15" s="15">
        <f>L15+620+500+1045</f>
        <v>2165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0.63611111111111107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114</v>
      </c>
      <c r="D16" s="52" t="s">
        <v>125</v>
      </c>
      <c r="E16" s="53" t="s">
        <v>499</v>
      </c>
      <c r="F16" s="12" t="s">
        <v>527</v>
      </c>
      <c r="G16" s="12">
        <v>1</v>
      </c>
      <c r="H16" s="13">
        <v>24</v>
      </c>
      <c r="I16" s="31">
        <v>600</v>
      </c>
      <c r="J16" s="14">
        <v>710</v>
      </c>
      <c r="K16" s="15">
        <f>L16+710</f>
        <v>710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0.63611111111111107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124</v>
      </c>
      <c r="D17" s="52" t="s">
        <v>128</v>
      </c>
      <c r="E17" s="53" t="s">
        <v>534</v>
      </c>
      <c r="F17" s="30" t="s">
        <v>129</v>
      </c>
      <c r="G17" s="12">
        <v>1</v>
      </c>
      <c r="H17" s="13">
        <v>28</v>
      </c>
      <c r="I17" s="7">
        <v>36000</v>
      </c>
      <c r="J17" s="14">
        <v>5002</v>
      </c>
      <c r="K17" s="15">
        <f>L17+2340</f>
        <v>7342</v>
      </c>
      <c r="L17" s="15">
        <f>2375+2627</f>
        <v>5002</v>
      </c>
      <c r="M17" s="15">
        <f t="shared" si="1"/>
        <v>5002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0.63611111111111107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124</v>
      </c>
      <c r="D18" s="52" t="s">
        <v>171</v>
      </c>
      <c r="E18" s="53" t="s">
        <v>172</v>
      </c>
      <c r="F18" s="30" t="s">
        <v>151</v>
      </c>
      <c r="G18" s="33">
        <v>1</v>
      </c>
      <c r="H18" s="35">
        <v>20</v>
      </c>
      <c r="I18" s="7">
        <v>20000</v>
      </c>
      <c r="J18" s="14">
        <v>5181</v>
      </c>
      <c r="K18" s="15">
        <f>L18</f>
        <v>5181</v>
      </c>
      <c r="L18" s="15">
        <f>2784+2397</f>
        <v>5181</v>
      </c>
      <c r="M18" s="15">
        <f t="shared" si="1"/>
        <v>5181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0.63611111111111107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117</v>
      </c>
      <c r="E19" s="53" t="s">
        <v>550</v>
      </c>
      <c r="F19" s="30" t="s">
        <v>123</v>
      </c>
      <c r="G19" s="33">
        <v>1</v>
      </c>
      <c r="H19" s="35">
        <v>24</v>
      </c>
      <c r="I19" s="7">
        <v>250</v>
      </c>
      <c r="J19" s="5">
        <v>366</v>
      </c>
      <c r="K19" s="15">
        <f>L19</f>
        <v>366</v>
      </c>
      <c r="L19" s="15">
        <v>366</v>
      </c>
      <c r="M19" s="15">
        <f t="shared" ref="M19" si="19">L19-N19</f>
        <v>366</v>
      </c>
      <c r="N19" s="15">
        <v>0</v>
      </c>
      <c r="O19" s="58">
        <f t="shared" ref="O19" si="20">IF(L19=0,"0",N19/L19)</f>
        <v>0</v>
      </c>
      <c r="P19" s="39">
        <f t="shared" ref="P19" si="21">IF(L19=0,"0",(24-Q19))</f>
        <v>7</v>
      </c>
      <c r="Q19" s="40">
        <f t="shared" ref="Q19" si="22">SUM(R19:AA19)</f>
        <v>17</v>
      </c>
      <c r="R19" s="7"/>
      <c r="S19" s="6"/>
      <c r="T19" s="16"/>
      <c r="U19" s="16"/>
      <c r="V19" s="17"/>
      <c r="W19" s="5">
        <v>17</v>
      </c>
      <c r="X19" s="16"/>
      <c r="Y19" s="16"/>
      <c r="Z19" s="16"/>
      <c r="AA19" s="18"/>
      <c r="AB19" s="8">
        <f t="shared" ref="AB19" si="23">IF(J19=0,"0",(L19/J19))</f>
        <v>1</v>
      </c>
      <c r="AC19" s="9">
        <f t="shared" ref="AC19" si="24">IF(P19=0,"0",(P19/24))</f>
        <v>0.29166666666666669</v>
      </c>
      <c r="AD19" s="10">
        <f>AC19*AB19*(1-O19)</f>
        <v>0.29166666666666669</v>
      </c>
      <c r="AE19" s="36">
        <f t="shared" si="8"/>
        <v>0.63611111111111107</v>
      </c>
      <c r="AF19" s="87">
        <f t="shared" ref="AF19" si="25">A19</f>
        <v>13</v>
      </c>
    </row>
    <row r="20" spans="1:32" ht="27" customHeight="1">
      <c r="A20" s="103">
        <v>13</v>
      </c>
      <c r="B20" s="11" t="s">
        <v>57</v>
      </c>
      <c r="C20" s="34" t="s">
        <v>124</v>
      </c>
      <c r="D20" s="52" t="s">
        <v>117</v>
      </c>
      <c r="E20" s="53" t="s">
        <v>318</v>
      </c>
      <c r="F20" s="30" t="s">
        <v>212</v>
      </c>
      <c r="G20" s="33">
        <v>1</v>
      </c>
      <c r="H20" s="35">
        <v>24</v>
      </c>
      <c r="I20" s="7">
        <v>20000</v>
      </c>
      <c r="J20" s="5">
        <v>2947</v>
      </c>
      <c r="K20" s="15">
        <f>L20</f>
        <v>2947</v>
      </c>
      <c r="L20" s="15">
        <f>289+2658</f>
        <v>2947</v>
      </c>
      <c r="M20" s="15">
        <f t="shared" si="1"/>
        <v>2947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>
        <v>10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>AC20*AB20*(1-O20)</f>
        <v>0.58333333333333337</v>
      </c>
      <c r="AE20" s="36">
        <f t="shared" si="8"/>
        <v>0.63611111111111107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122</v>
      </c>
      <c r="E21" s="53" t="s">
        <v>424</v>
      </c>
      <c r="F21" s="30" t="s">
        <v>212</v>
      </c>
      <c r="G21" s="33">
        <v>1</v>
      </c>
      <c r="H21" s="35">
        <v>24</v>
      </c>
      <c r="I21" s="7">
        <v>50000</v>
      </c>
      <c r="J21" s="14">
        <v>4999</v>
      </c>
      <c r="K21" s="15">
        <f>L21+2211+5670+2303+5334+5532+5564+5570</f>
        <v>37183</v>
      </c>
      <c r="L21" s="15">
        <f>2287+2712</f>
        <v>4999</v>
      </c>
      <c r="M21" s="15">
        <f t="shared" si="1"/>
        <v>4999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 t="shared" ref="AD21:AD22" si="26">AC21*AB21*(1-O21)</f>
        <v>1</v>
      </c>
      <c r="AE21" s="36">
        <f t="shared" si="8"/>
        <v>0.63611111111111107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545</v>
      </c>
      <c r="F22" s="12" t="s">
        <v>116</v>
      </c>
      <c r="G22" s="12">
        <v>4</v>
      </c>
      <c r="H22" s="35">
        <v>20</v>
      </c>
      <c r="I22" s="7">
        <v>200000</v>
      </c>
      <c r="J22" s="14">
        <v>44720</v>
      </c>
      <c r="K22" s="15">
        <f>L22+43632</f>
        <v>88352</v>
      </c>
      <c r="L22" s="15">
        <f>11180*4</f>
        <v>44720</v>
      </c>
      <c r="M22" s="15">
        <f t="shared" si="1"/>
        <v>44720</v>
      </c>
      <c r="N22" s="15">
        <v>0</v>
      </c>
      <c r="O22" s="58">
        <f t="shared" si="2"/>
        <v>0</v>
      </c>
      <c r="P22" s="39">
        <f t="shared" si="3"/>
        <v>14</v>
      </c>
      <c r="Q22" s="40">
        <f t="shared" si="4"/>
        <v>10</v>
      </c>
      <c r="R22" s="7"/>
      <c r="S22" s="6"/>
      <c r="T22" s="16"/>
      <c r="U22" s="16"/>
      <c r="V22" s="17">
        <v>10</v>
      </c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0.58333333333333337</v>
      </c>
      <c r="AD22" s="10">
        <f t="shared" si="26"/>
        <v>0.58333333333333337</v>
      </c>
      <c r="AE22" s="36">
        <f t="shared" si="8"/>
        <v>0.63611111111111107</v>
      </c>
      <c r="AF22" s="87">
        <f t="shared" si="9"/>
        <v>15</v>
      </c>
    </row>
    <row r="23" spans="1:32" ht="31.5" customHeight="1" thickBot="1">
      <c r="A23" s="437" t="s">
        <v>34</v>
      </c>
      <c r="B23" s="438"/>
      <c r="C23" s="438"/>
      <c r="D23" s="438"/>
      <c r="E23" s="438"/>
      <c r="F23" s="438"/>
      <c r="G23" s="438"/>
      <c r="H23" s="439"/>
      <c r="I23" s="22">
        <f t="shared" ref="I23:N23" si="27">SUM(I6:I22)</f>
        <v>544850</v>
      </c>
      <c r="J23" s="19">
        <f t="shared" si="27"/>
        <v>104437</v>
      </c>
      <c r="K23" s="20">
        <f t="shared" si="27"/>
        <v>279631</v>
      </c>
      <c r="L23" s="21">
        <f t="shared" si="27"/>
        <v>100621</v>
      </c>
      <c r="M23" s="20">
        <f t="shared" si="27"/>
        <v>100621</v>
      </c>
      <c r="N23" s="21">
        <f t="shared" si="27"/>
        <v>0</v>
      </c>
      <c r="O23" s="41">
        <f t="shared" si="2"/>
        <v>0</v>
      </c>
      <c r="P23" s="42">
        <f t="shared" ref="P23:AA23" si="28">SUM(P6:P22)</f>
        <v>229</v>
      </c>
      <c r="Q23" s="43">
        <f t="shared" si="28"/>
        <v>179</v>
      </c>
      <c r="R23" s="23">
        <f t="shared" si="28"/>
        <v>24</v>
      </c>
      <c r="S23" s="24">
        <f t="shared" si="28"/>
        <v>25</v>
      </c>
      <c r="T23" s="24">
        <f t="shared" si="28"/>
        <v>6</v>
      </c>
      <c r="U23" s="24">
        <f t="shared" si="28"/>
        <v>0</v>
      </c>
      <c r="V23" s="25">
        <f t="shared" si="28"/>
        <v>34</v>
      </c>
      <c r="W23" s="26">
        <f t="shared" si="28"/>
        <v>90</v>
      </c>
      <c r="X23" s="27">
        <f t="shared" si="28"/>
        <v>0</v>
      </c>
      <c r="Y23" s="27">
        <f t="shared" si="28"/>
        <v>0</v>
      </c>
      <c r="Z23" s="27">
        <f t="shared" si="28"/>
        <v>0</v>
      </c>
      <c r="AA23" s="27">
        <f t="shared" si="28"/>
        <v>0</v>
      </c>
      <c r="AB23" s="28">
        <f>SUM(AB6:AB22)/15</f>
        <v>0.8666666666666667</v>
      </c>
      <c r="AC23" s="4">
        <f>SUM(AC6:AC22)/15</f>
        <v>0.63611111111111107</v>
      </c>
      <c r="AD23" s="4">
        <f>SUM(AD6:AD22)/15</f>
        <v>0.63611111111111107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0" t="s">
        <v>45</v>
      </c>
      <c r="B50" s="440"/>
      <c r="C50" s="440"/>
      <c r="D50" s="440"/>
      <c r="E50" s="440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1" t="s">
        <v>558</v>
      </c>
      <c r="B51" s="442"/>
      <c r="C51" s="442"/>
      <c r="D51" s="442"/>
      <c r="E51" s="442"/>
      <c r="F51" s="442"/>
      <c r="G51" s="442"/>
      <c r="H51" s="442"/>
      <c r="I51" s="442"/>
      <c r="J51" s="442"/>
      <c r="K51" s="442"/>
      <c r="L51" s="442"/>
      <c r="M51" s="443"/>
      <c r="N51" s="444" t="s">
        <v>559</v>
      </c>
      <c r="O51" s="445"/>
      <c r="P51" s="445"/>
      <c r="Q51" s="445"/>
      <c r="R51" s="445"/>
      <c r="S51" s="445"/>
      <c r="T51" s="445"/>
      <c r="U51" s="445"/>
      <c r="V51" s="445"/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7" t="s">
        <v>2</v>
      </c>
      <c r="B52" s="448"/>
      <c r="C52" s="327" t="s">
        <v>46</v>
      </c>
      <c r="D52" s="327" t="s">
        <v>47</v>
      </c>
      <c r="E52" s="327" t="s">
        <v>108</v>
      </c>
      <c r="F52" s="448" t="s">
        <v>107</v>
      </c>
      <c r="G52" s="448"/>
      <c r="H52" s="448"/>
      <c r="I52" s="448"/>
      <c r="J52" s="448"/>
      <c r="K52" s="448"/>
      <c r="L52" s="448"/>
      <c r="M52" s="449"/>
      <c r="N52" s="67" t="s">
        <v>112</v>
      </c>
      <c r="O52" s="327" t="s">
        <v>46</v>
      </c>
      <c r="P52" s="450" t="s">
        <v>47</v>
      </c>
      <c r="Q52" s="451"/>
      <c r="R52" s="450" t="s">
        <v>38</v>
      </c>
      <c r="S52" s="452"/>
      <c r="T52" s="452"/>
      <c r="U52" s="451"/>
      <c r="V52" s="450" t="s">
        <v>48</v>
      </c>
      <c r="W52" s="452"/>
      <c r="X52" s="452"/>
      <c r="Y52" s="452"/>
      <c r="Z52" s="452"/>
      <c r="AA52" s="452"/>
      <c r="AB52" s="452"/>
      <c r="AC52" s="452"/>
      <c r="AD52" s="453"/>
    </row>
    <row r="53" spans="1:32" ht="27" customHeight="1">
      <c r="A53" s="419" t="s">
        <v>124</v>
      </c>
      <c r="B53" s="420"/>
      <c r="C53" s="329" t="s">
        <v>184</v>
      </c>
      <c r="D53" s="329" t="s">
        <v>148</v>
      </c>
      <c r="E53" s="329" t="s">
        <v>191</v>
      </c>
      <c r="F53" s="421" t="s">
        <v>274</v>
      </c>
      <c r="G53" s="422"/>
      <c r="H53" s="422"/>
      <c r="I53" s="422"/>
      <c r="J53" s="422"/>
      <c r="K53" s="422"/>
      <c r="L53" s="422"/>
      <c r="M53" s="423"/>
      <c r="N53" s="328" t="s">
        <v>124</v>
      </c>
      <c r="O53" s="333" t="s">
        <v>184</v>
      </c>
      <c r="P53" s="433" t="s">
        <v>148</v>
      </c>
      <c r="Q53" s="434"/>
      <c r="R53" s="420" t="s">
        <v>191</v>
      </c>
      <c r="S53" s="420"/>
      <c r="T53" s="420"/>
      <c r="U53" s="420"/>
      <c r="V53" s="410" t="s">
        <v>126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329" t="s">
        <v>136</v>
      </c>
      <c r="D54" s="329" t="s">
        <v>122</v>
      </c>
      <c r="E54" s="329" t="s">
        <v>557</v>
      </c>
      <c r="F54" s="421" t="s">
        <v>120</v>
      </c>
      <c r="G54" s="422"/>
      <c r="H54" s="422"/>
      <c r="I54" s="422"/>
      <c r="J54" s="422"/>
      <c r="K54" s="422"/>
      <c r="L54" s="422"/>
      <c r="M54" s="423"/>
      <c r="N54" s="328" t="s">
        <v>324</v>
      </c>
      <c r="O54" s="333" t="s">
        <v>131</v>
      </c>
      <c r="P54" s="433"/>
      <c r="Q54" s="434"/>
      <c r="R54" s="420" t="s">
        <v>400</v>
      </c>
      <c r="S54" s="420"/>
      <c r="T54" s="420"/>
      <c r="U54" s="420"/>
      <c r="V54" s="410" t="s">
        <v>126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124</v>
      </c>
      <c r="B55" s="420"/>
      <c r="C55" s="329" t="s">
        <v>200</v>
      </c>
      <c r="D55" s="329" t="s">
        <v>122</v>
      </c>
      <c r="E55" s="329" t="s">
        <v>548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328" t="s">
        <v>324</v>
      </c>
      <c r="O55" s="333" t="s">
        <v>131</v>
      </c>
      <c r="P55" s="433"/>
      <c r="Q55" s="434"/>
      <c r="R55" s="420" t="s">
        <v>560</v>
      </c>
      <c r="S55" s="420"/>
      <c r="T55" s="420"/>
      <c r="U55" s="420"/>
      <c r="V55" s="410" t="s">
        <v>120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133</v>
      </c>
      <c r="B56" s="420"/>
      <c r="C56" s="329" t="s">
        <v>143</v>
      </c>
      <c r="D56" s="329" t="s">
        <v>117</v>
      </c>
      <c r="E56" s="329" t="s">
        <v>549</v>
      </c>
      <c r="F56" s="421" t="s">
        <v>203</v>
      </c>
      <c r="G56" s="422"/>
      <c r="H56" s="422"/>
      <c r="I56" s="422"/>
      <c r="J56" s="422"/>
      <c r="K56" s="422"/>
      <c r="L56" s="422"/>
      <c r="M56" s="423"/>
      <c r="N56" s="328" t="s">
        <v>324</v>
      </c>
      <c r="O56" s="333" t="s">
        <v>131</v>
      </c>
      <c r="P56" s="433"/>
      <c r="Q56" s="434"/>
      <c r="R56" s="433" t="s">
        <v>561</v>
      </c>
      <c r="S56" s="476"/>
      <c r="T56" s="476"/>
      <c r="U56" s="434"/>
      <c r="V56" s="410" t="s">
        <v>120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124</v>
      </c>
      <c r="B57" s="420"/>
      <c r="C57" s="329" t="s">
        <v>135</v>
      </c>
      <c r="D57" s="329" t="s">
        <v>171</v>
      </c>
      <c r="E57" s="329" t="s">
        <v>172</v>
      </c>
      <c r="F57" s="421" t="s">
        <v>120</v>
      </c>
      <c r="G57" s="422"/>
      <c r="H57" s="422"/>
      <c r="I57" s="422"/>
      <c r="J57" s="422"/>
      <c r="K57" s="422"/>
      <c r="L57" s="422"/>
      <c r="M57" s="423"/>
      <c r="N57" s="328" t="s">
        <v>124</v>
      </c>
      <c r="O57" s="333" t="s">
        <v>145</v>
      </c>
      <c r="P57" s="433" t="s">
        <v>117</v>
      </c>
      <c r="Q57" s="434"/>
      <c r="R57" s="420" t="s">
        <v>562</v>
      </c>
      <c r="S57" s="420"/>
      <c r="T57" s="420"/>
      <c r="U57" s="420"/>
      <c r="V57" s="410" t="s">
        <v>120</v>
      </c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124</v>
      </c>
      <c r="B58" s="420"/>
      <c r="C58" s="329" t="s">
        <v>180</v>
      </c>
      <c r="D58" s="329" t="s">
        <v>117</v>
      </c>
      <c r="E58" s="329" t="s">
        <v>318</v>
      </c>
      <c r="F58" s="421" t="s">
        <v>120</v>
      </c>
      <c r="G58" s="422"/>
      <c r="H58" s="422"/>
      <c r="I58" s="422"/>
      <c r="J58" s="422"/>
      <c r="K58" s="422"/>
      <c r="L58" s="422"/>
      <c r="M58" s="423"/>
      <c r="N58" s="328" t="s">
        <v>324</v>
      </c>
      <c r="O58" s="333" t="s">
        <v>243</v>
      </c>
      <c r="P58" s="433"/>
      <c r="Q58" s="434"/>
      <c r="R58" s="420" t="s">
        <v>374</v>
      </c>
      <c r="S58" s="420"/>
      <c r="T58" s="420"/>
      <c r="U58" s="420"/>
      <c r="V58" s="410" t="s">
        <v>120</v>
      </c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 t="s">
        <v>114</v>
      </c>
      <c r="B59" s="420"/>
      <c r="C59" s="329" t="s">
        <v>180</v>
      </c>
      <c r="D59" s="329" t="s">
        <v>117</v>
      </c>
      <c r="E59" s="329" t="s">
        <v>550</v>
      </c>
      <c r="F59" s="421" t="s">
        <v>120</v>
      </c>
      <c r="G59" s="422"/>
      <c r="H59" s="422"/>
      <c r="I59" s="422"/>
      <c r="J59" s="422"/>
      <c r="K59" s="422"/>
      <c r="L59" s="422"/>
      <c r="M59" s="423"/>
      <c r="N59" s="328"/>
      <c r="O59" s="333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329"/>
      <c r="D60" s="329"/>
      <c r="E60" s="329"/>
      <c r="F60" s="421"/>
      <c r="G60" s="422"/>
      <c r="H60" s="422"/>
      <c r="I60" s="422"/>
      <c r="J60" s="422"/>
      <c r="K60" s="422"/>
      <c r="L60" s="422"/>
      <c r="M60" s="423"/>
      <c r="N60" s="328"/>
      <c r="O60" s="333"/>
      <c r="P60" s="433"/>
      <c r="Q60" s="434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/>
      <c r="B61" s="420"/>
      <c r="C61" s="329"/>
      <c r="D61" s="329"/>
      <c r="E61" s="329"/>
      <c r="F61" s="421"/>
      <c r="G61" s="422"/>
      <c r="H61" s="422"/>
      <c r="I61" s="422"/>
      <c r="J61" s="422"/>
      <c r="K61" s="422"/>
      <c r="L61" s="422"/>
      <c r="M61" s="423"/>
      <c r="N61" s="328"/>
      <c r="O61" s="333"/>
      <c r="P61" s="420"/>
      <c r="Q61" s="420"/>
      <c r="R61" s="420"/>
      <c r="S61" s="420"/>
      <c r="T61" s="420"/>
      <c r="U61" s="420"/>
      <c r="V61" s="410"/>
      <c r="W61" s="410"/>
      <c r="X61" s="410"/>
      <c r="Y61" s="410"/>
      <c r="Z61" s="410"/>
      <c r="AA61" s="410"/>
      <c r="AB61" s="410"/>
      <c r="AC61" s="410"/>
      <c r="AD61" s="424"/>
      <c r="AF61" s="87">
        <f>8*3000</f>
        <v>24000</v>
      </c>
    </row>
    <row r="62" spans="1:32" ht="27" customHeight="1" thickBot="1">
      <c r="A62" s="425"/>
      <c r="B62" s="426"/>
      <c r="C62" s="330"/>
      <c r="D62" s="330"/>
      <c r="E62" s="330"/>
      <c r="F62" s="427"/>
      <c r="G62" s="428"/>
      <c r="H62" s="428"/>
      <c r="I62" s="428"/>
      <c r="J62" s="428"/>
      <c r="K62" s="428"/>
      <c r="L62" s="428"/>
      <c r="M62" s="429"/>
      <c r="N62" s="124"/>
      <c r="O62" s="114"/>
      <c r="P62" s="430"/>
      <c r="Q62" s="430"/>
      <c r="R62" s="430"/>
      <c r="S62" s="430"/>
      <c r="T62" s="430"/>
      <c r="U62" s="430"/>
      <c r="V62" s="431"/>
      <c r="W62" s="431"/>
      <c r="X62" s="431"/>
      <c r="Y62" s="431"/>
      <c r="Z62" s="431"/>
      <c r="AA62" s="431"/>
      <c r="AB62" s="431"/>
      <c r="AC62" s="431"/>
      <c r="AD62" s="432"/>
      <c r="AF62" s="87">
        <f>16*3000</f>
        <v>48000</v>
      </c>
    </row>
    <row r="63" spans="1:32" ht="27.75" thickBot="1">
      <c r="A63" s="417" t="s">
        <v>563</v>
      </c>
      <c r="B63" s="417"/>
      <c r="C63" s="417"/>
      <c r="D63" s="417"/>
      <c r="E63" s="417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18" t="s">
        <v>113</v>
      </c>
      <c r="B64" s="415"/>
      <c r="C64" s="331" t="s">
        <v>2</v>
      </c>
      <c r="D64" s="331" t="s">
        <v>37</v>
      </c>
      <c r="E64" s="331" t="s">
        <v>3</v>
      </c>
      <c r="F64" s="415" t="s">
        <v>110</v>
      </c>
      <c r="G64" s="415"/>
      <c r="H64" s="415"/>
      <c r="I64" s="415"/>
      <c r="J64" s="415"/>
      <c r="K64" s="415" t="s">
        <v>39</v>
      </c>
      <c r="L64" s="415"/>
      <c r="M64" s="331" t="s">
        <v>40</v>
      </c>
      <c r="N64" s="415" t="s">
        <v>41</v>
      </c>
      <c r="O64" s="415"/>
      <c r="P64" s="412" t="s">
        <v>42</v>
      </c>
      <c r="Q64" s="414"/>
      <c r="R64" s="412" t="s">
        <v>43</v>
      </c>
      <c r="S64" s="413"/>
      <c r="T64" s="413"/>
      <c r="U64" s="413"/>
      <c r="V64" s="413"/>
      <c r="W64" s="413"/>
      <c r="X64" s="413"/>
      <c r="Y64" s="413"/>
      <c r="Z64" s="413"/>
      <c r="AA64" s="414"/>
      <c r="AB64" s="415" t="s">
        <v>44</v>
      </c>
      <c r="AC64" s="415"/>
      <c r="AD64" s="416"/>
      <c r="AF64" s="87">
        <f>SUM(AF61:AF63)</f>
        <v>96000</v>
      </c>
    </row>
    <row r="65" spans="1:32" ht="25.5" customHeight="1">
      <c r="A65" s="406">
        <v>1</v>
      </c>
      <c r="B65" s="407"/>
      <c r="C65" s="117"/>
      <c r="D65" s="335"/>
      <c r="E65" s="332"/>
      <c r="F65" s="408"/>
      <c r="G65" s="400"/>
      <c r="H65" s="400"/>
      <c r="I65" s="400"/>
      <c r="J65" s="400"/>
      <c r="K65" s="400"/>
      <c r="L65" s="400"/>
      <c r="M65" s="51"/>
      <c r="N65" s="411"/>
      <c r="O65" s="411"/>
      <c r="P65" s="409"/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2</v>
      </c>
      <c r="B66" s="407"/>
      <c r="C66" s="117"/>
      <c r="D66" s="335"/>
      <c r="E66" s="332"/>
      <c r="F66" s="408"/>
      <c r="G66" s="400"/>
      <c r="H66" s="400"/>
      <c r="I66" s="400"/>
      <c r="J66" s="400"/>
      <c r="K66" s="400"/>
      <c r="L66" s="400"/>
      <c r="M66" s="51"/>
      <c r="N66" s="411"/>
      <c r="O66" s="411"/>
      <c r="P66" s="409"/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3</v>
      </c>
      <c r="B67" s="407"/>
      <c r="C67" s="117"/>
      <c r="D67" s="335"/>
      <c r="E67" s="332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4</v>
      </c>
      <c r="B68" s="407"/>
      <c r="C68" s="117"/>
      <c r="D68" s="335"/>
      <c r="E68" s="332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5</v>
      </c>
      <c r="B69" s="407"/>
      <c r="C69" s="117"/>
      <c r="D69" s="335"/>
      <c r="E69" s="332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6</v>
      </c>
      <c r="B70" s="407"/>
      <c r="C70" s="117"/>
      <c r="D70" s="335"/>
      <c r="E70" s="332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7</v>
      </c>
      <c r="B71" s="407"/>
      <c r="C71" s="117"/>
      <c r="D71" s="335"/>
      <c r="E71" s="332"/>
      <c r="F71" s="408"/>
      <c r="G71" s="400"/>
      <c r="H71" s="400"/>
      <c r="I71" s="400"/>
      <c r="J71" s="400"/>
      <c r="K71" s="400"/>
      <c r="L71" s="400"/>
      <c r="M71" s="51"/>
      <c r="N71" s="411"/>
      <c r="O71" s="411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8</v>
      </c>
      <c r="B72" s="407"/>
      <c r="C72" s="117"/>
      <c r="D72" s="335"/>
      <c r="E72" s="332"/>
      <c r="F72" s="408"/>
      <c r="G72" s="400"/>
      <c r="H72" s="400"/>
      <c r="I72" s="400"/>
      <c r="J72" s="400"/>
      <c r="K72" s="400"/>
      <c r="L72" s="400"/>
      <c r="M72" s="51"/>
      <c r="N72" s="400"/>
      <c r="O72" s="400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6.25" customHeight="1" thickBot="1">
      <c r="A73" s="380" t="s">
        <v>564</v>
      </c>
      <c r="B73" s="380"/>
      <c r="C73" s="380"/>
      <c r="D73" s="380"/>
      <c r="E73" s="380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381" t="s">
        <v>113</v>
      </c>
      <c r="B74" s="382"/>
      <c r="C74" s="334" t="s">
        <v>2</v>
      </c>
      <c r="D74" s="334" t="s">
        <v>37</v>
      </c>
      <c r="E74" s="334" t="s">
        <v>3</v>
      </c>
      <c r="F74" s="382" t="s">
        <v>38</v>
      </c>
      <c r="G74" s="382"/>
      <c r="H74" s="382"/>
      <c r="I74" s="382"/>
      <c r="J74" s="382"/>
      <c r="K74" s="402" t="s">
        <v>58</v>
      </c>
      <c r="L74" s="403"/>
      <c r="M74" s="403"/>
      <c r="N74" s="403"/>
      <c r="O74" s="403"/>
      <c r="P74" s="403"/>
      <c r="Q74" s="403"/>
      <c r="R74" s="403"/>
      <c r="S74" s="404"/>
      <c r="T74" s="382" t="s">
        <v>49</v>
      </c>
      <c r="U74" s="382"/>
      <c r="V74" s="402" t="s">
        <v>50</v>
      </c>
      <c r="W74" s="404"/>
      <c r="X74" s="403" t="s">
        <v>51</v>
      </c>
      <c r="Y74" s="403"/>
      <c r="Z74" s="403"/>
      <c r="AA74" s="403"/>
      <c r="AB74" s="403"/>
      <c r="AC74" s="403"/>
      <c r="AD74" s="405"/>
      <c r="AF74" s="50"/>
    </row>
    <row r="75" spans="1:32" ht="33.75" customHeight="1">
      <c r="A75" s="374">
        <v>1</v>
      </c>
      <c r="B75" s="375"/>
      <c r="C75" s="336" t="s">
        <v>114</v>
      </c>
      <c r="D75" s="336"/>
      <c r="E75" s="65" t="s">
        <v>119</v>
      </c>
      <c r="F75" s="389" t="s">
        <v>118</v>
      </c>
      <c r="G75" s="390"/>
      <c r="H75" s="390"/>
      <c r="I75" s="390"/>
      <c r="J75" s="391"/>
      <c r="K75" s="392" t="s">
        <v>137</v>
      </c>
      <c r="L75" s="393"/>
      <c r="M75" s="393"/>
      <c r="N75" s="393"/>
      <c r="O75" s="393"/>
      <c r="P75" s="393"/>
      <c r="Q75" s="393"/>
      <c r="R75" s="393"/>
      <c r="S75" s="394"/>
      <c r="T75" s="395">
        <v>43675</v>
      </c>
      <c r="U75" s="396"/>
      <c r="V75" s="397"/>
      <c r="W75" s="397"/>
      <c r="X75" s="398"/>
      <c r="Y75" s="398"/>
      <c r="Z75" s="398"/>
      <c r="AA75" s="398"/>
      <c r="AB75" s="398"/>
      <c r="AC75" s="398"/>
      <c r="AD75" s="399"/>
      <c r="AF75" s="50"/>
    </row>
    <row r="76" spans="1:32" ht="30" customHeight="1">
      <c r="A76" s="367">
        <f>A75+1</f>
        <v>2</v>
      </c>
      <c r="B76" s="368"/>
      <c r="C76" s="335"/>
      <c r="D76" s="335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ref="A77:A83" si="29">A76+1</f>
        <v>3</v>
      </c>
      <c r="B77" s="368"/>
      <c r="C77" s="335"/>
      <c r="D77" s="335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29"/>
        <v>4</v>
      </c>
      <c r="B78" s="368"/>
      <c r="C78" s="335"/>
      <c r="D78" s="335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29"/>
        <v>5</v>
      </c>
      <c r="B79" s="368"/>
      <c r="C79" s="335"/>
      <c r="D79" s="335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29"/>
        <v>6</v>
      </c>
      <c r="B80" s="368"/>
      <c r="C80" s="335"/>
      <c r="D80" s="335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29"/>
        <v>7</v>
      </c>
      <c r="B81" s="368"/>
      <c r="C81" s="335"/>
      <c r="D81" s="335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29"/>
        <v>8</v>
      </c>
      <c r="B82" s="368"/>
      <c r="C82" s="335"/>
      <c r="D82" s="335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29"/>
        <v>9</v>
      </c>
      <c r="B83" s="368"/>
      <c r="C83" s="335"/>
      <c r="D83" s="335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6" thickBot="1">
      <c r="A84" s="380" t="s">
        <v>565</v>
      </c>
      <c r="B84" s="380"/>
      <c r="C84" s="380"/>
      <c r="D84" s="380"/>
      <c r="E84" s="380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381" t="s">
        <v>113</v>
      </c>
      <c r="B85" s="382"/>
      <c r="C85" s="372" t="s">
        <v>52</v>
      </c>
      <c r="D85" s="372"/>
      <c r="E85" s="372" t="s">
        <v>53</v>
      </c>
      <c r="F85" s="372"/>
      <c r="G85" s="372"/>
      <c r="H85" s="372"/>
      <c r="I85" s="372"/>
      <c r="J85" s="372"/>
      <c r="K85" s="372" t="s">
        <v>54</v>
      </c>
      <c r="L85" s="372"/>
      <c r="M85" s="372"/>
      <c r="N85" s="372"/>
      <c r="O85" s="372"/>
      <c r="P85" s="372"/>
      <c r="Q85" s="372"/>
      <c r="R85" s="372"/>
      <c r="S85" s="372"/>
      <c r="T85" s="372" t="s">
        <v>55</v>
      </c>
      <c r="U85" s="372"/>
      <c r="V85" s="372" t="s">
        <v>56</v>
      </c>
      <c r="W85" s="372"/>
      <c r="X85" s="372"/>
      <c r="Y85" s="372" t="s">
        <v>51</v>
      </c>
      <c r="Z85" s="372"/>
      <c r="AA85" s="372"/>
      <c r="AB85" s="372"/>
      <c r="AC85" s="372"/>
      <c r="AD85" s="373"/>
      <c r="AF85" s="50"/>
    </row>
    <row r="86" spans="1:32" ht="30.75" customHeight="1">
      <c r="A86" s="374">
        <v>1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7"/>
      <c r="W86" s="377"/>
      <c r="X86" s="377"/>
      <c r="Y86" s="378"/>
      <c r="Z86" s="378"/>
      <c r="AA86" s="378"/>
      <c r="AB86" s="378"/>
      <c r="AC86" s="378"/>
      <c r="AD86" s="379"/>
      <c r="AF86" s="50"/>
    </row>
    <row r="87" spans="1:32" ht="30.75" customHeight="1">
      <c r="A87" s="367">
        <v>2</v>
      </c>
      <c r="B87" s="368"/>
      <c r="C87" s="369"/>
      <c r="D87" s="369"/>
      <c r="E87" s="369"/>
      <c r="F87" s="369"/>
      <c r="G87" s="369"/>
      <c r="H87" s="369"/>
      <c r="I87" s="369"/>
      <c r="J87" s="369"/>
      <c r="K87" s="369"/>
      <c r="L87" s="369"/>
      <c r="M87" s="369"/>
      <c r="N87" s="369"/>
      <c r="O87" s="369"/>
      <c r="P87" s="369"/>
      <c r="Q87" s="369"/>
      <c r="R87" s="369"/>
      <c r="S87" s="369"/>
      <c r="T87" s="370"/>
      <c r="U87" s="370"/>
      <c r="V87" s="371"/>
      <c r="W87" s="371"/>
      <c r="X87" s="371"/>
      <c r="Y87" s="360"/>
      <c r="Z87" s="360"/>
      <c r="AA87" s="360"/>
      <c r="AB87" s="360"/>
      <c r="AC87" s="360"/>
      <c r="AD87" s="361"/>
      <c r="AF87" s="50"/>
    </row>
    <row r="88" spans="1:32" ht="30.75" customHeight="1" thickBot="1">
      <c r="A88" s="362">
        <v>3</v>
      </c>
      <c r="B88" s="363"/>
      <c r="C88" s="364"/>
      <c r="D88" s="364"/>
      <c r="E88" s="364"/>
      <c r="F88" s="36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64"/>
      <c r="R88" s="364"/>
      <c r="S88" s="364"/>
      <c r="T88" s="364"/>
      <c r="U88" s="364"/>
      <c r="V88" s="364"/>
      <c r="W88" s="364"/>
      <c r="X88" s="364"/>
      <c r="Y88" s="365"/>
      <c r="Z88" s="365"/>
      <c r="AA88" s="365"/>
      <c r="AB88" s="365"/>
      <c r="AC88" s="365"/>
      <c r="AD88" s="366"/>
      <c r="AF88" s="50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6BF7-2BE3-45D7-BBB3-53E11EA7EFE3}">
  <dimension ref="A1:AF89"/>
  <sheetViews>
    <sheetView zoomScale="72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566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347" t="s">
        <v>17</v>
      </c>
      <c r="L5" s="347" t="s">
        <v>18</v>
      </c>
      <c r="M5" s="347" t="s">
        <v>19</v>
      </c>
      <c r="N5" s="34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3" si="1">L6-N6</f>
        <v>0</v>
      </c>
      <c r="N6" s="15">
        <v>0</v>
      </c>
      <c r="O6" s="58" t="str">
        <f t="shared" ref="O6:O24" si="2">IF(L6=0,"0",N6/L6)</f>
        <v>0</v>
      </c>
      <c r="P6" s="39" t="str">
        <f t="shared" ref="P6:P23" si="3">IF(L6=0,"0",(24-Q6))</f>
        <v>0</v>
      </c>
      <c r="Q6" s="40">
        <f t="shared" ref="Q6:Q23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3" si="5">IF(J6=0,"0",(L6/J6))</f>
        <v>0</v>
      </c>
      <c r="AC6" s="9">
        <f t="shared" ref="AC6:AC23" si="6">IF(P6=0,"0",(P6/24))</f>
        <v>0</v>
      </c>
      <c r="AD6" s="10">
        <f t="shared" ref="AD6:AD20" si="7">AC6*AB6*(1-O6)</f>
        <v>0</v>
      </c>
      <c r="AE6" s="36">
        <f t="shared" ref="AE6:AE23" si="8">$AD$24</f>
        <v>0.61237382526975281</v>
      </c>
      <c r="AF6" s="87">
        <f t="shared" ref="AF6:AF23" si="9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0.61237382526975281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557</v>
      </c>
      <c r="F8" s="30" t="s">
        <v>123</v>
      </c>
      <c r="G8" s="33">
        <v>1</v>
      </c>
      <c r="H8" s="35">
        <v>24</v>
      </c>
      <c r="I8" s="7">
        <v>38000</v>
      </c>
      <c r="J8" s="14">
        <v>6474</v>
      </c>
      <c r="K8" s="15">
        <f>L8+6174</f>
        <v>12648</v>
      </c>
      <c r="L8" s="15">
        <f>3427+3047</f>
        <v>6474</v>
      </c>
      <c r="M8" s="15">
        <f t="shared" si="1"/>
        <v>6474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0.61237382526975281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3429</v>
      </c>
      <c r="K9" s="15">
        <f>L9+1593+1896+2807+1401+3459+1160+3830+650+1584+2358+4249+584+4731+3038+1149+1391+2345+2572+1276+2512</f>
        <v>48014</v>
      </c>
      <c r="L9" s="15">
        <f>1846+1583</f>
        <v>3429</v>
      </c>
      <c r="M9" s="15">
        <f t="shared" si="1"/>
        <v>3429</v>
      </c>
      <c r="N9" s="15">
        <v>0</v>
      </c>
      <c r="O9" s="58">
        <f t="shared" si="2"/>
        <v>0</v>
      </c>
      <c r="P9" s="39">
        <f t="shared" si="3"/>
        <v>19</v>
      </c>
      <c r="Q9" s="40">
        <f t="shared" si="4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0.79166666666666663</v>
      </c>
      <c r="AD9" s="10">
        <f t="shared" si="7"/>
        <v>0.79166666666666663</v>
      </c>
      <c r="AE9" s="36">
        <f t="shared" si="8"/>
        <v>0.61237382526975281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128</v>
      </c>
      <c r="E10" s="53" t="s">
        <v>335</v>
      </c>
      <c r="F10" s="30" t="s">
        <v>129</v>
      </c>
      <c r="G10" s="33">
        <v>1</v>
      </c>
      <c r="H10" s="35">
        <v>24</v>
      </c>
      <c r="I10" s="7">
        <v>1000</v>
      </c>
      <c r="J10" s="5">
        <v>5746</v>
      </c>
      <c r="K10" s="15">
        <f>L10</f>
        <v>1422</v>
      </c>
      <c r="L10" s="15">
        <f>1117+305</f>
        <v>1422</v>
      </c>
      <c r="M10" s="15">
        <f t="shared" si="1"/>
        <v>1422</v>
      </c>
      <c r="N10" s="15">
        <v>0</v>
      </c>
      <c r="O10" s="58">
        <f t="shared" si="2"/>
        <v>0</v>
      </c>
      <c r="P10" s="39">
        <f t="shared" si="3"/>
        <v>18</v>
      </c>
      <c r="Q10" s="40">
        <f t="shared" si="4"/>
        <v>6</v>
      </c>
      <c r="R10" s="7"/>
      <c r="S10" s="6"/>
      <c r="T10" s="16"/>
      <c r="U10" s="16"/>
      <c r="V10" s="17"/>
      <c r="W10" s="5">
        <v>6</v>
      </c>
      <c r="X10" s="16"/>
      <c r="Y10" s="16"/>
      <c r="Z10" s="16"/>
      <c r="AA10" s="18"/>
      <c r="AB10" s="8">
        <f t="shared" si="5"/>
        <v>0.24747650539505744</v>
      </c>
      <c r="AC10" s="9">
        <f t="shared" si="6"/>
        <v>0.75</v>
      </c>
      <c r="AD10" s="10">
        <f>AC10*AB10*(1-O10)</f>
        <v>0.1856073790462931</v>
      </c>
      <c r="AE10" s="36">
        <f t="shared" si="8"/>
        <v>0.61237382526975281</v>
      </c>
      <c r="AF10" s="87">
        <f t="shared" si="9"/>
        <v>5</v>
      </c>
    </row>
    <row r="11" spans="1:32" ht="27" customHeight="1">
      <c r="A11" s="103">
        <v>5</v>
      </c>
      <c r="B11" s="11" t="s">
        <v>57</v>
      </c>
      <c r="C11" s="34" t="s">
        <v>324</v>
      </c>
      <c r="D11" s="52"/>
      <c r="E11" s="53" t="s">
        <v>400</v>
      </c>
      <c r="F11" s="30" t="s">
        <v>326</v>
      </c>
      <c r="G11" s="33" t="s">
        <v>293</v>
      </c>
      <c r="H11" s="35">
        <v>24</v>
      </c>
      <c r="I11" s="7">
        <v>500</v>
      </c>
      <c r="J11" s="5">
        <v>648</v>
      </c>
      <c r="K11" s="15">
        <f t="shared" ref="K11:K13" si="10">L11</f>
        <v>648</v>
      </c>
      <c r="L11" s="15">
        <v>648</v>
      </c>
      <c r="M11" s="15">
        <f t="shared" ref="M11:M13" si="11">L11-N11</f>
        <v>648</v>
      </c>
      <c r="N11" s="15">
        <v>0</v>
      </c>
      <c r="O11" s="58">
        <f t="shared" ref="O11:O13" si="12">IF(L11=0,"0",N11/L11)</f>
        <v>0</v>
      </c>
      <c r="P11" s="39">
        <f t="shared" ref="P11:P13" si="13">IF(L11=0,"0",(24-Q11))</f>
        <v>4</v>
      </c>
      <c r="Q11" s="40">
        <f t="shared" ref="Q11:Q13" si="14">SUM(R11:AA11)</f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ref="AB11:AB13" si="15">IF(J11=0,"0",(L11/J11))</f>
        <v>1</v>
      </c>
      <c r="AC11" s="9">
        <f t="shared" ref="AC11:AC13" si="16">IF(P11=0,"0",(P11/24))</f>
        <v>0.16666666666666666</v>
      </c>
      <c r="AD11" s="10">
        <f t="shared" ref="AD11:AD13" si="17">AC11*AB11*(1-O11)</f>
        <v>0.16666666666666666</v>
      </c>
      <c r="AE11" s="36">
        <f t="shared" si="8"/>
        <v>0.61237382526975281</v>
      </c>
      <c r="AF11" s="87">
        <f t="shared" ref="AF11:AF13" si="18">A11</f>
        <v>5</v>
      </c>
    </row>
    <row r="12" spans="1:32" ht="27" customHeight="1">
      <c r="A12" s="103">
        <v>5</v>
      </c>
      <c r="B12" s="11" t="s">
        <v>57</v>
      </c>
      <c r="C12" s="34" t="s">
        <v>324</v>
      </c>
      <c r="D12" s="52"/>
      <c r="E12" s="53" t="s">
        <v>560</v>
      </c>
      <c r="F12" s="30" t="s">
        <v>144</v>
      </c>
      <c r="G12" s="33">
        <v>2</v>
      </c>
      <c r="H12" s="35">
        <v>24</v>
      </c>
      <c r="I12" s="7">
        <v>300</v>
      </c>
      <c r="J12" s="5">
        <v>430</v>
      </c>
      <c r="K12" s="15">
        <f t="shared" si="10"/>
        <v>430</v>
      </c>
      <c r="L12" s="15">
        <f>215*2</f>
        <v>430</v>
      </c>
      <c r="M12" s="15">
        <f t="shared" ref="M12" si="19">L12-N12</f>
        <v>430</v>
      </c>
      <c r="N12" s="15">
        <v>0</v>
      </c>
      <c r="O12" s="58">
        <f t="shared" ref="O12" si="20">IF(L12=0,"0",N12/L12)</f>
        <v>0</v>
      </c>
      <c r="P12" s="39">
        <f t="shared" ref="P12" si="21">IF(L12=0,"0",(24-Q12))</f>
        <v>3</v>
      </c>
      <c r="Q12" s="40">
        <f t="shared" ref="Q12" si="22">SUM(R12:AA12)</f>
        <v>21</v>
      </c>
      <c r="R12" s="7"/>
      <c r="S12" s="6"/>
      <c r="T12" s="16"/>
      <c r="U12" s="16"/>
      <c r="V12" s="17"/>
      <c r="W12" s="5">
        <v>21</v>
      </c>
      <c r="X12" s="16"/>
      <c r="Y12" s="16"/>
      <c r="Z12" s="16"/>
      <c r="AA12" s="18"/>
      <c r="AB12" s="8">
        <f t="shared" ref="AB12" si="23">IF(J12=0,"0",(L12/J12))</f>
        <v>1</v>
      </c>
      <c r="AC12" s="9">
        <f t="shared" ref="AC12" si="24">IF(P12=0,"0",(P12/24))</f>
        <v>0.125</v>
      </c>
      <c r="AD12" s="10">
        <f t="shared" ref="AD12" si="25">AC12*AB12*(1-O12)</f>
        <v>0.125</v>
      </c>
      <c r="AE12" s="36">
        <f t="shared" si="8"/>
        <v>0.61237382526975281</v>
      </c>
      <c r="AF12" s="87">
        <f t="shared" ref="AF12" si="26">A12</f>
        <v>5</v>
      </c>
    </row>
    <row r="13" spans="1:32" ht="27" customHeight="1">
      <c r="A13" s="103">
        <v>5</v>
      </c>
      <c r="B13" s="11" t="s">
        <v>57</v>
      </c>
      <c r="C13" s="34" t="s">
        <v>324</v>
      </c>
      <c r="D13" s="52"/>
      <c r="E13" s="53" t="s">
        <v>561</v>
      </c>
      <c r="F13" s="30" t="s">
        <v>326</v>
      </c>
      <c r="G13" s="33">
        <v>2</v>
      </c>
      <c r="H13" s="35">
        <v>24</v>
      </c>
      <c r="I13" s="7">
        <v>300</v>
      </c>
      <c r="J13" s="5">
        <v>480</v>
      </c>
      <c r="K13" s="15">
        <f t="shared" si="10"/>
        <v>480</v>
      </c>
      <c r="L13" s="15">
        <f>240*2</f>
        <v>480</v>
      </c>
      <c r="M13" s="15">
        <f t="shared" si="11"/>
        <v>480</v>
      </c>
      <c r="N13" s="15">
        <v>0</v>
      </c>
      <c r="O13" s="58">
        <f t="shared" si="12"/>
        <v>0</v>
      </c>
      <c r="P13" s="39">
        <f t="shared" si="13"/>
        <v>3</v>
      </c>
      <c r="Q13" s="40">
        <f t="shared" si="14"/>
        <v>21</v>
      </c>
      <c r="R13" s="7"/>
      <c r="S13" s="6"/>
      <c r="T13" s="16"/>
      <c r="U13" s="16"/>
      <c r="V13" s="17"/>
      <c r="W13" s="5">
        <v>21</v>
      </c>
      <c r="X13" s="16"/>
      <c r="Y13" s="16"/>
      <c r="Z13" s="16"/>
      <c r="AA13" s="18"/>
      <c r="AB13" s="8">
        <f t="shared" si="15"/>
        <v>1</v>
      </c>
      <c r="AC13" s="9">
        <f t="shared" si="16"/>
        <v>0.125</v>
      </c>
      <c r="AD13" s="10">
        <f t="shared" si="17"/>
        <v>0.125</v>
      </c>
      <c r="AE13" s="36">
        <f t="shared" si="8"/>
        <v>0.61237382526975281</v>
      </c>
      <c r="AF13" s="87">
        <f t="shared" si="18"/>
        <v>5</v>
      </c>
    </row>
    <row r="14" spans="1:32" ht="27" customHeight="1">
      <c r="A14" s="103">
        <v>6</v>
      </c>
      <c r="B14" s="11" t="s">
        <v>57</v>
      </c>
      <c r="C14" s="11" t="s">
        <v>133</v>
      </c>
      <c r="D14" s="52" t="s">
        <v>122</v>
      </c>
      <c r="E14" s="53" t="s">
        <v>548</v>
      </c>
      <c r="F14" s="30" t="s">
        <v>144</v>
      </c>
      <c r="G14" s="33">
        <v>2</v>
      </c>
      <c r="H14" s="35">
        <v>24</v>
      </c>
      <c r="I14" s="7">
        <v>15000</v>
      </c>
      <c r="J14" s="14">
        <v>6700</v>
      </c>
      <c r="K14" s="15">
        <f>L14+8720</f>
        <v>15420</v>
      </c>
      <c r="L14" s="15">
        <f>2653*2+697*2</f>
        <v>6700</v>
      </c>
      <c r="M14" s="15">
        <f t="shared" si="1"/>
        <v>6700</v>
      </c>
      <c r="N14" s="15">
        <v>0</v>
      </c>
      <c r="O14" s="58">
        <f t="shared" si="2"/>
        <v>0</v>
      </c>
      <c r="P14" s="39">
        <f t="shared" si="3"/>
        <v>16</v>
      </c>
      <c r="Q14" s="40">
        <f t="shared" si="4"/>
        <v>8</v>
      </c>
      <c r="R14" s="7"/>
      <c r="S14" s="6"/>
      <c r="T14" s="16"/>
      <c r="U14" s="16"/>
      <c r="V14" s="17"/>
      <c r="W14" s="5">
        <v>8</v>
      </c>
      <c r="X14" s="16"/>
      <c r="Y14" s="16"/>
      <c r="Z14" s="16"/>
      <c r="AA14" s="18"/>
      <c r="AB14" s="8">
        <f t="shared" si="5"/>
        <v>1</v>
      </c>
      <c r="AC14" s="9">
        <f t="shared" si="6"/>
        <v>0.66666666666666663</v>
      </c>
      <c r="AD14" s="10">
        <f t="shared" ref="AD14" si="27">AC14*AB14*(1-O14)</f>
        <v>0.66666666666666663</v>
      </c>
      <c r="AE14" s="36">
        <f t="shared" si="8"/>
        <v>0.61237382526975281</v>
      </c>
      <c r="AF14" s="87">
        <f t="shared" si="9"/>
        <v>6</v>
      </c>
    </row>
    <row r="15" spans="1:32" ht="27" customHeight="1">
      <c r="A15" s="103">
        <v>7</v>
      </c>
      <c r="B15" s="11" t="s">
        <v>57</v>
      </c>
      <c r="C15" s="11" t="s">
        <v>124</v>
      </c>
      <c r="D15" s="52" t="s">
        <v>117</v>
      </c>
      <c r="E15" s="53" t="s">
        <v>168</v>
      </c>
      <c r="F15" s="30" t="s">
        <v>121</v>
      </c>
      <c r="G15" s="33">
        <v>1</v>
      </c>
      <c r="H15" s="35">
        <v>20</v>
      </c>
      <c r="I15" s="7">
        <v>50000</v>
      </c>
      <c r="J15" s="14">
        <v>4725</v>
      </c>
      <c r="K15" s="15">
        <f>L15+2445+4101+2795+3910+4765</f>
        <v>22741</v>
      </c>
      <c r="L15" s="15">
        <f>2491+2234</f>
        <v>4725</v>
      </c>
      <c r="M15" s="15">
        <f t="shared" si="1"/>
        <v>4725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0.61237382526975281</v>
      </c>
      <c r="AF15" s="87">
        <f t="shared" si="9"/>
        <v>7</v>
      </c>
    </row>
    <row r="16" spans="1:32" ht="27" customHeight="1">
      <c r="A16" s="103">
        <v>8</v>
      </c>
      <c r="B16" s="11" t="s">
        <v>57</v>
      </c>
      <c r="C16" s="11" t="s">
        <v>133</v>
      </c>
      <c r="D16" s="52" t="s">
        <v>117</v>
      </c>
      <c r="E16" s="53" t="s">
        <v>267</v>
      </c>
      <c r="F16" s="30" t="s">
        <v>121</v>
      </c>
      <c r="G16" s="33">
        <v>2</v>
      </c>
      <c r="H16" s="35">
        <v>24</v>
      </c>
      <c r="I16" s="7">
        <v>10000</v>
      </c>
      <c r="J16" s="14">
        <v>3458</v>
      </c>
      <c r="K16" s="15">
        <f>L16+8590</f>
        <v>12048</v>
      </c>
      <c r="L16" s="15">
        <f>1729*2</f>
        <v>3458</v>
      </c>
      <c r="M16" s="15">
        <f t="shared" si="1"/>
        <v>3458</v>
      </c>
      <c r="N16" s="15">
        <v>0</v>
      </c>
      <c r="O16" s="58">
        <f t="shared" si="2"/>
        <v>0</v>
      </c>
      <c r="P16" s="39">
        <f t="shared" si="3"/>
        <v>7</v>
      </c>
      <c r="Q16" s="40">
        <f t="shared" si="4"/>
        <v>17</v>
      </c>
      <c r="R16" s="7"/>
      <c r="S16" s="6"/>
      <c r="T16" s="16"/>
      <c r="U16" s="16"/>
      <c r="V16" s="17"/>
      <c r="W16" s="5">
        <v>17</v>
      </c>
      <c r="X16" s="16"/>
      <c r="Y16" s="16"/>
      <c r="Z16" s="16"/>
      <c r="AA16" s="18"/>
      <c r="AB16" s="8">
        <f t="shared" si="5"/>
        <v>1</v>
      </c>
      <c r="AC16" s="9">
        <f t="shared" si="6"/>
        <v>0.29166666666666669</v>
      </c>
      <c r="AD16" s="10">
        <f t="shared" si="7"/>
        <v>0.29166666666666669</v>
      </c>
      <c r="AE16" s="36">
        <f t="shared" si="8"/>
        <v>0.61237382526975281</v>
      </c>
      <c r="AF16" s="87">
        <f t="shared" si="9"/>
        <v>8</v>
      </c>
    </row>
    <row r="17" spans="1:32" ht="27" customHeight="1">
      <c r="A17" s="118">
        <v>9</v>
      </c>
      <c r="B17" s="11" t="s">
        <v>57</v>
      </c>
      <c r="C17" s="34" t="s">
        <v>114</v>
      </c>
      <c r="D17" s="52" t="s">
        <v>196</v>
      </c>
      <c r="E17" s="53" t="s">
        <v>189</v>
      </c>
      <c r="F17" s="30" t="s">
        <v>197</v>
      </c>
      <c r="G17" s="12">
        <v>1</v>
      </c>
      <c r="H17" s="13">
        <v>28</v>
      </c>
      <c r="I17" s="7">
        <v>2000</v>
      </c>
      <c r="J17" s="5">
        <v>1045</v>
      </c>
      <c r="K17" s="15">
        <f>L17+620+500+1045</f>
        <v>2165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0.61237382526975281</v>
      </c>
      <c r="AF17" s="87">
        <f t="shared" si="9"/>
        <v>9</v>
      </c>
    </row>
    <row r="18" spans="1:32" ht="27" customHeight="1">
      <c r="A18" s="102">
        <v>10</v>
      </c>
      <c r="B18" s="11" t="s">
        <v>57</v>
      </c>
      <c r="C18" s="34" t="s">
        <v>324</v>
      </c>
      <c r="D18" s="52"/>
      <c r="E18" s="53" t="s">
        <v>374</v>
      </c>
      <c r="F18" s="12" t="s">
        <v>330</v>
      </c>
      <c r="G18" s="12">
        <v>2</v>
      </c>
      <c r="H18" s="13">
        <v>24</v>
      </c>
      <c r="I18" s="31">
        <v>300</v>
      </c>
      <c r="J18" s="14">
        <v>440</v>
      </c>
      <c r="K18" s="15">
        <f>L18</f>
        <v>440</v>
      </c>
      <c r="L18" s="15">
        <f>220*2</f>
        <v>440</v>
      </c>
      <c r="M18" s="15">
        <f t="shared" si="1"/>
        <v>440</v>
      </c>
      <c r="N18" s="15">
        <v>0</v>
      </c>
      <c r="O18" s="58">
        <f t="shared" si="2"/>
        <v>0</v>
      </c>
      <c r="P18" s="39">
        <f t="shared" si="3"/>
        <v>3</v>
      </c>
      <c r="Q18" s="40">
        <f t="shared" si="4"/>
        <v>21</v>
      </c>
      <c r="R18" s="7"/>
      <c r="S18" s="6"/>
      <c r="T18" s="16"/>
      <c r="U18" s="16"/>
      <c r="V18" s="17"/>
      <c r="W18" s="5">
        <v>21</v>
      </c>
      <c r="X18" s="16"/>
      <c r="Y18" s="16"/>
      <c r="Z18" s="16"/>
      <c r="AA18" s="18"/>
      <c r="AB18" s="8">
        <f t="shared" si="5"/>
        <v>1</v>
      </c>
      <c r="AC18" s="9">
        <f t="shared" si="6"/>
        <v>0.125</v>
      </c>
      <c r="AD18" s="10">
        <f t="shared" si="7"/>
        <v>0.125</v>
      </c>
      <c r="AE18" s="36">
        <f t="shared" si="8"/>
        <v>0.61237382526975281</v>
      </c>
      <c r="AF18" s="87">
        <f t="shared" si="9"/>
        <v>10</v>
      </c>
    </row>
    <row r="19" spans="1:32" ht="30" customHeight="1">
      <c r="A19" s="102">
        <v>11</v>
      </c>
      <c r="B19" s="11" t="s">
        <v>57</v>
      </c>
      <c r="C19" s="34" t="s">
        <v>124</v>
      </c>
      <c r="D19" s="52" t="s">
        <v>128</v>
      </c>
      <c r="E19" s="53" t="s">
        <v>534</v>
      </c>
      <c r="F19" s="30" t="s">
        <v>129</v>
      </c>
      <c r="G19" s="12">
        <v>1</v>
      </c>
      <c r="H19" s="13">
        <v>28</v>
      </c>
      <c r="I19" s="7">
        <v>36000</v>
      </c>
      <c r="J19" s="14">
        <v>5386</v>
      </c>
      <c r="K19" s="15">
        <f>L19+2340+5002</f>
        <v>12728</v>
      </c>
      <c r="L19" s="15">
        <f>2571+2815</f>
        <v>5386</v>
      </c>
      <c r="M19" s="15">
        <f t="shared" si="1"/>
        <v>5386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si="7"/>
        <v>1</v>
      </c>
      <c r="AE19" s="36">
        <f t="shared" si="8"/>
        <v>0.61237382526975281</v>
      </c>
      <c r="AF19" s="87">
        <f t="shared" si="9"/>
        <v>11</v>
      </c>
    </row>
    <row r="20" spans="1:32" ht="27" customHeight="1">
      <c r="A20" s="102">
        <v>12</v>
      </c>
      <c r="B20" s="11" t="s">
        <v>57</v>
      </c>
      <c r="C20" s="11" t="s">
        <v>124</v>
      </c>
      <c r="D20" s="52" t="s">
        <v>171</v>
      </c>
      <c r="E20" s="53" t="s">
        <v>172</v>
      </c>
      <c r="F20" s="30" t="s">
        <v>151</v>
      </c>
      <c r="G20" s="33">
        <v>1</v>
      </c>
      <c r="H20" s="35">
        <v>20</v>
      </c>
      <c r="I20" s="7">
        <v>20000</v>
      </c>
      <c r="J20" s="14">
        <v>6332</v>
      </c>
      <c r="K20" s="15">
        <f>L20+5181</f>
        <v>11513</v>
      </c>
      <c r="L20" s="15">
        <f>3313+3019</f>
        <v>6332</v>
      </c>
      <c r="M20" s="15">
        <f t="shared" si="1"/>
        <v>6332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8"/>
        <v>0.61237382526975281</v>
      </c>
      <c r="AF20" s="87">
        <f t="shared" si="9"/>
        <v>12</v>
      </c>
    </row>
    <row r="21" spans="1:32" ht="27" customHeight="1">
      <c r="A21" s="103">
        <v>13</v>
      </c>
      <c r="B21" s="11" t="s">
        <v>57</v>
      </c>
      <c r="C21" s="34" t="s">
        <v>124</v>
      </c>
      <c r="D21" s="52" t="s">
        <v>117</v>
      </c>
      <c r="E21" s="53" t="s">
        <v>318</v>
      </c>
      <c r="F21" s="30" t="s">
        <v>212</v>
      </c>
      <c r="G21" s="33">
        <v>1</v>
      </c>
      <c r="H21" s="35">
        <v>24</v>
      </c>
      <c r="I21" s="7">
        <v>20000</v>
      </c>
      <c r="J21" s="5">
        <v>5119</v>
      </c>
      <c r="K21" s="15">
        <f>L21+2947</f>
        <v>8066</v>
      </c>
      <c r="L21" s="15">
        <f>2688+2431</f>
        <v>5119</v>
      </c>
      <c r="M21" s="15">
        <f t="shared" si="1"/>
        <v>5119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>AC21*AB21*(1-O21)</f>
        <v>1</v>
      </c>
      <c r="AE21" s="36">
        <f t="shared" si="8"/>
        <v>0.61237382526975281</v>
      </c>
      <c r="AF21" s="87">
        <f t="shared" si="9"/>
        <v>13</v>
      </c>
    </row>
    <row r="22" spans="1:32" ht="27" customHeight="1">
      <c r="A22" s="103">
        <v>14</v>
      </c>
      <c r="B22" s="11" t="s">
        <v>57</v>
      </c>
      <c r="C22" s="11" t="s">
        <v>124</v>
      </c>
      <c r="D22" s="52" t="s">
        <v>117</v>
      </c>
      <c r="E22" s="53" t="s">
        <v>562</v>
      </c>
      <c r="F22" s="30" t="s">
        <v>253</v>
      </c>
      <c r="G22" s="33">
        <v>1</v>
      </c>
      <c r="H22" s="35">
        <v>24</v>
      </c>
      <c r="I22" s="7">
        <v>37000</v>
      </c>
      <c r="J22" s="14">
        <v>4542</v>
      </c>
      <c r="K22" s="15">
        <f>L22</f>
        <v>4542</v>
      </c>
      <c r="L22" s="15">
        <f>1969+2573</f>
        <v>4542</v>
      </c>
      <c r="M22" s="15">
        <f t="shared" si="1"/>
        <v>4542</v>
      </c>
      <c r="N22" s="15">
        <v>0</v>
      </c>
      <c r="O22" s="58">
        <f t="shared" si="2"/>
        <v>0</v>
      </c>
      <c r="P22" s="39">
        <f t="shared" si="3"/>
        <v>23</v>
      </c>
      <c r="Q22" s="40">
        <f t="shared" si="4"/>
        <v>1</v>
      </c>
      <c r="R22" s="7"/>
      <c r="S22" s="6"/>
      <c r="T22" s="16">
        <v>1</v>
      </c>
      <c r="U22" s="16"/>
      <c r="V22" s="17"/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0.95833333333333337</v>
      </c>
      <c r="AD22" s="10">
        <f t="shared" ref="AD22:AD23" si="28">AC22*AB22*(1-O22)</f>
        <v>0.95833333333333337</v>
      </c>
      <c r="AE22" s="36">
        <f t="shared" si="8"/>
        <v>0.61237382526975281</v>
      </c>
      <c r="AF22" s="87">
        <f t="shared" si="9"/>
        <v>14</v>
      </c>
    </row>
    <row r="23" spans="1:32" ht="27" customHeight="1" thickBot="1">
      <c r="A23" s="103">
        <v>15</v>
      </c>
      <c r="B23" s="11" t="s">
        <v>57</v>
      </c>
      <c r="C23" s="11" t="s">
        <v>115</v>
      </c>
      <c r="D23" s="52"/>
      <c r="E23" s="53" t="s">
        <v>528</v>
      </c>
      <c r="F23" s="12" t="s">
        <v>116</v>
      </c>
      <c r="G23" s="12">
        <v>4</v>
      </c>
      <c r="H23" s="35">
        <v>20</v>
      </c>
      <c r="I23" s="7">
        <v>500000</v>
      </c>
      <c r="J23" s="14">
        <v>48568</v>
      </c>
      <c r="K23" s="15">
        <f>L23</f>
        <v>48568</v>
      </c>
      <c r="L23" s="15">
        <f>2114*4+10028*4</f>
        <v>48568</v>
      </c>
      <c r="M23" s="15">
        <f t="shared" si="1"/>
        <v>48568</v>
      </c>
      <c r="N23" s="15">
        <v>0</v>
      </c>
      <c r="O23" s="58">
        <f t="shared" si="2"/>
        <v>0</v>
      </c>
      <c r="P23" s="39">
        <f t="shared" si="3"/>
        <v>18</v>
      </c>
      <c r="Q23" s="40">
        <f t="shared" si="4"/>
        <v>6</v>
      </c>
      <c r="R23" s="7"/>
      <c r="S23" s="6"/>
      <c r="T23" s="16">
        <v>6</v>
      </c>
      <c r="U23" s="16"/>
      <c r="V23" s="17"/>
      <c r="W23" s="5"/>
      <c r="X23" s="16"/>
      <c r="Y23" s="16"/>
      <c r="Z23" s="16"/>
      <c r="AA23" s="18"/>
      <c r="AB23" s="8">
        <f t="shared" si="5"/>
        <v>1</v>
      </c>
      <c r="AC23" s="9">
        <f t="shared" si="6"/>
        <v>0.75</v>
      </c>
      <c r="AD23" s="10">
        <f t="shared" si="28"/>
        <v>0.75</v>
      </c>
      <c r="AE23" s="36">
        <f t="shared" si="8"/>
        <v>0.61237382526975281</v>
      </c>
      <c r="AF23" s="87">
        <f t="shared" si="9"/>
        <v>15</v>
      </c>
    </row>
    <row r="24" spans="1:32" ht="31.5" customHeight="1" thickBot="1">
      <c r="A24" s="437" t="s">
        <v>34</v>
      </c>
      <c r="B24" s="438"/>
      <c r="C24" s="438"/>
      <c r="D24" s="438"/>
      <c r="E24" s="438"/>
      <c r="F24" s="438"/>
      <c r="G24" s="438"/>
      <c r="H24" s="439"/>
      <c r="I24" s="22">
        <f t="shared" ref="I24:N24" si="29">SUM(I6:I23)</f>
        <v>801400</v>
      </c>
      <c r="J24" s="19">
        <f t="shared" si="29"/>
        <v>105583</v>
      </c>
      <c r="K24" s="20">
        <f t="shared" si="29"/>
        <v>213421</v>
      </c>
      <c r="L24" s="21">
        <f t="shared" si="29"/>
        <v>98153</v>
      </c>
      <c r="M24" s="20">
        <f t="shared" si="29"/>
        <v>98153</v>
      </c>
      <c r="N24" s="21">
        <f t="shared" si="29"/>
        <v>0</v>
      </c>
      <c r="O24" s="41">
        <f t="shared" si="2"/>
        <v>0</v>
      </c>
      <c r="P24" s="42">
        <f t="shared" ref="P24:AA24" si="30">SUM(P6:P23)</f>
        <v>234</v>
      </c>
      <c r="Q24" s="43">
        <f t="shared" si="30"/>
        <v>198</v>
      </c>
      <c r="R24" s="23">
        <f t="shared" si="30"/>
        <v>24</v>
      </c>
      <c r="S24" s="24">
        <f t="shared" si="30"/>
        <v>5</v>
      </c>
      <c r="T24" s="24">
        <f t="shared" si="30"/>
        <v>7</v>
      </c>
      <c r="U24" s="24">
        <f t="shared" si="30"/>
        <v>0</v>
      </c>
      <c r="V24" s="25">
        <f t="shared" si="30"/>
        <v>24</v>
      </c>
      <c r="W24" s="26">
        <f t="shared" si="30"/>
        <v>138</v>
      </c>
      <c r="X24" s="27">
        <f t="shared" si="30"/>
        <v>0</v>
      </c>
      <c r="Y24" s="27">
        <f t="shared" si="30"/>
        <v>0</v>
      </c>
      <c r="Z24" s="27">
        <f t="shared" si="30"/>
        <v>0</v>
      </c>
      <c r="AA24" s="27">
        <f t="shared" si="30"/>
        <v>0</v>
      </c>
      <c r="AB24" s="28">
        <f>SUM(AB6:AB23)/15</f>
        <v>0.9498317670263372</v>
      </c>
      <c r="AC24" s="4">
        <f>SUM(AC6:AC23)/15</f>
        <v>0.65000000000000013</v>
      </c>
      <c r="AD24" s="4">
        <f>SUM(AD6:AD23)/15</f>
        <v>0.61237382526975281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8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40" t="s">
        <v>45</v>
      </c>
      <c r="B51" s="440"/>
      <c r="C51" s="440"/>
      <c r="D51" s="440"/>
      <c r="E51" s="440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41" t="s">
        <v>567</v>
      </c>
      <c r="B52" s="442"/>
      <c r="C52" s="442"/>
      <c r="D52" s="442"/>
      <c r="E52" s="442"/>
      <c r="F52" s="442"/>
      <c r="G52" s="442"/>
      <c r="H52" s="442"/>
      <c r="I52" s="442"/>
      <c r="J52" s="442"/>
      <c r="K52" s="442"/>
      <c r="L52" s="442"/>
      <c r="M52" s="443"/>
      <c r="N52" s="444" t="s">
        <v>569</v>
      </c>
      <c r="O52" s="445"/>
      <c r="P52" s="445"/>
      <c r="Q52" s="445"/>
      <c r="R52" s="445"/>
      <c r="S52" s="445"/>
      <c r="T52" s="445"/>
      <c r="U52" s="445"/>
      <c r="V52" s="445"/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7" t="s">
        <v>2</v>
      </c>
      <c r="B53" s="448"/>
      <c r="C53" s="346" t="s">
        <v>46</v>
      </c>
      <c r="D53" s="346" t="s">
        <v>47</v>
      </c>
      <c r="E53" s="346" t="s">
        <v>108</v>
      </c>
      <c r="F53" s="448" t="s">
        <v>107</v>
      </c>
      <c r="G53" s="448"/>
      <c r="H53" s="448"/>
      <c r="I53" s="448"/>
      <c r="J53" s="448"/>
      <c r="K53" s="448"/>
      <c r="L53" s="448"/>
      <c r="M53" s="449"/>
      <c r="N53" s="67" t="s">
        <v>112</v>
      </c>
      <c r="O53" s="346" t="s">
        <v>46</v>
      </c>
      <c r="P53" s="450" t="s">
        <v>47</v>
      </c>
      <c r="Q53" s="451"/>
      <c r="R53" s="450" t="s">
        <v>38</v>
      </c>
      <c r="S53" s="452"/>
      <c r="T53" s="452"/>
      <c r="U53" s="451"/>
      <c r="V53" s="450" t="s">
        <v>48</v>
      </c>
      <c r="W53" s="452"/>
      <c r="X53" s="452"/>
      <c r="Y53" s="452"/>
      <c r="Z53" s="452"/>
      <c r="AA53" s="452"/>
      <c r="AB53" s="452"/>
      <c r="AC53" s="452"/>
      <c r="AD53" s="453"/>
    </row>
    <row r="54" spans="1:32" ht="27" customHeight="1">
      <c r="A54" s="419" t="s">
        <v>124</v>
      </c>
      <c r="B54" s="420"/>
      <c r="C54" s="344" t="s">
        <v>184</v>
      </c>
      <c r="D54" s="344" t="s">
        <v>148</v>
      </c>
      <c r="E54" s="344" t="s">
        <v>191</v>
      </c>
      <c r="F54" s="421" t="s">
        <v>274</v>
      </c>
      <c r="G54" s="422"/>
      <c r="H54" s="422"/>
      <c r="I54" s="422"/>
      <c r="J54" s="422"/>
      <c r="K54" s="422"/>
      <c r="L54" s="422"/>
      <c r="M54" s="423"/>
      <c r="N54" s="343" t="s">
        <v>124</v>
      </c>
      <c r="O54" s="341" t="s">
        <v>184</v>
      </c>
      <c r="P54" s="433" t="s">
        <v>148</v>
      </c>
      <c r="Q54" s="434"/>
      <c r="R54" s="420" t="s">
        <v>191</v>
      </c>
      <c r="S54" s="420"/>
      <c r="T54" s="420"/>
      <c r="U54" s="420"/>
      <c r="V54" s="410" t="s">
        <v>126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114</v>
      </c>
      <c r="B55" s="420"/>
      <c r="C55" s="344" t="s">
        <v>131</v>
      </c>
      <c r="D55" s="344" t="s">
        <v>128</v>
      </c>
      <c r="E55" s="344" t="s">
        <v>335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343" t="s">
        <v>124</v>
      </c>
      <c r="O55" s="341" t="s">
        <v>139</v>
      </c>
      <c r="P55" s="433" t="s">
        <v>117</v>
      </c>
      <c r="Q55" s="434"/>
      <c r="R55" s="420" t="s">
        <v>168</v>
      </c>
      <c r="S55" s="420"/>
      <c r="T55" s="420"/>
      <c r="U55" s="420"/>
      <c r="V55" s="410" t="s">
        <v>126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324</v>
      </c>
      <c r="B56" s="420"/>
      <c r="C56" s="344" t="s">
        <v>131</v>
      </c>
      <c r="D56" s="344"/>
      <c r="E56" s="344" t="s">
        <v>400</v>
      </c>
      <c r="F56" s="421" t="s">
        <v>120</v>
      </c>
      <c r="G56" s="422"/>
      <c r="H56" s="422"/>
      <c r="I56" s="422"/>
      <c r="J56" s="422"/>
      <c r="K56" s="422"/>
      <c r="L56" s="422"/>
      <c r="M56" s="423"/>
      <c r="N56" s="343" t="s">
        <v>124</v>
      </c>
      <c r="O56" s="341" t="s">
        <v>131</v>
      </c>
      <c r="P56" s="433" t="s">
        <v>234</v>
      </c>
      <c r="Q56" s="434"/>
      <c r="R56" s="420" t="s">
        <v>235</v>
      </c>
      <c r="S56" s="420"/>
      <c r="T56" s="420"/>
      <c r="U56" s="420"/>
      <c r="V56" s="410" t="s">
        <v>120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324</v>
      </c>
      <c r="B57" s="420"/>
      <c r="C57" s="344" t="s">
        <v>131</v>
      </c>
      <c r="D57" s="344"/>
      <c r="E57" s="344" t="s">
        <v>560</v>
      </c>
      <c r="F57" s="421" t="s">
        <v>120</v>
      </c>
      <c r="G57" s="422"/>
      <c r="H57" s="422"/>
      <c r="I57" s="422"/>
      <c r="J57" s="422"/>
      <c r="K57" s="422"/>
      <c r="L57" s="422"/>
      <c r="M57" s="423"/>
      <c r="N57" s="343" t="s">
        <v>133</v>
      </c>
      <c r="O57" s="341" t="s">
        <v>143</v>
      </c>
      <c r="P57" s="433" t="s">
        <v>117</v>
      </c>
      <c r="Q57" s="434"/>
      <c r="R57" s="433" t="s">
        <v>570</v>
      </c>
      <c r="S57" s="476"/>
      <c r="T57" s="476"/>
      <c r="U57" s="434"/>
      <c r="V57" s="410" t="s">
        <v>120</v>
      </c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 t="s">
        <v>324</v>
      </c>
      <c r="B58" s="420"/>
      <c r="C58" s="344" t="s">
        <v>131</v>
      </c>
      <c r="D58" s="344"/>
      <c r="E58" s="344" t="s">
        <v>561</v>
      </c>
      <c r="F58" s="421" t="s">
        <v>120</v>
      </c>
      <c r="G58" s="422"/>
      <c r="H58" s="422"/>
      <c r="I58" s="422"/>
      <c r="J58" s="422"/>
      <c r="K58" s="422"/>
      <c r="L58" s="422"/>
      <c r="M58" s="423"/>
      <c r="N58" s="343"/>
      <c r="O58" s="341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 t="s">
        <v>124</v>
      </c>
      <c r="B59" s="420"/>
      <c r="C59" s="344" t="s">
        <v>145</v>
      </c>
      <c r="D59" s="344" t="s">
        <v>117</v>
      </c>
      <c r="E59" s="344" t="s">
        <v>562</v>
      </c>
      <c r="F59" s="421" t="s">
        <v>120</v>
      </c>
      <c r="G59" s="422"/>
      <c r="H59" s="422"/>
      <c r="I59" s="422"/>
      <c r="J59" s="422"/>
      <c r="K59" s="422"/>
      <c r="L59" s="422"/>
      <c r="M59" s="423"/>
      <c r="N59" s="343"/>
      <c r="O59" s="341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 t="s">
        <v>324</v>
      </c>
      <c r="B60" s="420"/>
      <c r="C60" s="344" t="s">
        <v>243</v>
      </c>
      <c r="D60" s="344"/>
      <c r="E60" s="344" t="s">
        <v>374</v>
      </c>
      <c r="F60" s="421" t="s">
        <v>120</v>
      </c>
      <c r="G60" s="422"/>
      <c r="H60" s="422"/>
      <c r="I60" s="422"/>
      <c r="J60" s="422"/>
      <c r="K60" s="422"/>
      <c r="L60" s="422"/>
      <c r="M60" s="423"/>
      <c r="N60" s="343"/>
      <c r="O60" s="341"/>
      <c r="P60" s="433"/>
      <c r="Q60" s="434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</row>
    <row r="61" spans="1:32" ht="27" customHeight="1">
      <c r="A61" s="419" t="s">
        <v>115</v>
      </c>
      <c r="B61" s="420"/>
      <c r="C61" s="344" t="s">
        <v>568</v>
      </c>
      <c r="D61" s="344"/>
      <c r="E61" s="344" t="s">
        <v>528</v>
      </c>
      <c r="F61" s="421" t="s">
        <v>120</v>
      </c>
      <c r="G61" s="422"/>
      <c r="H61" s="422"/>
      <c r="I61" s="422"/>
      <c r="J61" s="422"/>
      <c r="K61" s="422"/>
      <c r="L61" s="422"/>
      <c r="M61" s="423"/>
      <c r="N61" s="343"/>
      <c r="O61" s="341"/>
      <c r="P61" s="433"/>
      <c r="Q61" s="434"/>
      <c r="R61" s="420"/>
      <c r="S61" s="420"/>
      <c r="T61" s="420"/>
      <c r="U61" s="420"/>
      <c r="V61" s="410"/>
      <c r="W61" s="410"/>
      <c r="X61" s="410"/>
      <c r="Y61" s="410"/>
      <c r="Z61" s="410"/>
      <c r="AA61" s="410"/>
      <c r="AB61" s="410"/>
      <c r="AC61" s="410"/>
      <c r="AD61" s="424"/>
    </row>
    <row r="62" spans="1:32" ht="27" customHeight="1">
      <c r="A62" s="419"/>
      <c r="B62" s="420"/>
      <c r="C62" s="344"/>
      <c r="D62" s="344"/>
      <c r="E62" s="344"/>
      <c r="F62" s="421"/>
      <c r="G62" s="422"/>
      <c r="H62" s="422"/>
      <c r="I62" s="422"/>
      <c r="J62" s="422"/>
      <c r="K62" s="422"/>
      <c r="L62" s="422"/>
      <c r="M62" s="423"/>
      <c r="N62" s="343"/>
      <c r="O62" s="341"/>
      <c r="P62" s="420"/>
      <c r="Q62" s="420"/>
      <c r="R62" s="420"/>
      <c r="S62" s="420"/>
      <c r="T62" s="420"/>
      <c r="U62" s="420"/>
      <c r="V62" s="410"/>
      <c r="W62" s="410"/>
      <c r="X62" s="410"/>
      <c r="Y62" s="410"/>
      <c r="Z62" s="410"/>
      <c r="AA62" s="410"/>
      <c r="AB62" s="410"/>
      <c r="AC62" s="410"/>
      <c r="AD62" s="424"/>
      <c r="AF62" s="87">
        <f>8*3000</f>
        <v>24000</v>
      </c>
    </row>
    <row r="63" spans="1:32" ht="27" customHeight="1" thickBot="1">
      <c r="A63" s="425"/>
      <c r="B63" s="426"/>
      <c r="C63" s="345"/>
      <c r="D63" s="345"/>
      <c r="E63" s="345"/>
      <c r="F63" s="427"/>
      <c r="G63" s="428"/>
      <c r="H63" s="428"/>
      <c r="I63" s="428"/>
      <c r="J63" s="428"/>
      <c r="K63" s="428"/>
      <c r="L63" s="428"/>
      <c r="M63" s="429"/>
      <c r="N63" s="124"/>
      <c r="O63" s="114"/>
      <c r="P63" s="430"/>
      <c r="Q63" s="430"/>
      <c r="R63" s="430"/>
      <c r="S63" s="430"/>
      <c r="T63" s="430"/>
      <c r="U63" s="430"/>
      <c r="V63" s="431"/>
      <c r="W63" s="431"/>
      <c r="X63" s="431"/>
      <c r="Y63" s="431"/>
      <c r="Z63" s="431"/>
      <c r="AA63" s="431"/>
      <c r="AB63" s="431"/>
      <c r="AC63" s="431"/>
      <c r="AD63" s="432"/>
      <c r="AF63" s="87">
        <f>16*3000</f>
        <v>48000</v>
      </c>
    </row>
    <row r="64" spans="1:32" ht="27.75" thickBot="1">
      <c r="A64" s="417" t="s">
        <v>571</v>
      </c>
      <c r="B64" s="417"/>
      <c r="C64" s="417"/>
      <c r="D64" s="417"/>
      <c r="E64" s="417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7">
        <v>24000</v>
      </c>
    </row>
    <row r="65" spans="1:32" ht="29.25" customHeight="1" thickBot="1">
      <c r="A65" s="418" t="s">
        <v>113</v>
      </c>
      <c r="B65" s="415"/>
      <c r="C65" s="342" t="s">
        <v>2</v>
      </c>
      <c r="D65" s="342" t="s">
        <v>37</v>
      </c>
      <c r="E65" s="342" t="s">
        <v>3</v>
      </c>
      <c r="F65" s="415" t="s">
        <v>110</v>
      </c>
      <c r="G65" s="415"/>
      <c r="H65" s="415"/>
      <c r="I65" s="415"/>
      <c r="J65" s="415"/>
      <c r="K65" s="415" t="s">
        <v>39</v>
      </c>
      <c r="L65" s="415"/>
      <c r="M65" s="342" t="s">
        <v>40</v>
      </c>
      <c r="N65" s="415" t="s">
        <v>41</v>
      </c>
      <c r="O65" s="415"/>
      <c r="P65" s="412" t="s">
        <v>42</v>
      </c>
      <c r="Q65" s="414"/>
      <c r="R65" s="412" t="s">
        <v>43</v>
      </c>
      <c r="S65" s="413"/>
      <c r="T65" s="413"/>
      <c r="U65" s="413"/>
      <c r="V65" s="413"/>
      <c r="W65" s="413"/>
      <c r="X65" s="413"/>
      <c r="Y65" s="413"/>
      <c r="Z65" s="413"/>
      <c r="AA65" s="414"/>
      <c r="AB65" s="415" t="s">
        <v>44</v>
      </c>
      <c r="AC65" s="415"/>
      <c r="AD65" s="416"/>
      <c r="AF65" s="87">
        <f>SUM(AF62:AF64)</f>
        <v>96000</v>
      </c>
    </row>
    <row r="66" spans="1:32" ht="25.5" customHeight="1">
      <c r="A66" s="406">
        <v>1</v>
      </c>
      <c r="B66" s="407"/>
      <c r="C66" s="117" t="s">
        <v>114</v>
      </c>
      <c r="D66" s="337"/>
      <c r="E66" s="340" t="s">
        <v>128</v>
      </c>
      <c r="F66" s="408" t="s">
        <v>572</v>
      </c>
      <c r="G66" s="400"/>
      <c r="H66" s="400"/>
      <c r="I66" s="400"/>
      <c r="J66" s="400"/>
      <c r="K66" s="400" t="s">
        <v>129</v>
      </c>
      <c r="L66" s="400"/>
      <c r="M66" s="51" t="s">
        <v>240</v>
      </c>
      <c r="N66" s="411" t="s">
        <v>143</v>
      </c>
      <c r="O66" s="411"/>
      <c r="P66" s="409">
        <v>50</v>
      </c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2</v>
      </c>
      <c r="B67" s="407"/>
      <c r="C67" s="117"/>
      <c r="D67" s="337"/>
      <c r="E67" s="340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3</v>
      </c>
      <c r="B68" s="407"/>
      <c r="C68" s="117"/>
      <c r="D68" s="337"/>
      <c r="E68" s="340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4</v>
      </c>
      <c r="B69" s="407"/>
      <c r="C69" s="117"/>
      <c r="D69" s="337"/>
      <c r="E69" s="340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5</v>
      </c>
      <c r="B70" s="407"/>
      <c r="C70" s="117"/>
      <c r="D70" s="337"/>
      <c r="E70" s="340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6</v>
      </c>
      <c r="B71" s="407"/>
      <c r="C71" s="117"/>
      <c r="D71" s="337"/>
      <c r="E71" s="340"/>
      <c r="F71" s="408"/>
      <c r="G71" s="400"/>
      <c r="H71" s="400"/>
      <c r="I71" s="400"/>
      <c r="J71" s="400"/>
      <c r="K71" s="400"/>
      <c r="L71" s="400"/>
      <c r="M71" s="51"/>
      <c r="N71" s="411"/>
      <c r="O71" s="411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5.5" customHeight="1">
      <c r="A72" s="406">
        <v>7</v>
      </c>
      <c r="B72" s="407"/>
      <c r="C72" s="117"/>
      <c r="D72" s="337"/>
      <c r="E72" s="340"/>
      <c r="F72" s="408"/>
      <c r="G72" s="400"/>
      <c r="H72" s="400"/>
      <c r="I72" s="400"/>
      <c r="J72" s="400"/>
      <c r="K72" s="400"/>
      <c r="L72" s="400"/>
      <c r="M72" s="51"/>
      <c r="N72" s="411"/>
      <c r="O72" s="411"/>
      <c r="P72" s="409"/>
      <c r="Q72" s="409"/>
      <c r="R72" s="410"/>
      <c r="S72" s="410"/>
      <c r="T72" s="410"/>
      <c r="U72" s="410"/>
      <c r="V72" s="410"/>
      <c r="W72" s="410"/>
      <c r="X72" s="410"/>
      <c r="Y72" s="410"/>
      <c r="Z72" s="410"/>
      <c r="AA72" s="410"/>
      <c r="AB72" s="400"/>
      <c r="AC72" s="400"/>
      <c r="AD72" s="401"/>
      <c r="AF72" s="50"/>
    </row>
    <row r="73" spans="1:32" ht="25.5" customHeight="1">
      <c r="A73" s="406">
        <v>8</v>
      </c>
      <c r="B73" s="407"/>
      <c r="C73" s="117"/>
      <c r="D73" s="337"/>
      <c r="E73" s="340"/>
      <c r="F73" s="408"/>
      <c r="G73" s="400"/>
      <c r="H73" s="400"/>
      <c r="I73" s="400"/>
      <c r="J73" s="400"/>
      <c r="K73" s="400"/>
      <c r="L73" s="400"/>
      <c r="M73" s="51"/>
      <c r="N73" s="400"/>
      <c r="O73" s="400"/>
      <c r="P73" s="409"/>
      <c r="Q73" s="409"/>
      <c r="R73" s="410"/>
      <c r="S73" s="410"/>
      <c r="T73" s="410"/>
      <c r="U73" s="410"/>
      <c r="V73" s="410"/>
      <c r="W73" s="410"/>
      <c r="X73" s="410"/>
      <c r="Y73" s="410"/>
      <c r="Z73" s="410"/>
      <c r="AA73" s="410"/>
      <c r="AB73" s="400"/>
      <c r="AC73" s="400"/>
      <c r="AD73" s="401"/>
      <c r="AF73" s="50"/>
    </row>
    <row r="74" spans="1:32" ht="26.25" customHeight="1" thickBot="1">
      <c r="A74" s="380" t="s">
        <v>573</v>
      </c>
      <c r="B74" s="380"/>
      <c r="C74" s="380"/>
      <c r="D74" s="380"/>
      <c r="E74" s="380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381" t="s">
        <v>113</v>
      </c>
      <c r="B75" s="382"/>
      <c r="C75" s="339" t="s">
        <v>2</v>
      </c>
      <c r="D75" s="339" t="s">
        <v>37</v>
      </c>
      <c r="E75" s="339" t="s">
        <v>3</v>
      </c>
      <c r="F75" s="382" t="s">
        <v>38</v>
      </c>
      <c r="G75" s="382"/>
      <c r="H75" s="382"/>
      <c r="I75" s="382"/>
      <c r="J75" s="382"/>
      <c r="K75" s="402" t="s">
        <v>58</v>
      </c>
      <c r="L75" s="403"/>
      <c r="M75" s="403"/>
      <c r="N75" s="403"/>
      <c r="O75" s="403"/>
      <c r="P75" s="403"/>
      <c r="Q75" s="403"/>
      <c r="R75" s="403"/>
      <c r="S75" s="404"/>
      <c r="T75" s="382" t="s">
        <v>49</v>
      </c>
      <c r="U75" s="382"/>
      <c r="V75" s="402" t="s">
        <v>50</v>
      </c>
      <c r="W75" s="404"/>
      <c r="X75" s="403" t="s">
        <v>51</v>
      </c>
      <c r="Y75" s="403"/>
      <c r="Z75" s="403"/>
      <c r="AA75" s="403"/>
      <c r="AB75" s="403"/>
      <c r="AC75" s="403"/>
      <c r="AD75" s="405"/>
      <c r="AF75" s="50"/>
    </row>
    <row r="76" spans="1:32" ht="33.75" customHeight="1">
      <c r="A76" s="374">
        <v>1</v>
      </c>
      <c r="B76" s="375"/>
      <c r="C76" s="338" t="s">
        <v>114</v>
      </c>
      <c r="D76" s="338"/>
      <c r="E76" s="65" t="s">
        <v>119</v>
      </c>
      <c r="F76" s="389" t="s">
        <v>118</v>
      </c>
      <c r="G76" s="390"/>
      <c r="H76" s="390"/>
      <c r="I76" s="390"/>
      <c r="J76" s="391"/>
      <c r="K76" s="392" t="s">
        <v>137</v>
      </c>
      <c r="L76" s="393"/>
      <c r="M76" s="393"/>
      <c r="N76" s="393"/>
      <c r="O76" s="393"/>
      <c r="P76" s="393"/>
      <c r="Q76" s="393"/>
      <c r="R76" s="393"/>
      <c r="S76" s="394"/>
      <c r="T76" s="395">
        <v>43675</v>
      </c>
      <c r="U76" s="396"/>
      <c r="V76" s="397"/>
      <c r="W76" s="397"/>
      <c r="X76" s="398"/>
      <c r="Y76" s="398"/>
      <c r="Z76" s="398"/>
      <c r="AA76" s="398"/>
      <c r="AB76" s="398"/>
      <c r="AC76" s="398"/>
      <c r="AD76" s="399"/>
      <c r="AF76" s="50"/>
    </row>
    <row r="77" spans="1:32" ht="30" customHeight="1">
      <c r="A77" s="367">
        <f>A76+1</f>
        <v>2</v>
      </c>
      <c r="B77" s="368"/>
      <c r="C77" s="337"/>
      <c r="D77" s="337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ref="A78:A84" si="31">A77+1</f>
        <v>3</v>
      </c>
      <c r="B78" s="368"/>
      <c r="C78" s="337"/>
      <c r="D78" s="337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31"/>
        <v>4</v>
      </c>
      <c r="B79" s="368"/>
      <c r="C79" s="337"/>
      <c r="D79" s="337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31"/>
        <v>5</v>
      </c>
      <c r="B80" s="368"/>
      <c r="C80" s="337"/>
      <c r="D80" s="337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31"/>
        <v>6</v>
      </c>
      <c r="B81" s="368"/>
      <c r="C81" s="337"/>
      <c r="D81" s="337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31"/>
        <v>7</v>
      </c>
      <c r="B82" s="368"/>
      <c r="C82" s="337"/>
      <c r="D82" s="337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0" customHeight="1">
      <c r="A83" s="367">
        <f t="shared" si="31"/>
        <v>8</v>
      </c>
      <c r="B83" s="368"/>
      <c r="C83" s="337"/>
      <c r="D83" s="337"/>
      <c r="E83" s="32"/>
      <c r="F83" s="368"/>
      <c r="G83" s="368"/>
      <c r="H83" s="368"/>
      <c r="I83" s="368"/>
      <c r="J83" s="368"/>
      <c r="K83" s="383"/>
      <c r="L83" s="384"/>
      <c r="M83" s="384"/>
      <c r="N83" s="384"/>
      <c r="O83" s="384"/>
      <c r="P83" s="384"/>
      <c r="Q83" s="384"/>
      <c r="R83" s="384"/>
      <c r="S83" s="385"/>
      <c r="T83" s="386"/>
      <c r="U83" s="386"/>
      <c r="V83" s="386"/>
      <c r="W83" s="386"/>
      <c r="X83" s="387"/>
      <c r="Y83" s="387"/>
      <c r="Z83" s="387"/>
      <c r="AA83" s="387"/>
      <c r="AB83" s="387"/>
      <c r="AC83" s="387"/>
      <c r="AD83" s="388"/>
      <c r="AF83" s="50"/>
    </row>
    <row r="84" spans="1:32" ht="30" customHeight="1">
      <c r="A84" s="367">
        <f t="shared" si="31"/>
        <v>9</v>
      </c>
      <c r="B84" s="368"/>
      <c r="C84" s="337"/>
      <c r="D84" s="337"/>
      <c r="E84" s="32"/>
      <c r="F84" s="368"/>
      <c r="G84" s="368"/>
      <c r="H84" s="368"/>
      <c r="I84" s="368"/>
      <c r="J84" s="368"/>
      <c r="K84" s="383"/>
      <c r="L84" s="384"/>
      <c r="M84" s="384"/>
      <c r="N84" s="384"/>
      <c r="O84" s="384"/>
      <c r="P84" s="384"/>
      <c r="Q84" s="384"/>
      <c r="R84" s="384"/>
      <c r="S84" s="385"/>
      <c r="T84" s="386"/>
      <c r="U84" s="386"/>
      <c r="V84" s="386"/>
      <c r="W84" s="386"/>
      <c r="X84" s="387"/>
      <c r="Y84" s="387"/>
      <c r="Z84" s="387"/>
      <c r="AA84" s="387"/>
      <c r="AB84" s="387"/>
      <c r="AC84" s="387"/>
      <c r="AD84" s="388"/>
      <c r="AF84" s="50"/>
    </row>
    <row r="85" spans="1:32" ht="36" thickBot="1">
      <c r="A85" s="380" t="s">
        <v>574</v>
      </c>
      <c r="B85" s="380"/>
      <c r="C85" s="380"/>
      <c r="D85" s="380"/>
      <c r="E85" s="380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381" t="s">
        <v>113</v>
      </c>
      <c r="B86" s="382"/>
      <c r="C86" s="372" t="s">
        <v>52</v>
      </c>
      <c r="D86" s="372"/>
      <c r="E86" s="372" t="s">
        <v>53</v>
      </c>
      <c r="F86" s="372"/>
      <c r="G86" s="372"/>
      <c r="H86" s="372"/>
      <c r="I86" s="372"/>
      <c r="J86" s="372"/>
      <c r="K86" s="372" t="s">
        <v>54</v>
      </c>
      <c r="L86" s="372"/>
      <c r="M86" s="372"/>
      <c r="N86" s="372"/>
      <c r="O86" s="372"/>
      <c r="P86" s="372"/>
      <c r="Q86" s="372"/>
      <c r="R86" s="372"/>
      <c r="S86" s="372"/>
      <c r="T86" s="372" t="s">
        <v>55</v>
      </c>
      <c r="U86" s="372"/>
      <c r="V86" s="372" t="s">
        <v>56</v>
      </c>
      <c r="W86" s="372"/>
      <c r="X86" s="372"/>
      <c r="Y86" s="372" t="s">
        <v>51</v>
      </c>
      <c r="Z86" s="372"/>
      <c r="AA86" s="372"/>
      <c r="AB86" s="372"/>
      <c r="AC86" s="372"/>
      <c r="AD86" s="373"/>
      <c r="AF86" s="50"/>
    </row>
    <row r="87" spans="1:32" ht="30.75" customHeight="1">
      <c r="A87" s="374">
        <v>1</v>
      </c>
      <c r="B87" s="375"/>
      <c r="C87" s="376"/>
      <c r="D87" s="376"/>
      <c r="E87" s="376"/>
      <c r="F87" s="376"/>
      <c r="G87" s="376"/>
      <c r="H87" s="376"/>
      <c r="I87" s="376"/>
      <c r="J87" s="376"/>
      <c r="K87" s="376"/>
      <c r="L87" s="376"/>
      <c r="M87" s="376"/>
      <c r="N87" s="376"/>
      <c r="O87" s="376"/>
      <c r="P87" s="376"/>
      <c r="Q87" s="376"/>
      <c r="R87" s="376"/>
      <c r="S87" s="376"/>
      <c r="T87" s="376"/>
      <c r="U87" s="376"/>
      <c r="V87" s="377"/>
      <c r="W87" s="377"/>
      <c r="X87" s="377"/>
      <c r="Y87" s="378"/>
      <c r="Z87" s="378"/>
      <c r="AA87" s="378"/>
      <c r="AB87" s="378"/>
      <c r="AC87" s="378"/>
      <c r="AD87" s="379"/>
      <c r="AF87" s="50"/>
    </row>
    <row r="88" spans="1:32" ht="30.75" customHeight="1">
      <c r="A88" s="367">
        <v>2</v>
      </c>
      <c r="B88" s="368"/>
      <c r="C88" s="369"/>
      <c r="D88" s="369"/>
      <c r="E88" s="369"/>
      <c r="F88" s="369"/>
      <c r="G88" s="369"/>
      <c r="H88" s="369"/>
      <c r="I88" s="369"/>
      <c r="J88" s="369"/>
      <c r="K88" s="369"/>
      <c r="L88" s="369"/>
      <c r="M88" s="369"/>
      <c r="N88" s="369"/>
      <c r="O88" s="369"/>
      <c r="P88" s="369"/>
      <c r="Q88" s="369"/>
      <c r="R88" s="369"/>
      <c r="S88" s="369"/>
      <c r="T88" s="370"/>
      <c r="U88" s="370"/>
      <c r="V88" s="371"/>
      <c r="W88" s="371"/>
      <c r="X88" s="371"/>
      <c r="Y88" s="360"/>
      <c r="Z88" s="360"/>
      <c r="AA88" s="360"/>
      <c r="AB88" s="360"/>
      <c r="AC88" s="360"/>
      <c r="AD88" s="361"/>
      <c r="AF88" s="50"/>
    </row>
    <row r="89" spans="1:32" ht="30.75" customHeight="1" thickBot="1">
      <c r="A89" s="362">
        <v>3</v>
      </c>
      <c r="B89" s="363"/>
      <c r="C89" s="364"/>
      <c r="D89" s="364"/>
      <c r="E89" s="364"/>
      <c r="F89" s="36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64"/>
      <c r="R89" s="364"/>
      <c r="S89" s="364"/>
      <c r="T89" s="364"/>
      <c r="U89" s="364"/>
      <c r="V89" s="364"/>
      <c r="W89" s="364"/>
      <c r="X89" s="364"/>
      <c r="Y89" s="365"/>
      <c r="Z89" s="365"/>
      <c r="AA89" s="365"/>
      <c r="AB89" s="365"/>
      <c r="AC89" s="365"/>
      <c r="AD89" s="366"/>
      <c r="AF89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9" max="2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546D-0822-4A16-8D99-4FF920DAC75B}">
  <dimension ref="A1:AF87"/>
  <sheetViews>
    <sheetView tabSelected="1" zoomScale="72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464" t="s">
        <v>575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64"/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65"/>
      <c r="B3" s="465"/>
      <c r="C3" s="465"/>
      <c r="D3" s="465"/>
      <c r="E3" s="465"/>
      <c r="F3" s="465"/>
      <c r="G3" s="46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66" t="s">
        <v>0</v>
      </c>
      <c r="B4" s="468" t="s">
        <v>1</v>
      </c>
      <c r="C4" s="468" t="s">
        <v>2</v>
      </c>
      <c r="D4" s="471" t="s">
        <v>3</v>
      </c>
      <c r="E4" s="473" t="s">
        <v>4</v>
      </c>
      <c r="F4" s="471" t="s">
        <v>5</v>
      </c>
      <c r="G4" s="468" t="s">
        <v>6</v>
      </c>
      <c r="H4" s="474" t="s">
        <v>7</v>
      </c>
      <c r="I4" s="454" t="s">
        <v>8</v>
      </c>
      <c r="J4" s="455"/>
      <c r="K4" s="455"/>
      <c r="L4" s="455"/>
      <c r="M4" s="455"/>
      <c r="N4" s="455"/>
      <c r="O4" s="456"/>
      <c r="P4" s="457" t="s">
        <v>9</v>
      </c>
      <c r="Q4" s="458"/>
      <c r="R4" s="459" t="s">
        <v>10</v>
      </c>
      <c r="S4" s="459"/>
      <c r="T4" s="459"/>
      <c r="U4" s="459"/>
      <c r="V4" s="459"/>
      <c r="W4" s="460" t="s">
        <v>11</v>
      </c>
      <c r="X4" s="459"/>
      <c r="Y4" s="459"/>
      <c r="Z4" s="459"/>
      <c r="AA4" s="461"/>
      <c r="AB4" s="462" t="s">
        <v>12</v>
      </c>
      <c r="AC4" s="435" t="s">
        <v>13</v>
      </c>
      <c r="AD4" s="435" t="s">
        <v>14</v>
      </c>
      <c r="AE4" s="54"/>
    </row>
    <row r="5" spans="1:32" ht="51" customHeight="1" thickBot="1">
      <c r="A5" s="467"/>
      <c r="B5" s="469"/>
      <c r="C5" s="470"/>
      <c r="D5" s="472"/>
      <c r="E5" s="472"/>
      <c r="F5" s="472"/>
      <c r="G5" s="469"/>
      <c r="H5" s="475"/>
      <c r="I5" s="55" t="s">
        <v>15</v>
      </c>
      <c r="J5" s="56" t="s">
        <v>16</v>
      </c>
      <c r="K5" s="348" t="s">
        <v>17</v>
      </c>
      <c r="L5" s="348" t="s">
        <v>18</v>
      </c>
      <c r="M5" s="348" t="s">
        <v>19</v>
      </c>
      <c r="N5" s="34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3"/>
      <c r="AC5" s="436"/>
      <c r="AD5" s="43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18" si="7">AC6*AB6*(1-O6)</f>
        <v>0</v>
      </c>
      <c r="AE6" s="36">
        <f>$AD$22</f>
        <v>0.46388888888888891</v>
      </c>
      <c r="AF6" s="87">
        <f t="shared" ref="AF6:AF21" si="8">A6</f>
        <v>1</v>
      </c>
    </row>
    <row r="7" spans="1:32" ht="27" customHeight="1">
      <c r="A7" s="101">
        <v>2</v>
      </c>
      <c r="B7" s="11" t="s">
        <v>57</v>
      </c>
      <c r="C7" s="34" t="s">
        <v>133</v>
      </c>
      <c r="D7" s="52" t="s">
        <v>134</v>
      </c>
      <c r="E7" s="53" t="s">
        <v>132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>$AD$22</f>
        <v>0.46388888888888891</v>
      </c>
      <c r="AF7" s="87">
        <f t="shared" si="8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557</v>
      </c>
      <c r="F8" s="30" t="s">
        <v>123</v>
      </c>
      <c r="G8" s="33">
        <v>1</v>
      </c>
      <c r="H8" s="35">
        <v>24</v>
      </c>
      <c r="I8" s="7">
        <v>38000</v>
      </c>
      <c r="J8" s="14">
        <v>4784</v>
      </c>
      <c r="K8" s="15">
        <f>L8+6174+6474</f>
        <v>17432</v>
      </c>
      <c r="L8" s="15">
        <f>3351+1433</f>
        <v>4784</v>
      </c>
      <c r="M8" s="15">
        <f t="shared" si="1"/>
        <v>4784</v>
      </c>
      <c r="N8" s="15">
        <v>0</v>
      </c>
      <c r="O8" s="58">
        <f t="shared" si="2"/>
        <v>0</v>
      </c>
      <c r="P8" s="39">
        <f t="shared" si="3"/>
        <v>21</v>
      </c>
      <c r="Q8" s="40">
        <f t="shared" si="4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0.875</v>
      </c>
      <c r="AD8" s="10">
        <f t="shared" si="7"/>
        <v>0.875</v>
      </c>
      <c r="AE8" s="36">
        <f>$AD$22</f>
        <v>0.46388888888888891</v>
      </c>
      <c r="AF8" s="87">
        <f t="shared" si="8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148</v>
      </c>
      <c r="E9" s="53" t="s">
        <v>191</v>
      </c>
      <c r="F9" s="30" t="s">
        <v>130</v>
      </c>
      <c r="G9" s="33">
        <v>1</v>
      </c>
      <c r="H9" s="35">
        <v>24</v>
      </c>
      <c r="I9" s="7">
        <v>50000</v>
      </c>
      <c r="J9" s="14">
        <v>1210</v>
      </c>
      <c r="K9" s="15">
        <f>L9+1593+1896+2807+1401+3459+1160+3830+650+1584+2358+4249+584+4731+3038+1149+1391+2345+2572+1276+2512+3429</f>
        <v>49224</v>
      </c>
      <c r="L9" s="15">
        <f>438+772</f>
        <v>1210</v>
      </c>
      <c r="M9" s="15">
        <f t="shared" si="1"/>
        <v>1210</v>
      </c>
      <c r="N9" s="15">
        <v>0</v>
      </c>
      <c r="O9" s="58">
        <f t="shared" si="2"/>
        <v>0</v>
      </c>
      <c r="P9" s="39">
        <f t="shared" si="3"/>
        <v>4</v>
      </c>
      <c r="Q9" s="40">
        <f t="shared" si="4"/>
        <v>20</v>
      </c>
      <c r="R9" s="7"/>
      <c r="S9" s="6">
        <v>20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0.16666666666666666</v>
      </c>
      <c r="AD9" s="10">
        <f t="shared" si="7"/>
        <v>0.16666666666666666</v>
      </c>
      <c r="AE9" s="36">
        <f>$AD$22</f>
        <v>0.46388888888888891</v>
      </c>
      <c r="AF9" s="87">
        <f t="shared" si="8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128</v>
      </c>
      <c r="E10" s="53" t="s">
        <v>572</v>
      </c>
      <c r="F10" s="30" t="s">
        <v>129</v>
      </c>
      <c r="G10" s="33">
        <v>1</v>
      </c>
      <c r="H10" s="35">
        <v>24</v>
      </c>
      <c r="I10" s="7">
        <v>400</v>
      </c>
      <c r="J10" s="5">
        <v>474</v>
      </c>
      <c r="K10" s="15">
        <f>L10</f>
        <v>474</v>
      </c>
      <c r="L10" s="15">
        <v>474</v>
      </c>
      <c r="M10" s="15">
        <f t="shared" si="1"/>
        <v>474</v>
      </c>
      <c r="N10" s="15">
        <v>0</v>
      </c>
      <c r="O10" s="58">
        <f t="shared" si="2"/>
        <v>0</v>
      </c>
      <c r="P10" s="39">
        <f t="shared" si="3"/>
        <v>3</v>
      </c>
      <c r="Q10" s="40">
        <f t="shared" si="4"/>
        <v>21</v>
      </c>
      <c r="R10" s="7"/>
      <c r="S10" s="6"/>
      <c r="T10" s="16"/>
      <c r="U10" s="16"/>
      <c r="V10" s="17"/>
      <c r="W10" s="5">
        <v>21</v>
      </c>
      <c r="X10" s="16"/>
      <c r="Y10" s="16"/>
      <c r="Z10" s="16"/>
      <c r="AA10" s="18"/>
      <c r="AB10" s="8">
        <f t="shared" si="5"/>
        <v>1</v>
      </c>
      <c r="AC10" s="9">
        <f t="shared" si="6"/>
        <v>0.125</v>
      </c>
      <c r="AD10" s="10">
        <f>AC10*AB10*(1-O10)</f>
        <v>0.125</v>
      </c>
      <c r="AE10" s="36">
        <f>$AD$22</f>
        <v>0.46388888888888891</v>
      </c>
      <c r="AF10" s="87">
        <f t="shared" si="8"/>
        <v>5</v>
      </c>
    </row>
    <row r="11" spans="1:32" ht="27" customHeight="1">
      <c r="A11" s="103">
        <v>5</v>
      </c>
      <c r="B11" s="11" t="s">
        <v>57</v>
      </c>
      <c r="C11" s="34" t="s">
        <v>291</v>
      </c>
      <c r="D11" s="52" t="s">
        <v>119</v>
      </c>
      <c r="E11" s="53" t="s">
        <v>576</v>
      </c>
      <c r="F11" s="30" t="s">
        <v>130</v>
      </c>
      <c r="G11" s="33">
        <v>1</v>
      </c>
      <c r="H11" s="35">
        <v>24</v>
      </c>
      <c r="I11" s="7">
        <v>1000</v>
      </c>
      <c r="J11" s="5">
        <v>1044</v>
      </c>
      <c r="K11" s="15">
        <f>L11</f>
        <v>1044</v>
      </c>
      <c r="L11" s="15">
        <f>1044</f>
        <v>1044</v>
      </c>
      <c r="M11" s="15">
        <f t="shared" si="1"/>
        <v>1044</v>
      </c>
      <c r="N11" s="15">
        <v>0</v>
      </c>
      <c r="O11" s="58">
        <f t="shared" si="2"/>
        <v>0</v>
      </c>
      <c r="P11" s="39">
        <f t="shared" si="3"/>
        <v>7</v>
      </c>
      <c r="Q11" s="40">
        <f t="shared" si="4"/>
        <v>17</v>
      </c>
      <c r="R11" s="7"/>
      <c r="S11" s="6"/>
      <c r="T11" s="16"/>
      <c r="U11" s="16"/>
      <c r="V11" s="17"/>
      <c r="W11" s="5">
        <v>17</v>
      </c>
      <c r="X11" s="16"/>
      <c r="Y11" s="16"/>
      <c r="Z11" s="16"/>
      <c r="AA11" s="18"/>
      <c r="AB11" s="8">
        <f t="shared" si="5"/>
        <v>1</v>
      </c>
      <c r="AC11" s="9">
        <f t="shared" si="6"/>
        <v>0.29166666666666669</v>
      </c>
      <c r="AD11" s="10">
        <f t="shared" ref="AD11:AD12" si="9">AC11*AB11*(1-O11)</f>
        <v>0.29166666666666669</v>
      </c>
      <c r="AE11" s="36">
        <f>$AD$22</f>
        <v>0.46388888888888891</v>
      </c>
      <c r="AF11" s="87">
        <f t="shared" si="8"/>
        <v>5</v>
      </c>
    </row>
    <row r="12" spans="1:32" ht="27" customHeight="1">
      <c r="A12" s="103">
        <v>6</v>
      </c>
      <c r="B12" s="11" t="s">
        <v>57</v>
      </c>
      <c r="C12" s="11" t="s">
        <v>133</v>
      </c>
      <c r="D12" s="52" t="s">
        <v>122</v>
      </c>
      <c r="E12" s="53" t="s">
        <v>548</v>
      </c>
      <c r="F12" s="30" t="s">
        <v>144</v>
      </c>
      <c r="G12" s="33">
        <v>2</v>
      </c>
      <c r="H12" s="35">
        <v>24</v>
      </c>
      <c r="I12" s="7">
        <v>15000</v>
      </c>
      <c r="J12" s="14">
        <v>6700</v>
      </c>
      <c r="K12" s="15">
        <f>L12+8720+6700</f>
        <v>15420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/>
      <c r="T12" s="16"/>
      <c r="U12" s="16"/>
      <c r="V12" s="17"/>
      <c r="W12" s="5"/>
      <c r="X12" s="16"/>
      <c r="Y12" s="16"/>
      <c r="Z12" s="16"/>
      <c r="AA12" s="18">
        <v>24</v>
      </c>
      <c r="AB12" s="8">
        <f t="shared" si="5"/>
        <v>0</v>
      </c>
      <c r="AC12" s="9">
        <f t="shared" si="6"/>
        <v>0</v>
      </c>
      <c r="AD12" s="10">
        <f t="shared" si="9"/>
        <v>0</v>
      </c>
      <c r="AE12" s="36">
        <f>$AD$22</f>
        <v>0.46388888888888891</v>
      </c>
      <c r="AF12" s="87">
        <f t="shared" si="8"/>
        <v>6</v>
      </c>
    </row>
    <row r="13" spans="1:32" ht="27" customHeight="1">
      <c r="A13" s="103">
        <v>7</v>
      </c>
      <c r="B13" s="11" t="s">
        <v>57</v>
      </c>
      <c r="C13" s="11" t="s">
        <v>291</v>
      </c>
      <c r="D13" s="52" t="s">
        <v>119</v>
      </c>
      <c r="E13" s="53" t="s">
        <v>577</v>
      </c>
      <c r="F13" s="30" t="s">
        <v>130</v>
      </c>
      <c r="G13" s="33">
        <v>1</v>
      </c>
      <c r="H13" s="35">
        <v>20</v>
      </c>
      <c r="I13" s="7">
        <v>1000</v>
      </c>
      <c r="J13" s="14">
        <v>1058</v>
      </c>
      <c r="K13" s="15">
        <f>L13</f>
        <v>1058</v>
      </c>
      <c r="L13" s="15">
        <v>1058</v>
      </c>
      <c r="M13" s="15">
        <f t="shared" si="1"/>
        <v>1058</v>
      </c>
      <c r="N13" s="15">
        <v>0</v>
      </c>
      <c r="O13" s="58">
        <f t="shared" si="2"/>
        <v>0</v>
      </c>
      <c r="P13" s="39">
        <f t="shared" si="3"/>
        <v>7</v>
      </c>
      <c r="Q13" s="40">
        <f t="shared" si="4"/>
        <v>17</v>
      </c>
      <c r="R13" s="7"/>
      <c r="S13" s="6"/>
      <c r="T13" s="16"/>
      <c r="U13" s="16"/>
      <c r="V13" s="17"/>
      <c r="W13" s="5">
        <v>17</v>
      </c>
      <c r="X13" s="16"/>
      <c r="Y13" s="16"/>
      <c r="Z13" s="16"/>
      <c r="AA13" s="18"/>
      <c r="AB13" s="8">
        <f t="shared" si="5"/>
        <v>1</v>
      </c>
      <c r="AC13" s="9">
        <f t="shared" si="6"/>
        <v>0.29166666666666669</v>
      </c>
      <c r="AD13" s="10">
        <f t="shared" si="7"/>
        <v>0.29166666666666669</v>
      </c>
      <c r="AE13" s="36">
        <f>$AD$22</f>
        <v>0.46388888888888891</v>
      </c>
      <c r="AF13" s="87">
        <f t="shared" si="8"/>
        <v>7</v>
      </c>
    </row>
    <row r="14" spans="1:32" ht="27" customHeight="1">
      <c r="A14" s="103">
        <v>8</v>
      </c>
      <c r="B14" s="11" t="s">
        <v>57</v>
      </c>
      <c r="C14" s="11" t="s">
        <v>133</v>
      </c>
      <c r="D14" s="52" t="s">
        <v>117</v>
      </c>
      <c r="E14" s="53" t="s">
        <v>570</v>
      </c>
      <c r="F14" s="30" t="s">
        <v>144</v>
      </c>
      <c r="G14" s="33">
        <v>2</v>
      </c>
      <c r="H14" s="35">
        <v>24</v>
      </c>
      <c r="I14" s="7">
        <v>15000</v>
      </c>
      <c r="J14" s="14">
        <v>5104</v>
      </c>
      <c r="K14" s="15">
        <f>L14</f>
        <v>5104</v>
      </c>
      <c r="L14" s="15">
        <f>1302*2+1250*2</f>
        <v>5104</v>
      </c>
      <c r="M14" s="15">
        <f t="shared" si="1"/>
        <v>5104</v>
      </c>
      <c r="N14" s="15">
        <v>0</v>
      </c>
      <c r="O14" s="58">
        <f t="shared" si="2"/>
        <v>0</v>
      </c>
      <c r="P14" s="39">
        <f t="shared" si="3"/>
        <v>13</v>
      </c>
      <c r="Q14" s="40">
        <f t="shared" si="4"/>
        <v>11</v>
      </c>
      <c r="R14" s="7"/>
      <c r="S14" s="6">
        <v>8</v>
      </c>
      <c r="T14" s="16">
        <v>3</v>
      </c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0.54166666666666663</v>
      </c>
      <c r="AD14" s="10">
        <f t="shared" si="7"/>
        <v>0.54166666666666663</v>
      </c>
      <c r="AE14" s="36">
        <f>$AD$22</f>
        <v>0.46388888888888891</v>
      </c>
      <c r="AF14" s="87">
        <f t="shared" si="8"/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196</v>
      </c>
      <c r="E15" s="53" t="s">
        <v>189</v>
      </c>
      <c r="F15" s="30" t="s">
        <v>197</v>
      </c>
      <c r="G15" s="12">
        <v>1</v>
      </c>
      <c r="H15" s="13">
        <v>28</v>
      </c>
      <c r="I15" s="7">
        <v>2000</v>
      </c>
      <c r="J15" s="5">
        <v>1045</v>
      </c>
      <c r="K15" s="15">
        <f>L15+620+500+1045</f>
        <v>2165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>$AD$22</f>
        <v>0.46388888888888891</v>
      </c>
      <c r="AF15" s="87">
        <f t="shared" si="8"/>
        <v>9</v>
      </c>
    </row>
    <row r="16" spans="1:32" ht="27" customHeight="1">
      <c r="A16" s="102">
        <v>10</v>
      </c>
      <c r="B16" s="11" t="s">
        <v>57</v>
      </c>
      <c r="C16" s="34" t="s">
        <v>324</v>
      </c>
      <c r="D16" s="52"/>
      <c r="E16" s="53" t="s">
        <v>374</v>
      </c>
      <c r="F16" s="12" t="s">
        <v>330</v>
      </c>
      <c r="G16" s="12">
        <v>2</v>
      </c>
      <c r="H16" s="13">
        <v>24</v>
      </c>
      <c r="I16" s="31">
        <v>300</v>
      </c>
      <c r="J16" s="14">
        <v>440</v>
      </c>
      <c r="K16" s="15">
        <f>L16+440</f>
        <v>440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>$AD$22</f>
        <v>0.46388888888888891</v>
      </c>
      <c r="AF16" s="87">
        <f t="shared" si="8"/>
        <v>10</v>
      </c>
    </row>
    <row r="17" spans="1:32" ht="30" customHeight="1">
      <c r="A17" s="102">
        <v>11</v>
      </c>
      <c r="B17" s="11" t="s">
        <v>57</v>
      </c>
      <c r="C17" s="34" t="s">
        <v>124</v>
      </c>
      <c r="D17" s="52" t="s">
        <v>128</v>
      </c>
      <c r="E17" s="53" t="s">
        <v>534</v>
      </c>
      <c r="F17" s="30" t="s">
        <v>129</v>
      </c>
      <c r="G17" s="12">
        <v>1</v>
      </c>
      <c r="H17" s="13">
        <v>28</v>
      </c>
      <c r="I17" s="7">
        <v>36000</v>
      </c>
      <c r="J17" s="14">
        <v>4999</v>
      </c>
      <c r="K17" s="15">
        <f>L17+2340+5002+5386</f>
        <v>17727</v>
      </c>
      <c r="L17" s="15">
        <f>2875+2124</f>
        <v>4999</v>
      </c>
      <c r="M17" s="15">
        <f t="shared" si="1"/>
        <v>4999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>$AD$22</f>
        <v>0.46388888888888891</v>
      </c>
      <c r="AF17" s="87">
        <f t="shared" si="8"/>
        <v>11</v>
      </c>
    </row>
    <row r="18" spans="1:32" ht="27" customHeight="1">
      <c r="A18" s="102">
        <v>12</v>
      </c>
      <c r="B18" s="11" t="s">
        <v>57</v>
      </c>
      <c r="C18" s="11" t="s">
        <v>124</v>
      </c>
      <c r="D18" s="52" t="s">
        <v>171</v>
      </c>
      <c r="E18" s="53" t="s">
        <v>172</v>
      </c>
      <c r="F18" s="30" t="s">
        <v>151</v>
      </c>
      <c r="G18" s="33">
        <v>1</v>
      </c>
      <c r="H18" s="35">
        <v>20</v>
      </c>
      <c r="I18" s="7">
        <v>20000</v>
      </c>
      <c r="J18" s="14">
        <v>4085</v>
      </c>
      <c r="K18" s="15">
        <f>L18+5181+6332</f>
        <v>15598</v>
      </c>
      <c r="L18" s="15">
        <f>2869+1216</f>
        <v>4085</v>
      </c>
      <c r="M18" s="15">
        <f t="shared" si="1"/>
        <v>4085</v>
      </c>
      <c r="N18" s="15">
        <v>0</v>
      </c>
      <c r="O18" s="58">
        <f t="shared" si="2"/>
        <v>0</v>
      </c>
      <c r="P18" s="39">
        <f t="shared" si="3"/>
        <v>21</v>
      </c>
      <c r="Q18" s="40">
        <f t="shared" si="4"/>
        <v>3</v>
      </c>
      <c r="R18" s="7"/>
      <c r="S18" s="6"/>
      <c r="T18" s="16"/>
      <c r="U18" s="16"/>
      <c r="V18" s="17">
        <v>3</v>
      </c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0.875</v>
      </c>
      <c r="AD18" s="10">
        <f t="shared" si="7"/>
        <v>0.875</v>
      </c>
      <c r="AE18" s="36">
        <f>$AD$22</f>
        <v>0.46388888888888891</v>
      </c>
      <c r="AF18" s="87">
        <f t="shared" si="8"/>
        <v>12</v>
      </c>
    </row>
    <row r="19" spans="1:32" ht="27" customHeight="1">
      <c r="A19" s="103">
        <v>13</v>
      </c>
      <c r="B19" s="11" t="s">
        <v>57</v>
      </c>
      <c r="C19" s="34" t="s">
        <v>124</v>
      </c>
      <c r="D19" s="52" t="s">
        <v>117</v>
      </c>
      <c r="E19" s="53" t="s">
        <v>318</v>
      </c>
      <c r="F19" s="30" t="s">
        <v>212</v>
      </c>
      <c r="G19" s="33">
        <v>1</v>
      </c>
      <c r="H19" s="35">
        <v>24</v>
      </c>
      <c r="I19" s="7">
        <v>20000</v>
      </c>
      <c r="J19" s="5">
        <v>4868</v>
      </c>
      <c r="K19" s="15">
        <f>L19+2947+5119</f>
        <v>12934</v>
      </c>
      <c r="L19" s="15">
        <f>2154+2714</f>
        <v>4868</v>
      </c>
      <c r="M19" s="15">
        <f t="shared" si="1"/>
        <v>4868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>$AD$22</f>
        <v>0.46388888888888891</v>
      </c>
      <c r="AF19" s="87">
        <f t="shared" si="8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562</v>
      </c>
      <c r="F20" s="30" t="s">
        <v>253</v>
      </c>
      <c r="G20" s="33">
        <v>1</v>
      </c>
      <c r="H20" s="35">
        <v>24</v>
      </c>
      <c r="I20" s="7">
        <v>37000</v>
      </c>
      <c r="J20" s="14">
        <v>3108</v>
      </c>
      <c r="K20" s="15">
        <f>L20+4542</f>
        <v>7650</v>
      </c>
      <c r="L20" s="15">
        <f>946+2162</f>
        <v>3108</v>
      </c>
      <c r="M20" s="15">
        <f t="shared" si="1"/>
        <v>3108</v>
      </c>
      <c r="N20" s="15">
        <v>0</v>
      </c>
      <c r="O20" s="58">
        <f t="shared" si="2"/>
        <v>0</v>
      </c>
      <c r="P20" s="39">
        <f t="shared" si="3"/>
        <v>19</v>
      </c>
      <c r="Q20" s="40">
        <f t="shared" si="4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0.79166666666666663</v>
      </c>
      <c r="AD20" s="10">
        <f t="shared" ref="AD20:AD21" si="10">AC20*AB20*(1-O20)</f>
        <v>0.79166666666666663</v>
      </c>
      <c r="AE20" s="36">
        <f>$AD$22</f>
        <v>0.46388888888888891</v>
      </c>
      <c r="AF20" s="87">
        <f t="shared" si="8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528</v>
      </c>
      <c r="F21" s="12" t="s">
        <v>116</v>
      </c>
      <c r="G21" s="12">
        <v>4</v>
      </c>
      <c r="H21" s="35">
        <v>20</v>
      </c>
      <c r="I21" s="7">
        <v>500000</v>
      </c>
      <c r="J21" s="14">
        <v>76848</v>
      </c>
      <c r="K21" s="15">
        <f>L21+48568</f>
        <v>125416</v>
      </c>
      <c r="L21" s="15">
        <f>11476*4+7736*4</f>
        <v>76848</v>
      </c>
      <c r="M21" s="15">
        <f t="shared" si="1"/>
        <v>76848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 t="shared" si="10"/>
        <v>1</v>
      </c>
      <c r="AE21" s="36">
        <f>$AD$22</f>
        <v>0.46388888888888891</v>
      </c>
      <c r="AF21" s="87">
        <f t="shared" si="8"/>
        <v>15</v>
      </c>
    </row>
    <row r="22" spans="1:32" ht="31.5" customHeight="1" thickBot="1">
      <c r="A22" s="437" t="s">
        <v>34</v>
      </c>
      <c r="B22" s="438"/>
      <c r="C22" s="438"/>
      <c r="D22" s="438"/>
      <c r="E22" s="438"/>
      <c r="F22" s="438"/>
      <c r="G22" s="438"/>
      <c r="H22" s="439"/>
      <c r="I22" s="22">
        <f>SUM(I6:I21)</f>
        <v>756700</v>
      </c>
      <c r="J22" s="19">
        <f>SUM(J6:J21)</f>
        <v>117828</v>
      </c>
      <c r="K22" s="20">
        <f>SUM(K6:K21)</f>
        <v>283234</v>
      </c>
      <c r="L22" s="21">
        <f>SUM(L6:L21)</f>
        <v>107582</v>
      </c>
      <c r="M22" s="20">
        <f>SUM(M6:M21)</f>
        <v>107582</v>
      </c>
      <c r="N22" s="21">
        <f>SUM(N6:N21)</f>
        <v>0</v>
      </c>
      <c r="O22" s="41">
        <f t="shared" si="2"/>
        <v>0</v>
      </c>
      <c r="P22" s="42">
        <f>SUM(P6:P21)</f>
        <v>167</v>
      </c>
      <c r="Q22" s="43">
        <f>SUM(Q6:Q21)</f>
        <v>217</v>
      </c>
      <c r="R22" s="23">
        <f>SUM(R6:R21)</f>
        <v>24</v>
      </c>
      <c r="S22" s="24">
        <f>SUM(S6:S21)</f>
        <v>36</v>
      </c>
      <c r="T22" s="24">
        <f>SUM(T6:T21)</f>
        <v>3</v>
      </c>
      <c r="U22" s="24">
        <f>SUM(U6:U21)</f>
        <v>0</v>
      </c>
      <c r="V22" s="25">
        <f>SUM(V6:V21)</f>
        <v>27</v>
      </c>
      <c r="W22" s="26">
        <f>SUM(W6:W21)</f>
        <v>103</v>
      </c>
      <c r="X22" s="27">
        <f>SUM(X6:X21)</f>
        <v>0</v>
      </c>
      <c r="Y22" s="27">
        <f>SUM(Y6:Y21)</f>
        <v>0</v>
      </c>
      <c r="Z22" s="27">
        <f>SUM(Z6:Z21)</f>
        <v>0</v>
      </c>
      <c r="AA22" s="27">
        <f>SUM(AA6:AA21)</f>
        <v>24</v>
      </c>
      <c r="AB22" s="28">
        <f>SUM(AB6:AB21)/15</f>
        <v>0.73333333333333328</v>
      </c>
      <c r="AC22" s="4">
        <f>SUM(AC6:AC21)/15</f>
        <v>0.46388888888888891</v>
      </c>
      <c r="AD22" s="4">
        <f>SUM(AD6:AD21)/15</f>
        <v>0.46388888888888891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0" t="s">
        <v>45</v>
      </c>
      <c r="B49" s="440"/>
      <c r="C49" s="440"/>
      <c r="D49" s="440"/>
      <c r="E49" s="44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1" t="s">
        <v>578</v>
      </c>
      <c r="B50" s="442"/>
      <c r="C50" s="442"/>
      <c r="D50" s="442"/>
      <c r="E50" s="442"/>
      <c r="F50" s="442"/>
      <c r="G50" s="442"/>
      <c r="H50" s="442"/>
      <c r="I50" s="442"/>
      <c r="J50" s="442"/>
      <c r="K50" s="442"/>
      <c r="L50" s="442"/>
      <c r="M50" s="443"/>
      <c r="N50" s="444" t="s">
        <v>581</v>
      </c>
      <c r="O50" s="445"/>
      <c r="P50" s="445"/>
      <c r="Q50" s="445"/>
      <c r="R50" s="445"/>
      <c r="S50" s="445"/>
      <c r="T50" s="445"/>
      <c r="U50" s="445"/>
      <c r="V50" s="445"/>
      <c r="W50" s="445"/>
      <c r="X50" s="445"/>
      <c r="Y50" s="445"/>
      <c r="Z50" s="445"/>
      <c r="AA50" s="445"/>
      <c r="AB50" s="445"/>
      <c r="AC50" s="445"/>
      <c r="AD50" s="446"/>
    </row>
    <row r="51" spans="1:32" ht="27" customHeight="1">
      <c r="A51" s="447" t="s">
        <v>2</v>
      </c>
      <c r="B51" s="448"/>
      <c r="C51" s="349" t="s">
        <v>46</v>
      </c>
      <c r="D51" s="349" t="s">
        <v>47</v>
      </c>
      <c r="E51" s="349" t="s">
        <v>108</v>
      </c>
      <c r="F51" s="448" t="s">
        <v>107</v>
      </c>
      <c r="G51" s="448"/>
      <c r="H51" s="448"/>
      <c r="I51" s="448"/>
      <c r="J51" s="448"/>
      <c r="K51" s="448"/>
      <c r="L51" s="448"/>
      <c r="M51" s="449"/>
      <c r="N51" s="67" t="s">
        <v>112</v>
      </c>
      <c r="O51" s="349" t="s">
        <v>46</v>
      </c>
      <c r="P51" s="450" t="s">
        <v>47</v>
      </c>
      <c r="Q51" s="451"/>
      <c r="R51" s="450" t="s">
        <v>38</v>
      </c>
      <c r="S51" s="452"/>
      <c r="T51" s="452"/>
      <c r="U51" s="451"/>
      <c r="V51" s="450" t="s">
        <v>48</v>
      </c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19" t="s">
        <v>124</v>
      </c>
      <c r="B52" s="420"/>
      <c r="C52" s="351" t="s">
        <v>184</v>
      </c>
      <c r="D52" s="351" t="s">
        <v>148</v>
      </c>
      <c r="E52" s="351" t="s">
        <v>191</v>
      </c>
      <c r="F52" s="421" t="s">
        <v>215</v>
      </c>
      <c r="G52" s="422"/>
      <c r="H52" s="422"/>
      <c r="I52" s="422"/>
      <c r="J52" s="422"/>
      <c r="K52" s="422"/>
      <c r="L52" s="422"/>
      <c r="M52" s="423"/>
      <c r="N52" s="350" t="s">
        <v>124</v>
      </c>
      <c r="O52" s="355" t="s">
        <v>184</v>
      </c>
      <c r="P52" s="433" t="s">
        <v>148</v>
      </c>
      <c r="Q52" s="434"/>
      <c r="R52" s="420" t="s">
        <v>191</v>
      </c>
      <c r="S52" s="420"/>
      <c r="T52" s="420"/>
      <c r="U52" s="420"/>
      <c r="V52" s="410" t="s">
        <v>126</v>
      </c>
      <c r="W52" s="410"/>
      <c r="X52" s="410"/>
      <c r="Y52" s="410"/>
      <c r="Z52" s="410"/>
      <c r="AA52" s="410"/>
      <c r="AB52" s="410"/>
      <c r="AC52" s="410"/>
      <c r="AD52" s="424"/>
    </row>
    <row r="53" spans="1:32" ht="27" customHeight="1">
      <c r="A53" s="419" t="s">
        <v>114</v>
      </c>
      <c r="B53" s="420"/>
      <c r="C53" s="351" t="s">
        <v>131</v>
      </c>
      <c r="D53" s="351" t="s">
        <v>128</v>
      </c>
      <c r="E53" s="351" t="s">
        <v>572</v>
      </c>
      <c r="F53" s="421" t="s">
        <v>120</v>
      </c>
      <c r="G53" s="422"/>
      <c r="H53" s="422"/>
      <c r="I53" s="422"/>
      <c r="J53" s="422"/>
      <c r="K53" s="422"/>
      <c r="L53" s="422"/>
      <c r="M53" s="423"/>
      <c r="N53" s="350" t="s">
        <v>124</v>
      </c>
      <c r="O53" s="355" t="s">
        <v>139</v>
      </c>
      <c r="P53" s="433" t="s">
        <v>117</v>
      </c>
      <c r="Q53" s="434"/>
      <c r="R53" s="420" t="s">
        <v>168</v>
      </c>
      <c r="S53" s="420"/>
      <c r="T53" s="420"/>
      <c r="U53" s="420"/>
      <c r="V53" s="410" t="s">
        <v>126</v>
      </c>
      <c r="W53" s="410"/>
      <c r="X53" s="410"/>
      <c r="Y53" s="410"/>
      <c r="Z53" s="410"/>
      <c r="AA53" s="410"/>
      <c r="AB53" s="410"/>
      <c r="AC53" s="410"/>
      <c r="AD53" s="424"/>
    </row>
    <row r="54" spans="1:32" ht="27" customHeight="1">
      <c r="A54" s="419" t="s">
        <v>124</v>
      </c>
      <c r="B54" s="420"/>
      <c r="C54" s="351" t="s">
        <v>136</v>
      </c>
      <c r="D54" s="351" t="s">
        <v>122</v>
      </c>
      <c r="E54" s="351" t="s">
        <v>557</v>
      </c>
      <c r="F54" s="421" t="s">
        <v>579</v>
      </c>
      <c r="G54" s="422"/>
      <c r="H54" s="422"/>
      <c r="I54" s="422"/>
      <c r="J54" s="422"/>
      <c r="K54" s="422"/>
      <c r="L54" s="422"/>
      <c r="M54" s="423"/>
      <c r="N54" s="350" t="s">
        <v>124</v>
      </c>
      <c r="O54" s="355" t="s">
        <v>131</v>
      </c>
      <c r="P54" s="433" t="s">
        <v>234</v>
      </c>
      <c r="Q54" s="434"/>
      <c r="R54" s="420" t="s">
        <v>235</v>
      </c>
      <c r="S54" s="420"/>
      <c r="T54" s="420"/>
      <c r="U54" s="420"/>
      <c r="V54" s="410" t="s">
        <v>120</v>
      </c>
      <c r="W54" s="410"/>
      <c r="X54" s="410"/>
      <c r="Y54" s="410"/>
      <c r="Z54" s="410"/>
      <c r="AA54" s="410"/>
      <c r="AB54" s="410"/>
      <c r="AC54" s="410"/>
      <c r="AD54" s="424"/>
    </row>
    <row r="55" spans="1:32" ht="27" customHeight="1">
      <c r="A55" s="419" t="s">
        <v>291</v>
      </c>
      <c r="B55" s="420"/>
      <c r="C55" s="351" t="s">
        <v>131</v>
      </c>
      <c r="D55" s="351" t="s">
        <v>119</v>
      </c>
      <c r="E55" s="351" t="s">
        <v>576</v>
      </c>
      <c r="F55" s="421" t="s">
        <v>120</v>
      </c>
      <c r="G55" s="422"/>
      <c r="H55" s="422"/>
      <c r="I55" s="422"/>
      <c r="J55" s="422"/>
      <c r="K55" s="422"/>
      <c r="L55" s="422"/>
      <c r="M55" s="423"/>
      <c r="N55" s="350" t="s">
        <v>291</v>
      </c>
      <c r="O55" s="355" t="s">
        <v>131</v>
      </c>
      <c r="P55" s="433" t="s">
        <v>128</v>
      </c>
      <c r="Q55" s="434"/>
      <c r="R55" s="433" t="s">
        <v>576</v>
      </c>
      <c r="S55" s="476"/>
      <c r="T55" s="476"/>
      <c r="U55" s="434"/>
      <c r="V55" s="410" t="s">
        <v>120</v>
      </c>
      <c r="W55" s="410"/>
      <c r="X55" s="410"/>
      <c r="Y55" s="410"/>
      <c r="Z55" s="410"/>
      <c r="AA55" s="410"/>
      <c r="AB55" s="410"/>
      <c r="AC55" s="410"/>
      <c r="AD55" s="424"/>
    </row>
    <row r="56" spans="1:32" ht="27" customHeight="1">
      <c r="A56" s="419" t="s">
        <v>291</v>
      </c>
      <c r="B56" s="420"/>
      <c r="C56" s="351" t="s">
        <v>139</v>
      </c>
      <c r="D56" s="351" t="s">
        <v>119</v>
      </c>
      <c r="E56" s="351" t="s">
        <v>577</v>
      </c>
      <c r="F56" s="421" t="s">
        <v>120</v>
      </c>
      <c r="G56" s="422"/>
      <c r="H56" s="422"/>
      <c r="I56" s="422"/>
      <c r="J56" s="422"/>
      <c r="K56" s="422"/>
      <c r="L56" s="422"/>
      <c r="M56" s="423"/>
      <c r="N56" s="350" t="s">
        <v>291</v>
      </c>
      <c r="O56" s="355" t="s">
        <v>131</v>
      </c>
      <c r="P56" s="433" t="s">
        <v>128</v>
      </c>
      <c r="Q56" s="434"/>
      <c r="R56" s="433" t="s">
        <v>577</v>
      </c>
      <c r="S56" s="476"/>
      <c r="T56" s="476"/>
      <c r="U56" s="434"/>
      <c r="V56" s="410" t="s">
        <v>120</v>
      </c>
      <c r="W56" s="410"/>
      <c r="X56" s="410"/>
      <c r="Y56" s="410"/>
      <c r="Z56" s="410"/>
      <c r="AA56" s="410"/>
      <c r="AB56" s="410"/>
      <c r="AC56" s="410"/>
      <c r="AD56" s="424"/>
    </row>
    <row r="57" spans="1:32" ht="27" customHeight="1">
      <c r="A57" s="419" t="s">
        <v>124</v>
      </c>
      <c r="B57" s="420"/>
      <c r="C57" s="351" t="s">
        <v>145</v>
      </c>
      <c r="D57" s="351" t="s">
        <v>117</v>
      </c>
      <c r="E57" s="351" t="s">
        <v>562</v>
      </c>
      <c r="F57" s="421" t="s">
        <v>580</v>
      </c>
      <c r="G57" s="422"/>
      <c r="H57" s="422"/>
      <c r="I57" s="422"/>
      <c r="J57" s="422"/>
      <c r="K57" s="422"/>
      <c r="L57" s="422"/>
      <c r="M57" s="423"/>
      <c r="N57" s="350"/>
      <c r="O57" s="355"/>
      <c r="P57" s="433"/>
      <c r="Q57" s="434"/>
      <c r="R57" s="420"/>
      <c r="S57" s="420"/>
      <c r="T57" s="420"/>
      <c r="U57" s="420"/>
      <c r="V57" s="410"/>
      <c r="W57" s="410"/>
      <c r="X57" s="410"/>
      <c r="Y57" s="410"/>
      <c r="Z57" s="410"/>
      <c r="AA57" s="410"/>
      <c r="AB57" s="410"/>
      <c r="AC57" s="410"/>
      <c r="AD57" s="424"/>
    </row>
    <row r="58" spans="1:32" ht="27" customHeight="1">
      <c r="A58" s="419"/>
      <c r="B58" s="420"/>
      <c r="C58" s="351"/>
      <c r="D58" s="351"/>
      <c r="E58" s="351"/>
      <c r="F58" s="421"/>
      <c r="G58" s="422"/>
      <c r="H58" s="422"/>
      <c r="I58" s="422"/>
      <c r="J58" s="422"/>
      <c r="K58" s="422"/>
      <c r="L58" s="422"/>
      <c r="M58" s="423"/>
      <c r="N58" s="350"/>
      <c r="O58" s="355"/>
      <c r="P58" s="433"/>
      <c r="Q58" s="434"/>
      <c r="R58" s="420"/>
      <c r="S58" s="420"/>
      <c r="T58" s="420"/>
      <c r="U58" s="420"/>
      <c r="V58" s="410"/>
      <c r="W58" s="410"/>
      <c r="X58" s="410"/>
      <c r="Y58" s="410"/>
      <c r="Z58" s="410"/>
      <c r="AA58" s="410"/>
      <c r="AB58" s="410"/>
      <c r="AC58" s="410"/>
      <c r="AD58" s="424"/>
    </row>
    <row r="59" spans="1:32" ht="27" customHeight="1">
      <c r="A59" s="419"/>
      <c r="B59" s="420"/>
      <c r="C59" s="351"/>
      <c r="D59" s="351"/>
      <c r="E59" s="351"/>
      <c r="F59" s="421"/>
      <c r="G59" s="422"/>
      <c r="H59" s="422"/>
      <c r="I59" s="422"/>
      <c r="J59" s="422"/>
      <c r="K59" s="422"/>
      <c r="L59" s="422"/>
      <c r="M59" s="423"/>
      <c r="N59" s="350"/>
      <c r="O59" s="355"/>
      <c r="P59" s="433"/>
      <c r="Q59" s="434"/>
      <c r="R59" s="420"/>
      <c r="S59" s="420"/>
      <c r="T59" s="420"/>
      <c r="U59" s="420"/>
      <c r="V59" s="410"/>
      <c r="W59" s="410"/>
      <c r="X59" s="410"/>
      <c r="Y59" s="410"/>
      <c r="Z59" s="410"/>
      <c r="AA59" s="410"/>
      <c r="AB59" s="410"/>
      <c r="AC59" s="410"/>
      <c r="AD59" s="424"/>
    </row>
    <row r="60" spans="1:32" ht="27" customHeight="1">
      <c r="A60" s="419"/>
      <c r="B60" s="420"/>
      <c r="C60" s="351"/>
      <c r="D60" s="351"/>
      <c r="E60" s="351"/>
      <c r="F60" s="421"/>
      <c r="G60" s="422"/>
      <c r="H60" s="422"/>
      <c r="I60" s="422"/>
      <c r="J60" s="422"/>
      <c r="K60" s="422"/>
      <c r="L60" s="422"/>
      <c r="M60" s="423"/>
      <c r="N60" s="350"/>
      <c r="O60" s="355"/>
      <c r="P60" s="420"/>
      <c r="Q60" s="420"/>
      <c r="R60" s="420"/>
      <c r="S60" s="420"/>
      <c r="T60" s="420"/>
      <c r="U60" s="420"/>
      <c r="V60" s="410"/>
      <c r="W60" s="410"/>
      <c r="X60" s="410"/>
      <c r="Y60" s="410"/>
      <c r="Z60" s="410"/>
      <c r="AA60" s="410"/>
      <c r="AB60" s="410"/>
      <c r="AC60" s="410"/>
      <c r="AD60" s="424"/>
      <c r="AF60" s="87">
        <f>8*3000</f>
        <v>24000</v>
      </c>
    </row>
    <row r="61" spans="1:32" ht="27" customHeight="1" thickBot="1">
      <c r="A61" s="425"/>
      <c r="B61" s="426"/>
      <c r="C61" s="352"/>
      <c r="D61" s="352"/>
      <c r="E61" s="352"/>
      <c r="F61" s="427"/>
      <c r="G61" s="428"/>
      <c r="H61" s="428"/>
      <c r="I61" s="428"/>
      <c r="J61" s="428"/>
      <c r="K61" s="428"/>
      <c r="L61" s="428"/>
      <c r="M61" s="429"/>
      <c r="N61" s="124"/>
      <c r="O61" s="114"/>
      <c r="P61" s="430"/>
      <c r="Q61" s="430"/>
      <c r="R61" s="430"/>
      <c r="S61" s="430"/>
      <c r="T61" s="430"/>
      <c r="U61" s="430"/>
      <c r="V61" s="431"/>
      <c r="W61" s="431"/>
      <c r="X61" s="431"/>
      <c r="Y61" s="431"/>
      <c r="Z61" s="431"/>
      <c r="AA61" s="431"/>
      <c r="AB61" s="431"/>
      <c r="AC61" s="431"/>
      <c r="AD61" s="432"/>
      <c r="AF61" s="87">
        <f>16*3000</f>
        <v>48000</v>
      </c>
    </row>
    <row r="62" spans="1:32" ht="27.75" thickBot="1">
      <c r="A62" s="417" t="s">
        <v>582</v>
      </c>
      <c r="B62" s="417"/>
      <c r="C62" s="417"/>
      <c r="D62" s="417"/>
      <c r="E62" s="41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18" t="s">
        <v>113</v>
      </c>
      <c r="B63" s="415"/>
      <c r="C63" s="353" t="s">
        <v>2</v>
      </c>
      <c r="D63" s="353" t="s">
        <v>37</v>
      </c>
      <c r="E63" s="353" t="s">
        <v>3</v>
      </c>
      <c r="F63" s="415" t="s">
        <v>110</v>
      </c>
      <c r="G63" s="415"/>
      <c r="H63" s="415"/>
      <c r="I63" s="415"/>
      <c r="J63" s="415"/>
      <c r="K63" s="415" t="s">
        <v>39</v>
      </c>
      <c r="L63" s="415"/>
      <c r="M63" s="353" t="s">
        <v>40</v>
      </c>
      <c r="N63" s="415" t="s">
        <v>41</v>
      </c>
      <c r="O63" s="415"/>
      <c r="P63" s="412" t="s">
        <v>42</v>
      </c>
      <c r="Q63" s="414"/>
      <c r="R63" s="412" t="s">
        <v>43</v>
      </c>
      <c r="S63" s="413"/>
      <c r="T63" s="413"/>
      <c r="U63" s="413"/>
      <c r="V63" s="413"/>
      <c r="W63" s="413"/>
      <c r="X63" s="413"/>
      <c r="Y63" s="413"/>
      <c r="Z63" s="413"/>
      <c r="AA63" s="414"/>
      <c r="AB63" s="415" t="s">
        <v>44</v>
      </c>
      <c r="AC63" s="415"/>
      <c r="AD63" s="416"/>
      <c r="AF63" s="87">
        <f>SUM(AF60:AF62)</f>
        <v>96000</v>
      </c>
    </row>
    <row r="64" spans="1:32" ht="25.5" customHeight="1">
      <c r="A64" s="406">
        <v>1</v>
      </c>
      <c r="B64" s="407"/>
      <c r="C64" s="117" t="s">
        <v>324</v>
      </c>
      <c r="D64" s="357"/>
      <c r="E64" s="354"/>
      <c r="F64" s="408" t="s">
        <v>325</v>
      </c>
      <c r="G64" s="400"/>
      <c r="H64" s="400"/>
      <c r="I64" s="400"/>
      <c r="J64" s="400"/>
      <c r="K64" s="400" t="s">
        <v>326</v>
      </c>
      <c r="L64" s="400"/>
      <c r="M64" s="51" t="s">
        <v>240</v>
      </c>
      <c r="N64" s="411" t="s">
        <v>143</v>
      </c>
      <c r="O64" s="411"/>
      <c r="P64" s="409">
        <v>100</v>
      </c>
      <c r="Q64" s="409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00"/>
      <c r="AC64" s="400"/>
      <c r="AD64" s="401"/>
      <c r="AF64" s="50"/>
    </row>
    <row r="65" spans="1:32" ht="25.5" customHeight="1">
      <c r="A65" s="406">
        <v>2</v>
      </c>
      <c r="B65" s="407"/>
      <c r="C65" s="117" t="s">
        <v>324</v>
      </c>
      <c r="D65" s="357"/>
      <c r="E65" s="354"/>
      <c r="F65" s="408" t="s">
        <v>329</v>
      </c>
      <c r="G65" s="400"/>
      <c r="H65" s="400"/>
      <c r="I65" s="400"/>
      <c r="J65" s="400"/>
      <c r="K65" s="400" t="s">
        <v>330</v>
      </c>
      <c r="L65" s="400"/>
      <c r="M65" s="51" t="s">
        <v>240</v>
      </c>
      <c r="N65" s="411" t="s">
        <v>243</v>
      </c>
      <c r="O65" s="411"/>
      <c r="P65" s="409">
        <v>100</v>
      </c>
      <c r="Q65" s="409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00"/>
      <c r="AC65" s="400"/>
      <c r="AD65" s="401"/>
      <c r="AF65" s="50"/>
    </row>
    <row r="66" spans="1:32" ht="25.5" customHeight="1">
      <c r="A66" s="406">
        <v>3</v>
      </c>
      <c r="B66" s="407"/>
      <c r="C66" s="117" t="s">
        <v>114</v>
      </c>
      <c r="D66" s="357"/>
      <c r="E66" s="354" t="s">
        <v>125</v>
      </c>
      <c r="F66" s="408" t="s">
        <v>317</v>
      </c>
      <c r="G66" s="400"/>
      <c r="H66" s="400"/>
      <c r="I66" s="400"/>
      <c r="J66" s="400"/>
      <c r="K66" s="400" t="s">
        <v>583</v>
      </c>
      <c r="L66" s="400"/>
      <c r="M66" s="51" t="s">
        <v>240</v>
      </c>
      <c r="N66" s="411" t="s">
        <v>200</v>
      </c>
      <c r="O66" s="411"/>
      <c r="P66" s="409">
        <v>30</v>
      </c>
      <c r="Q66" s="409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00"/>
      <c r="AC66" s="400"/>
      <c r="AD66" s="401"/>
      <c r="AF66" s="50"/>
    </row>
    <row r="67" spans="1:32" ht="25.5" customHeight="1">
      <c r="A67" s="406">
        <v>4</v>
      </c>
      <c r="B67" s="407"/>
      <c r="C67" s="117"/>
      <c r="D67" s="357"/>
      <c r="E67" s="354"/>
      <c r="F67" s="408"/>
      <c r="G67" s="400"/>
      <c r="H67" s="400"/>
      <c r="I67" s="400"/>
      <c r="J67" s="400"/>
      <c r="K67" s="400"/>
      <c r="L67" s="400"/>
      <c r="M67" s="51"/>
      <c r="N67" s="411"/>
      <c r="O67" s="411"/>
      <c r="P67" s="409"/>
      <c r="Q67" s="409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00"/>
      <c r="AC67" s="400"/>
      <c r="AD67" s="401"/>
      <c r="AF67" s="50"/>
    </row>
    <row r="68" spans="1:32" ht="25.5" customHeight="1">
      <c r="A68" s="406">
        <v>5</v>
      </c>
      <c r="B68" s="407"/>
      <c r="C68" s="117"/>
      <c r="D68" s="357"/>
      <c r="E68" s="354"/>
      <c r="F68" s="408"/>
      <c r="G68" s="400"/>
      <c r="H68" s="400"/>
      <c r="I68" s="400"/>
      <c r="J68" s="400"/>
      <c r="K68" s="400"/>
      <c r="L68" s="400"/>
      <c r="M68" s="51"/>
      <c r="N68" s="411"/>
      <c r="O68" s="411"/>
      <c r="P68" s="409"/>
      <c r="Q68" s="409"/>
      <c r="R68" s="410"/>
      <c r="S68" s="410"/>
      <c r="T68" s="410"/>
      <c r="U68" s="410"/>
      <c r="V68" s="410"/>
      <c r="W68" s="410"/>
      <c r="X68" s="410"/>
      <c r="Y68" s="410"/>
      <c r="Z68" s="410"/>
      <c r="AA68" s="410"/>
      <c r="AB68" s="400"/>
      <c r="AC68" s="400"/>
      <c r="AD68" s="401"/>
      <c r="AF68" s="50"/>
    </row>
    <row r="69" spans="1:32" ht="25.5" customHeight="1">
      <c r="A69" s="406">
        <v>6</v>
      </c>
      <c r="B69" s="407"/>
      <c r="C69" s="117"/>
      <c r="D69" s="357"/>
      <c r="E69" s="354"/>
      <c r="F69" s="408"/>
      <c r="G69" s="400"/>
      <c r="H69" s="400"/>
      <c r="I69" s="400"/>
      <c r="J69" s="400"/>
      <c r="K69" s="400"/>
      <c r="L69" s="400"/>
      <c r="M69" s="51"/>
      <c r="N69" s="411"/>
      <c r="O69" s="411"/>
      <c r="P69" s="409"/>
      <c r="Q69" s="409"/>
      <c r="R69" s="410"/>
      <c r="S69" s="410"/>
      <c r="T69" s="410"/>
      <c r="U69" s="410"/>
      <c r="V69" s="410"/>
      <c r="W69" s="410"/>
      <c r="X69" s="410"/>
      <c r="Y69" s="410"/>
      <c r="Z69" s="410"/>
      <c r="AA69" s="410"/>
      <c r="AB69" s="400"/>
      <c r="AC69" s="400"/>
      <c r="AD69" s="401"/>
      <c r="AF69" s="50"/>
    </row>
    <row r="70" spans="1:32" ht="25.5" customHeight="1">
      <c r="A70" s="406">
        <v>7</v>
      </c>
      <c r="B70" s="407"/>
      <c r="C70" s="117"/>
      <c r="D70" s="357"/>
      <c r="E70" s="354"/>
      <c r="F70" s="408"/>
      <c r="G70" s="400"/>
      <c r="H70" s="400"/>
      <c r="I70" s="400"/>
      <c r="J70" s="400"/>
      <c r="K70" s="400"/>
      <c r="L70" s="400"/>
      <c r="M70" s="51"/>
      <c r="N70" s="411"/>
      <c r="O70" s="411"/>
      <c r="P70" s="409"/>
      <c r="Q70" s="409"/>
      <c r="R70" s="410"/>
      <c r="S70" s="410"/>
      <c r="T70" s="410"/>
      <c r="U70" s="410"/>
      <c r="V70" s="410"/>
      <c r="W70" s="410"/>
      <c r="X70" s="410"/>
      <c r="Y70" s="410"/>
      <c r="Z70" s="410"/>
      <c r="AA70" s="410"/>
      <c r="AB70" s="400"/>
      <c r="AC70" s="400"/>
      <c r="AD70" s="401"/>
      <c r="AF70" s="50"/>
    </row>
    <row r="71" spans="1:32" ht="25.5" customHeight="1">
      <c r="A71" s="406">
        <v>8</v>
      </c>
      <c r="B71" s="407"/>
      <c r="C71" s="117"/>
      <c r="D71" s="357"/>
      <c r="E71" s="354"/>
      <c r="F71" s="408"/>
      <c r="G71" s="400"/>
      <c r="H71" s="400"/>
      <c r="I71" s="400"/>
      <c r="J71" s="400"/>
      <c r="K71" s="400"/>
      <c r="L71" s="400"/>
      <c r="M71" s="51"/>
      <c r="N71" s="400"/>
      <c r="O71" s="400"/>
      <c r="P71" s="409"/>
      <c r="Q71" s="409"/>
      <c r="R71" s="410"/>
      <c r="S71" s="410"/>
      <c r="T71" s="410"/>
      <c r="U71" s="410"/>
      <c r="V71" s="410"/>
      <c r="W71" s="410"/>
      <c r="X71" s="410"/>
      <c r="Y71" s="410"/>
      <c r="Z71" s="410"/>
      <c r="AA71" s="410"/>
      <c r="AB71" s="400"/>
      <c r="AC71" s="400"/>
      <c r="AD71" s="401"/>
      <c r="AF71" s="50"/>
    </row>
    <row r="72" spans="1:32" ht="26.25" customHeight="1" thickBot="1">
      <c r="A72" s="380" t="s">
        <v>584</v>
      </c>
      <c r="B72" s="380"/>
      <c r="C72" s="380"/>
      <c r="D72" s="380"/>
      <c r="E72" s="380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381" t="s">
        <v>113</v>
      </c>
      <c r="B73" s="382"/>
      <c r="C73" s="356" t="s">
        <v>2</v>
      </c>
      <c r="D73" s="356" t="s">
        <v>37</v>
      </c>
      <c r="E73" s="356" t="s">
        <v>3</v>
      </c>
      <c r="F73" s="382" t="s">
        <v>38</v>
      </c>
      <c r="G73" s="382"/>
      <c r="H73" s="382"/>
      <c r="I73" s="382"/>
      <c r="J73" s="382"/>
      <c r="K73" s="402" t="s">
        <v>58</v>
      </c>
      <c r="L73" s="403"/>
      <c r="M73" s="403"/>
      <c r="N73" s="403"/>
      <c r="O73" s="403"/>
      <c r="P73" s="403"/>
      <c r="Q73" s="403"/>
      <c r="R73" s="403"/>
      <c r="S73" s="404"/>
      <c r="T73" s="382" t="s">
        <v>49</v>
      </c>
      <c r="U73" s="382"/>
      <c r="V73" s="402" t="s">
        <v>50</v>
      </c>
      <c r="W73" s="404"/>
      <c r="X73" s="403" t="s">
        <v>51</v>
      </c>
      <c r="Y73" s="403"/>
      <c r="Z73" s="403"/>
      <c r="AA73" s="403"/>
      <c r="AB73" s="403"/>
      <c r="AC73" s="403"/>
      <c r="AD73" s="405"/>
      <c r="AF73" s="50"/>
    </row>
    <row r="74" spans="1:32" ht="33.75" customHeight="1">
      <c r="A74" s="374">
        <v>1</v>
      </c>
      <c r="B74" s="375"/>
      <c r="C74" s="358" t="s">
        <v>114</v>
      </c>
      <c r="D74" s="358"/>
      <c r="E74" s="65" t="s">
        <v>119</v>
      </c>
      <c r="F74" s="389" t="s">
        <v>118</v>
      </c>
      <c r="G74" s="390"/>
      <c r="H74" s="390"/>
      <c r="I74" s="390"/>
      <c r="J74" s="391"/>
      <c r="K74" s="392" t="s">
        <v>137</v>
      </c>
      <c r="L74" s="393"/>
      <c r="M74" s="393"/>
      <c r="N74" s="393"/>
      <c r="O74" s="393"/>
      <c r="P74" s="393"/>
      <c r="Q74" s="393"/>
      <c r="R74" s="393"/>
      <c r="S74" s="394"/>
      <c r="T74" s="395">
        <v>43675</v>
      </c>
      <c r="U74" s="396"/>
      <c r="V74" s="397"/>
      <c r="W74" s="397"/>
      <c r="X74" s="398"/>
      <c r="Y74" s="398"/>
      <c r="Z74" s="398"/>
      <c r="AA74" s="398"/>
      <c r="AB74" s="398"/>
      <c r="AC74" s="398"/>
      <c r="AD74" s="399"/>
      <c r="AF74" s="50"/>
    </row>
    <row r="75" spans="1:32" ht="30" customHeight="1">
      <c r="A75" s="367">
        <f>A74+1</f>
        <v>2</v>
      </c>
      <c r="B75" s="368"/>
      <c r="C75" s="357"/>
      <c r="D75" s="357"/>
      <c r="E75" s="32"/>
      <c r="F75" s="368"/>
      <c r="G75" s="368"/>
      <c r="H75" s="368"/>
      <c r="I75" s="368"/>
      <c r="J75" s="368"/>
      <c r="K75" s="383"/>
      <c r="L75" s="384"/>
      <c r="M75" s="384"/>
      <c r="N75" s="384"/>
      <c r="O75" s="384"/>
      <c r="P75" s="384"/>
      <c r="Q75" s="384"/>
      <c r="R75" s="384"/>
      <c r="S75" s="385"/>
      <c r="T75" s="386"/>
      <c r="U75" s="386"/>
      <c r="V75" s="386"/>
      <c r="W75" s="386"/>
      <c r="X75" s="387"/>
      <c r="Y75" s="387"/>
      <c r="Z75" s="387"/>
      <c r="AA75" s="387"/>
      <c r="AB75" s="387"/>
      <c r="AC75" s="387"/>
      <c r="AD75" s="388"/>
      <c r="AF75" s="50"/>
    </row>
    <row r="76" spans="1:32" ht="30" customHeight="1">
      <c r="A76" s="367">
        <f t="shared" ref="A76:A82" si="11">A75+1</f>
        <v>3</v>
      </c>
      <c r="B76" s="368"/>
      <c r="C76" s="357"/>
      <c r="D76" s="357"/>
      <c r="E76" s="32"/>
      <c r="F76" s="368"/>
      <c r="G76" s="368"/>
      <c r="H76" s="368"/>
      <c r="I76" s="368"/>
      <c r="J76" s="368"/>
      <c r="K76" s="383"/>
      <c r="L76" s="384"/>
      <c r="M76" s="384"/>
      <c r="N76" s="384"/>
      <c r="O76" s="384"/>
      <c r="P76" s="384"/>
      <c r="Q76" s="384"/>
      <c r="R76" s="384"/>
      <c r="S76" s="385"/>
      <c r="T76" s="386"/>
      <c r="U76" s="386"/>
      <c r="V76" s="386"/>
      <c r="W76" s="386"/>
      <c r="X76" s="387"/>
      <c r="Y76" s="387"/>
      <c r="Z76" s="387"/>
      <c r="AA76" s="387"/>
      <c r="AB76" s="387"/>
      <c r="AC76" s="387"/>
      <c r="AD76" s="388"/>
      <c r="AF76" s="50"/>
    </row>
    <row r="77" spans="1:32" ht="30" customHeight="1">
      <c r="A77" s="367">
        <f t="shared" si="11"/>
        <v>4</v>
      </c>
      <c r="B77" s="368"/>
      <c r="C77" s="357"/>
      <c r="D77" s="357"/>
      <c r="E77" s="32"/>
      <c r="F77" s="368"/>
      <c r="G77" s="368"/>
      <c r="H77" s="368"/>
      <c r="I77" s="368"/>
      <c r="J77" s="368"/>
      <c r="K77" s="383"/>
      <c r="L77" s="384"/>
      <c r="M77" s="384"/>
      <c r="N77" s="384"/>
      <c r="O77" s="384"/>
      <c r="P77" s="384"/>
      <c r="Q77" s="384"/>
      <c r="R77" s="384"/>
      <c r="S77" s="385"/>
      <c r="T77" s="386"/>
      <c r="U77" s="386"/>
      <c r="V77" s="386"/>
      <c r="W77" s="386"/>
      <c r="X77" s="387"/>
      <c r="Y77" s="387"/>
      <c r="Z77" s="387"/>
      <c r="AA77" s="387"/>
      <c r="AB77" s="387"/>
      <c r="AC77" s="387"/>
      <c r="AD77" s="388"/>
      <c r="AF77" s="50"/>
    </row>
    <row r="78" spans="1:32" ht="30" customHeight="1">
      <c r="A78" s="367">
        <f t="shared" si="11"/>
        <v>5</v>
      </c>
      <c r="B78" s="368"/>
      <c r="C78" s="357"/>
      <c r="D78" s="357"/>
      <c r="E78" s="32"/>
      <c r="F78" s="368"/>
      <c r="G78" s="368"/>
      <c r="H78" s="368"/>
      <c r="I78" s="368"/>
      <c r="J78" s="368"/>
      <c r="K78" s="383"/>
      <c r="L78" s="384"/>
      <c r="M78" s="384"/>
      <c r="N78" s="384"/>
      <c r="O78" s="384"/>
      <c r="P78" s="384"/>
      <c r="Q78" s="384"/>
      <c r="R78" s="384"/>
      <c r="S78" s="385"/>
      <c r="T78" s="386"/>
      <c r="U78" s="386"/>
      <c r="V78" s="386"/>
      <c r="W78" s="386"/>
      <c r="X78" s="387"/>
      <c r="Y78" s="387"/>
      <c r="Z78" s="387"/>
      <c r="AA78" s="387"/>
      <c r="AB78" s="387"/>
      <c r="AC78" s="387"/>
      <c r="AD78" s="388"/>
      <c r="AF78" s="50"/>
    </row>
    <row r="79" spans="1:32" ht="30" customHeight="1">
      <c r="A79" s="367">
        <f t="shared" si="11"/>
        <v>6</v>
      </c>
      <c r="B79" s="368"/>
      <c r="C79" s="357"/>
      <c r="D79" s="357"/>
      <c r="E79" s="32"/>
      <c r="F79" s="368"/>
      <c r="G79" s="368"/>
      <c r="H79" s="368"/>
      <c r="I79" s="368"/>
      <c r="J79" s="368"/>
      <c r="K79" s="383"/>
      <c r="L79" s="384"/>
      <c r="M79" s="384"/>
      <c r="N79" s="384"/>
      <c r="O79" s="384"/>
      <c r="P79" s="384"/>
      <c r="Q79" s="384"/>
      <c r="R79" s="384"/>
      <c r="S79" s="385"/>
      <c r="T79" s="386"/>
      <c r="U79" s="386"/>
      <c r="V79" s="386"/>
      <c r="W79" s="386"/>
      <c r="X79" s="387"/>
      <c r="Y79" s="387"/>
      <c r="Z79" s="387"/>
      <c r="AA79" s="387"/>
      <c r="AB79" s="387"/>
      <c r="AC79" s="387"/>
      <c r="AD79" s="388"/>
      <c r="AF79" s="50"/>
    </row>
    <row r="80" spans="1:32" ht="30" customHeight="1">
      <c r="A80" s="367">
        <f t="shared" si="11"/>
        <v>7</v>
      </c>
      <c r="B80" s="368"/>
      <c r="C80" s="357"/>
      <c r="D80" s="357"/>
      <c r="E80" s="32"/>
      <c r="F80" s="368"/>
      <c r="G80" s="368"/>
      <c r="H80" s="368"/>
      <c r="I80" s="368"/>
      <c r="J80" s="368"/>
      <c r="K80" s="383"/>
      <c r="L80" s="384"/>
      <c r="M80" s="384"/>
      <c r="N80" s="384"/>
      <c r="O80" s="384"/>
      <c r="P80" s="384"/>
      <c r="Q80" s="384"/>
      <c r="R80" s="384"/>
      <c r="S80" s="385"/>
      <c r="T80" s="386"/>
      <c r="U80" s="386"/>
      <c r="V80" s="386"/>
      <c r="W80" s="386"/>
      <c r="X80" s="387"/>
      <c r="Y80" s="387"/>
      <c r="Z80" s="387"/>
      <c r="AA80" s="387"/>
      <c r="AB80" s="387"/>
      <c r="AC80" s="387"/>
      <c r="AD80" s="388"/>
      <c r="AF80" s="50"/>
    </row>
    <row r="81" spans="1:32" ht="30" customHeight="1">
      <c r="A81" s="367">
        <f t="shared" si="11"/>
        <v>8</v>
      </c>
      <c r="B81" s="368"/>
      <c r="C81" s="357"/>
      <c r="D81" s="357"/>
      <c r="E81" s="32"/>
      <c r="F81" s="368"/>
      <c r="G81" s="368"/>
      <c r="H81" s="368"/>
      <c r="I81" s="368"/>
      <c r="J81" s="368"/>
      <c r="K81" s="383"/>
      <c r="L81" s="384"/>
      <c r="M81" s="384"/>
      <c r="N81" s="384"/>
      <c r="O81" s="384"/>
      <c r="P81" s="384"/>
      <c r="Q81" s="384"/>
      <c r="R81" s="384"/>
      <c r="S81" s="385"/>
      <c r="T81" s="386"/>
      <c r="U81" s="386"/>
      <c r="V81" s="386"/>
      <c r="W81" s="386"/>
      <c r="X81" s="387"/>
      <c r="Y81" s="387"/>
      <c r="Z81" s="387"/>
      <c r="AA81" s="387"/>
      <c r="AB81" s="387"/>
      <c r="AC81" s="387"/>
      <c r="AD81" s="388"/>
      <c r="AF81" s="50"/>
    </row>
    <row r="82" spans="1:32" ht="30" customHeight="1">
      <c r="A82" s="367">
        <f t="shared" si="11"/>
        <v>9</v>
      </c>
      <c r="B82" s="368"/>
      <c r="C82" s="357"/>
      <c r="D82" s="357"/>
      <c r="E82" s="32"/>
      <c r="F82" s="368"/>
      <c r="G82" s="368"/>
      <c r="H82" s="368"/>
      <c r="I82" s="368"/>
      <c r="J82" s="368"/>
      <c r="K82" s="383"/>
      <c r="L82" s="384"/>
      <c r="M82" s="384"/>
      <c r="N82" s="384"/>
      <c r="O82" s="384"/>
      <c r="P82" s="384"/>
      <c r="Q82" s="384"/>
      <c r="R82" s="384"/>
      <c r="S82" s="385"/>
      <c r="T82" s="386"/>
      <c r="U82" s="386"/>
      <c r="V82" s="386"/>
      <c r="W82" s="386"/>
      <c r="X82" s="387"/>
      <c r="Y82" s="387"/>
      <c r="Z82" s="387"/>
      <c r="AA82" s="387"/>
      <c r="AB82" s="387"/>
      <c r="AC82" s="387"/>
      <c r="AD82" s="388"/>
      <c r="AF82" s="50"/>
    </row>
    <row r="83" spans="1:32" ht="36" thickBot="1">
      <c r="A83" s="380" t="s">
        <v>585</v>
      </c>
      <c r="B83" s="380"/>
      <c r="C83" s="380"/>
      <c r="D83" s="380"/>
      <c r="E83" s="380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381" t="s">
        <v>113</v>
      </c>
      <c r="B84" s="382"/>
      <c r="C84" s="372" t="s">
        <v>52</v>
      </c>
      <c r="D84" s="372"/>
      <c r="E84" s="372" t="s">
        <v>53</v>
      </c>
      <c r="F84" s="372"/>
      <c r="G84" s="372"/>
      <c r="H84" s="372"/>
      <c r="I84" s="372"/>
      <c r="J84" s="372"/>
      <c r="K84" s="372" t="s">
        <v>54</v>
      </c>
      <c r="L84" s="372"/>
      <c r="M84" s="372"/>
      <c r="N84" s="372"/>
      <c r="O84" s="372"/>
      <c r="P84" s="372"/>
      <c r="Q84" s="372"/>
      <c r="R84" s="372"/>
      <c r="S84" s="372"/>
      <c r="T84" s="372" t="s">
        <v>55</v>
      </c>
      <c r="U84" s="372"/>
      <c r="V84" s="372" t="s">
        <v>56</v>
      </c>
      <c r="W84" s="372"/>
      <c r="X84" s="372"/>
      <c r="Y84" s="372" t="s">
        <v>51</v>
      </c>
      <c r="Z84" s="372"/>
      <c r="AA84" s="372"/>
      <c r="AB84" s="372"/>
      <c r="AC84" s="372"/>
      <c r="AD84" s="373"/>
      <c r="AF84" s="50"/>
    </row>
    <row r="85" spans="1:32" ht="30.75" customHeight="1">
      <c r="A85" s="374">
        <v>1</v>
      </c>
      <c r="B85" s="375"/>
      <c r="C85" s="376"/>
      <c r="D85" s="376"/>
      <c r="E85" s="376"/>
      <c r="F85" s="376"/>
      <c r="G85" s="376"/>
      <c r="H85" s="376"/>
      <c r="I85" s="376"/>
      <c r="J85" s="376"/>
      <c r="K85" s="376"/>
      <c r="L85" s="376"/>
      <c r="M85" s="376"/>
      <c r="N85" s="376"/>
      <c r="O85" s="376"/>
      <c r="P85" s="376"/>
      <c r="Q85" s="376"/>
      <c r="R85" s="376"/>
      <c r="S85" s="376"/>
      <c r="T85" s="376"/>
      <c r="U85" s="376"/>
      <c r="V85" s="377"/>
      <c r="W85" s="377"/>
      <c r="X85" s="377"/>
      <c r="Y85" s="378"/>
      <c r="Z85" s="378"/>
      <c r="AA85" s="378"/>
      <c r="AB85" s="378"/>
      <c r="AC85" s="378"/>
      <c r="AD85" s="379"/>
      <c r="AF85" s="50"/>
    </row>
    <row r="86" spans="1:32" ht="30.75" customHeight="1">
      <c r="A86" s="367">
        <v>2</v>
      </c>
      <c r="B86" s="368"/>
      <c r="C86" s="369"/>
      <c r="D86" s="369"/>
      <c r="E86" s="369"/>
      <c r="F86" s="369"/>
      <c r="G86" s="369"/>
      <c r="H86" s="369"/>
      <c r="I86" s="369"/>
      <c r="J86" s="369"/>
      <c r="K86" s="369"/>
      <c r="L86" s="369"/>
      <c r="M86" s="369"/>
      <c r="N86" s="369"/>
      <c r="O86" s="369"/>
      <c r="P86" s="369"/>
      <c r="Q86" s="369"/>
      <c r="R86" s="369"/>
      <c r="S86" s="369"/>
      <c r="T86" s="370"/>
      <c r="U86" s="370"/>
      <c r="V86" s="371"/>
      <c r="W86" s="371"/>
      <c r="X86" s="371"/>
      <c r="Y86" s="360"/>
      <c r="Z86" s="360"/>
      <c r="AA86" s="360"/>
      <c r="AB86" s="360"/>
      <c r="AC86" s="360"/>
      <c r="AD86" s="361"/>
      <c r="AF86" s="50"/>
    </row>
    <row r="87" spans="1:32" ht="30.75" customHeight="1" thickBot="1">
      <c r="A87" s="362">
        <v>3</v>
      </c>
      <c r="B87" s="363"/>
      <c r="C87" s="364"/>
      <c r="D87" s="364"/>
      <c r="E87" s="364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5"/>
      <c r="Z87" s="365"/>
      <c r="AA87" s="365"/>
      <c r="AB87" s="365"/>
      <c r="AC87" s="365"/>
      <c r="AD87" s="366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 지정된 범위</vt:lpstr>
      </vt:variant>
      <vt:variant>
        <vt:i4>52</vt:i4>
      </vt:variant>
    </vt:vector>
  </HeadingPairs>
  <TitlesOfParts>
    <vt:vector size="79" baseType="lpstr">
      <vt:lpstr>총괄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14</vt:lpstr>
      <vt:lpstr>15</vt:lpstr>
      <vt:lpstr>16</vt:lpstr>
      <vt:lpstr>17</vt:lpstr>
      <vt:lpstr>18</vt:lpstr>
      <vt:lpstr>19</vt:lpstr>
      <vt:lpstr>20</vt:lpstr>
      <vt:lpstr>21</vt:lpstr>
      <vt:lpstr>23</vt:lpstr>
      <vt:lpstr>24</vt:lpstr>
      <vt:lpstr>25</vt:lpstr>
      <vt:lpstr>26</vt:lpstr>
      <vt:lpstr>27</vt:lpstr>
      <vt:lpstr>28</vt:lpstr>
      <vt:lpstr>30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'20'!Print_Area</vt:lpstr>
      <vt:lpstr>'21'!Print_Area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'30'!Print_Area</vt:lpstr>
      <vt:lpstr>'02'!ㅁ1</vt:lpstr>
      <vt:lpstr>'03'!ㅁ1</vt:lpstr>
      <vt:lpstr>'04'!ㅁ1</vt:lpstr>
      <vt:lpstr>'05'!ㅁ1</vt:lpstr>
      <vt:lpstr>'06'!ㅁ1</vt:lpstr>
      <vt:lpstr>'07'!ㅁ1</vt:lpstr>
      <vt:lpstr>'08'!ㅁ1</vt:lpstr>
      <vt:lpstr>'09'!ㅁ1</vt:lpstr>
      <vt:lpstr>'10'!ㅁ1</vt:lpstr>
      <vt:lpstr>'11'!ㅁ1</vt:lpstr>
      <vt:lpstr>'12'!ㅁ1</vt:lpstr>
      <vt:lpstr>'14'!ㅁ1</vt:lpstr>
      <vt:lpstr>'15'!ㅁ1</vt:lpstr>
      <vt:lpstr>'16'!ㅁ1</vt:lpstr>
      <vt:lpstr>'17'!ㅁ1</vt:lpstr>
      <vt:lpstr>'18'!ㅁ1</vt:lpstr>
      <vt:lpstr>'19'!ㅁ1</vt:lpstr>
      <vt:lpstr>'20'!ㅁ1</vt:lpstr>
      <vt:lpstr>'21'!ㅁ1</vt:lpstr>
      <vt:lpstr>'23'!ㅁ1</vt:lpstr>
      <vt:lpstr>'24'!ㅁ1</vt:lpstr>
      <vt:lpstr>'25'!ㅁ1</vt:lpstr>
      <vt:lpstr>'26'!ㅁ1</vt:lpstr>
      <vt:lpstr>'27'!ㅁ1</vt:lpstr>
      <vt:lpstr>'28'!ㅁ1</vt:lpstr>
      <vt:lpstr>'30'!ㅁ1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2019-06-25T01:47:47Z</cp:lastPrinted>
  <dcterms:created xsi:type="dcterms:W3CDTF">2014-05-16T00:06:55Z</dcterms:created>
  <dcterms:modified xsi:type="dcterms:W3CDTF">2019-10-01T09:29:27Z</dcterms:modified>
</cp:coreProperties>
</file>