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drawings/drawing37.xml" ContentType="application/vnd.openxmlformats-officedocument.drawingml.chartshapes+xml"/>
  <Override PartName="/xl/drawings/drawing38.xml" ContentType="application/vnd.openxmlformats-officedocument.drawing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drawings/drawing41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20년도\일일업무\생산일보\"/>
    </mc:Choice>
  </mc:AlternateContent>
  <xr:revisionPtr revIDLastSave="0" documentId="13_ncr:1_{47B0D4A2-E9C8-4B91-8EA4-BF5F1ACA5899}" xr6:coauthVersionLast="45" xr6:coauthVersionMax="45" xr10:uidLastSave="{00000000-0000-0000-0000-000000000000}"/>
  <bookViews>
    <workbookView xWindow="-120" yWindow="-120" windowWidth="29040" windowHeight="15840" activeTab="20" xr2:uid="{00000000-000D-0000-FFFF-FFFF00000000}"/>
  </bookViews>
  <sheets>
    <sheet name="총괄" sheetId="16" r:id="rId1"/>
    <sheet name="02" sheetId="1632" r:id="rId2"/>
    <sheet name="03" sheetId="1633" r:id="rId3"/>
    <sheet name="06" sheetId="1634" r:id="rId4"/>
    <sheet name="07" sheetId="1635" r:id="rId5"/>
    <sheet name="08" sheetId="1636" r:id="rId6"/>
    <sheet name="09" sheetId="1637" r:id="rId7"/>
    <sheet name="10" sheetId="1638" r:id="rId8"/>
    <sheet name="13" sheetId="1639" r:id="rId9"/>
    <sheet name="14" sheetId="1640" r:id="rId10"/>
    <sheet name="15" sheetId="1641" r:id="rId11"/>
    <sheet name="16" sheetId="1642" r:id="rId12"/>
    <sheet name="17" sheetId="1643" r:id="rId13"/>
    <sheet name="20" sheetId="1644" r:id="rId14"/>
    <sheet name="21" sheetId="1645" r:id="rId15"/>
    <sheet name="22" sheetId="1646" r:id="rId16"/>
    <sheet name="23" sheetId="1647" r:id="rId17"/>
    <sheet name="28" sheetId="1648" r:id="rId18"/>
    <sheet name="29" sheetId="1649" r:id="rId19"/>
    <sheet name="30" sheetId="1650" r:id="rId20"/>
    <sheet name="31" sheetId="1651" r:id="rId21"/>
  </sheets>
  <definedNames>
    <definedName name="_xlnm.Print_Area" localSheetId="1">'02'!$A$1:$AD$86</definedName>
    <definedName name="_xlnm.Print_Area" localSheetId="2">'03'!$A$1:$AD$87</definedName>
    <definedName name="_xlnm.Print_Area" localSheetId="3">'06'!$A$1:$AD$87</definedName>
    <definedName name="_xlnm.Print_Area" localSheetId="4">'07'!$A$1:$AD$86</definedName>
    <definedName name="_xlnm.Print_Area" localSheetId="5">'08'!$A$1:$AD$86</definedName>
    <definedName name="_xlnm.Print_Area" localSheetId="6">'09'!$A$1:$AD$86</definedName>
    <definedName name="_xlnm.Print_Area" localSheetId="7">'10'!$A$1:$AD$86</definedName>
    <definedName name="_xlnm.Print_Area" localSheetId="8">'13'!$A$1:$AD$86</definedName>
    <definedName name="_xlnm.Print_Area" localSheetId="9">'14'!$A$1:$AD$87</definedName>
    <definedName name="_xlnm.Print_Area" localSheetId="10">'15'!$A$1:$AD$86</definedName>
    <definedName name="_xlnm.Print_Area" localSheetId="11">'16'!$A$1:$AD$86</definedName>
    <definedName name="_xlnm.Print_Area" localSheetId="12">'17'!$A$1:$AD$86</definedName>
    <definedName name="_xlnm.Print_Area" localSheetId="13">'20'!$A$1:$AD$87</definedName>
    <definedName name="_xlnm.Print_Area" localSheetId="14">'21'!$A$1:$AD$86</definedName>
    <definedName name="_xlnm.Print_Area" localSheetId="15">'22'!$A$1:$AD$88</definedName>
    <definedName name="_xlnm.Print_Area" localSheetId="16">'23'!$A$1:$AD$86</definedName>
    <definedName name="_xlnm.Print_Area" localSheetId="17">'28'!$A$1:$AD$86</definedName>
    <definedName name="_xlnm.Print_Area" localSheetId="18">'29'!$A$1:$AD$86</definedName>
    <definedName name="_xlnm.Print_Area" localSheetId="19">'30'!$A$1:$AD$86</definedName>
    <definedName name="_xlnm.Print_Area" localSheetId="20">'31'!$A$1:$AD$87</definedName>
    <definedName name="ㅁ1" localSheetId="1">'02'!$M$1048521:$M$1048576</definedName>
    <definedName name="ㅁ1" localSheetId="2">'03'!$M$1048522:$M$1048576</definedName>
    <definedName name="ㅁ1" localSheetId="3">'06'!$M$1048522:$M$1048576</definedName>
    <definedName name="ㅁ1" localSheetId="4">'07'!$M$1048521:$M$1048576</definedName>
    <definedName name="ㅁ1" localSheetId="5">'08'!$M$1048521:$M$1048576</definedName>
    <definedName name="ㅁ1" localSheetId="6">'09'!$M$1048521:$M$1048576</definedName>
    <definedName name="ㅁ1" localSheetId="7">'10'!$M$1048521:$M$1048576</definedName>
    <definedName name="ㅁ1" localSheetId="8">'13'!$M$1048521:$M$1048576</definedName>
    <definedName name="ㅁ1" localSheetId="9">'14'!$M$1048522:$M$1048576</definedName>
    <definedName name="ㅁ1" localSheetId="10">'15'!$M$1048521:$M$1048576</definedName>
    <definedName name="ㅁ1" localSheetId="11">'16'!$M$1048521:$M$1048576</definedName>
    <definedName name="ㅁ1" localSheetId="12">'17'!$M$1048521:$M$1048576</definedName>
    <definedName name="ㅁ1" localSheetId="13">'20'!$M$1048522:$M$1048576</definedName>
    <definedName name="ㅁ1" localSheetId="14">'21'!$M$1048521:$M$1048576</definedName>
    <definedName name="ㅁ1" localSheetId="15">'22'!$M$1048523:$M$1048576</definedName>
    <definedName name="ㅁ1" localSheetId="16">'23'!$M$1048521:$M$1048576</definedName>
    <definedName name="ㅁ1" localSheetId="17">'28'!$M$1048521:$M$1048576</definedName>
    <definedName name="ㅁ1" localSheetId="18">'29'!$M$1048521:$M$1048576</definedName>
    <definedName name="ㅁ1" localSheetId="19">'30'!$M$1048521:$M$1048576</definedName>
    <definedName name="ㅁ1" localSheetId="20">'31'!$M$1048522:$M$1048576</definedName>
    <definedName name="ㅁ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18" i="16" l="1"/>
  <c r="AF17" i="16"/>
  <c r="AF16" i="16"/>
  <c r="AF15" i="16"/>
  <c r="AF14" i="16"/>
  <c r="AF13" i="16"/>
  <c r="AF12" i="16"/>
  <c r="AF11" i="16"/>
  <c r="AF10" i="16"/>
  <c r="AF9" i="16"/>
  <c r="AF8" i="16"/>
  <c r="AF7" i="16"/>
  <c r="AF6" i="16"/>
  <c r="AF5" i="16"/>
  <c r="AF4" i="16"/>
  <c r="AF3" i="16"/>
  <c r="K17" i="1651"/>
  <c r="L20" i="1651"/>
  <c r="L14" i="1651"/>
  <c r="L13" i="1651"/>
  <c r="L12" i="1651"/>
  <c r="O12" i="1651" s="1"/>
  <c r="K12" i="1651"/>
  <c r="AF12" i="1651"/>
  <c r="AB12" i="1651"/>
  <c r="Q12" i="1651"/>
  <c r="P12" i="1651" s="1"/>
  <c r="AC12" i="1651" s="1"/>
  <c r="M12" i="1651"/>
  <c r="K10" i="1651"/>
  <c r="L9" i="1651"/>
  <c r="K20" i="1651"/>
  <c r="K16" i="1651"/>
  <c r="K14" i="1651"/>
  <c r="K13" i="1651"/>
  <c r="K11" i="1651"/>
  <c r="K9" i="1651"/>
  <c r="A75" i="1651"/>
  <c r="A76" i="1651" s="1"/>
  <c r="A77" i="1651" s="1"/>
  <c r="A78" i="1651" s="1"/>
  <c r="A79" i="1651" s="1"/>
  <c r="A80" i="1651" s="1"/>
  <c r="A81" i="1651" s="1"/>
  <c r="A82" i="1651" s="1"/>
  <c r="AF61" i="1651"/>
  <c r="AF60" i="1651"/>
  <c r="AF63" i="1651" s="1"/>
  <c r="AA22" i="1651"/>
  <c r="Z22" i="1651"/>
  <c r="Y22" i="1651"/>
  <c r="X22" i="1651"/>
  <c r="W22" i="1651"/>
  <c r="V22" i="1651"/>
  <c r="U22" i="1651"/>
  <c r="T22" i="1651"/>
  <c r="S22" i="1651"/>
  <c r="R22" i="1651"/>
  <c r="N22" i="1651"/>
  <c r="J22" i="1651"/>
  <c r="I22" i="1651"/>
  <c r="AF21" i="1651"/>
  <c r="AB21" i="1651"/>
  <c r="Q21" i="1651"/>
  <c r="P21" i="1651"/>
  <c r="AC21" i="1651" s="1"/>
  <c r="O21" i="1651"/>
  <c r="M21" i="1651"/>
  <c r="K21" i="1651"/>
  <c r="AF20" i="1651"/>
  <c r="Q20" i="1651"/>
  <c r="P20" i="1651"/>
  <c r="AC20" i="1651" s="1"/>
  <c r="AF19" i="1651"/>
  <c r="AB19" i="1651"/>
  <c r="Q19" i="1651"/>
  <c r="P19" i="1651"/>
  <c r="AC19" i="1651" s="1"/>
  <c r="AD19" i="1651" s="1"/>
  <c r="O19" i="1651"/>
  <c r="M19" i="1651"/>
  <c r="K19" i="1651"/>
  <c r="AF18" i="1651"/>
  <c r="AB18" i="1651"/>
  <c r="Q18" i="1651"/>
  <c r="P18" i="1651"/>
  <c r="AC18" i="1651" s="1"/>
  <c r="O18" i="1651"/>
  <c r="M18" i="1651"/>
  <c r="K18" i="1651"/>
  <c r="AF17" i="1651"/>
  <c r="AB17" i="1651"/>
  <c r="Q17" i="1651"/>
  <c r="P17" i="1651"/>
  <c r="AC17" i="1651" s="1"/>
  <c r="O17" i="1651"/>
  <c r="M17" i="1651"/>
  <c r="AF16" i="1651"/>
  <c r="AB16" i="1651"/>
  <c r="Q16" i="1651"/>
  <c r="O16" i="1651"/>
  <c r="M16" i="1651"/>
  <c r="P16" i="1651"/>
  <c r="AC16" i="1651" s="1"/>
  <c r="AD16" i="1651" s="1"/>
  <c r="AF15" i="1651"/>
  <c r="AB15" i="1651"/>
  <c r="Q15" i="1651"/>
  <c r="P15" i="1651"/>
  <c r="AC15" i="1651" s="1"/>
  <c r="O15" i="1651"/>
  <c r="M15" i="1651"/>
  <c r="K15" i="1651"/>
  <c r="AF14" i="1651"/>
  <c r="Q14" i="1651"/>
  <c r="P14" i="1651"/>
  <c r="AC14" i="1651" s="1"/>
  <c r="O14" i="1651"/>
  <c r="M14" i="1651"/>
  <c r="AB14" i="1651"/>
  <c r="AF13" i="1651"/>
  <c r="Q13" i="1651"/>
  <c r="O13" i="1651"/>
  <c r="M13" i="1651"/>
  <c r="AB13" i="1651"/>
  <c r="AF11" i="1651"/>
  <c r="AB11" i="1651"/>
  <c r="Q11" i="1651"/>
  <c r="P11" i="1651" s="1"/>
  <c r="AC11" i="1651" s="1"/>
  <c r="M11" i="1651"/>
  <c r="AF10" i="1651"/>
  <c r="Q10" i="1651"/>
  <c r="P10" i="1651" s="1"/>
  <c r="AC10" i="1651" s="1"/>
  <c r="AF9" i="1651"/>
  <c r="Q9" i="1651"/>
  <c r="P9" i="1651"/>
  <c r="AC9" i="1651" s="1"/>
  <c r="O9" i="1651"/>
  <c r="L22" i="1651"/>
  <c r="O22" i="1651" s="1"/>
  <c r="AF8" i="1651"/>
  <c r="AB8" i="1651"/>
  <c r="Q8" i="1651"/>
  <c r="P8" i="1651"/>
  <c r="AC8" i="1651" s="1"/>
  <c r="AD8" i="1651" s="1"/>
  <c r="O8" i="1651"/>
  <c r="M8" i="1651"/>
  <c r="K8" i="1651"/>
  <c r="AF7" i="1651"/>
  <c r="AB7" i="1651"/>
  <c r="Q7" i="1651"/>
  <c r="P7" i="1651"/>
  <c r="AC7" i="1651" s="1"/>
  <c r="O7" i="1651"/>
  <c r="M7" i="1651"/>
  <c r="K7" i="1651"/>
  <c r="AF6" i="1651"/>
  <c r="AC6" i="1651"/>
  <c r="AB6" i="1651"/>
  <c r="Q6" i="1651"/>
  <c r="P6" i="1651"/>
  <c r="O6" i="1651"/>
  <c r="M6" i="1651"/>
  <c r="K6" i="1651"/>
  <c r="AD12" i="1651" l="1"/>
  <c r="AD17" i="1651"/>
  <c r="AD21" i="1651"/>
  <c r="AD7" i="1651"/>
  <c r="AD15" i="1651"/>
  <c r="AD18" i="1651"/>
  <c r="Q22" i="1651"/>
  <c r="AD14" i="1651"/>
  <c r="M20" i="1651"/>
  <c r="AB20" i="1651"/>
  <c r="AD6" i="1651"/>
  <c r="M10" i="1651"/>
  <c r="AB10" i="1651"/>
  <c r="O11" i="1651"/>
  <c r="AD11" i="1651" s="1"/>
  <c r="P13" i="1651"/>
  <c r="AC13" i="1651" s="1"/>
  <c r="AD13" i="1651" s="1"/>
  <c r="O20" i="1651"/>
  <c r="M9" i="1651"/>
  <c r="AB9" i="1651"/>
  <c r="AD9" i="1651" s="1"/>
  <c r="O10" i="1651"/>
  <c r="K22" i="1651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L19" i="1650"/>
  <c r="L15" i="1650"/>
  <c r="L13" i="1650"/>
  <c r="L12" i="1650"/>
  <c r="K12" i="1650"/>
  <c r="L11" i="1650"/>
  <c r="K11" i="1650"/>
  <c r="L10" i="1650"/>
  <c r="L9" i="1650"/>
  <c r="AD20" i="1651" l="1"/>
  <c r="AD22" i="1651" s="1"/>
  <c r="AE12" i="1651" s="1"/>
  <c r="M22" i="1651"/>
  <c r="AD10" i="1651"/>
  <c r="AB22" i="1651"/>
  <c r="AC22" i="1651"/>
  <c r="P22" i="1651"/>
  <c r="K19" i="1650"/>
  <c r="K15" i="1650"/>
  <c r="K13" i="1650"/>
  <c r="K10" i="1650"/>
  <c r="K9" i="1650"/>
  <c r="A74" i="1650"/>
  <c r="A75" i="1650" s="1"/>
  <c r="A76" i="1650" s="1"/>
  <c r="A77" i="1650" s="1"/>
  <c r="A78" i="1650" s="1"/>
  <c r="A79" i="1650" s="1"/>
  <c r="A80" i="1650" s="1"/>
  <c r="A81" i="1650" s="1"/>
  <c r="AF60" i="1650"/>
  <c r="AF62" i="1650" s="1"/>
  <c r="AF59" i="1650"/>
  <c r="AA21" i="1650"/>
  <c r="Z21" i="1650"/>
  <c r="Y21" i="1650"/>
  <c r="X21" i="1650"/>
  <c r="W21" i="1650"/>
  <c r="V21" i="1650"/>
  <c r="U21" i="1650"/>
  <c r="T21" i="1650"/>
  <c r="S21" i="1650"/>
  <c r="R21" i="1650"/>
  <c r="N21" i="1650"/>
  <c r="J21" i="1650"/>
  <c r="I21" i="1650"/>
  <c r="AF20" i="1650"/>
  <c r="AB20" i="1650"/>
  <c r="Q20" i="1650"/>
  <c r="P20" i="1650"/>
  <c r="AC20" i="1650" s="1"/>
  <c r="AD20" i="1650" s="1"/>
  <c r="O20" i="1650"/>
  <c r="M20" i="1650"/>
  <c r="K20" i="1650"/>
  <c r="AF19" i="1650"/>
  <c r="AB19" i="1650"/>
  <c r="Q19" i="1650"/>
  <c r="P19" i="1650"/>
  <c r="AC19" i="1650" s="1"/>
  <c r="M19" i="1650"/>
  <c r="O19" i="1650"/>
  <c r="AF18" i="1650"/>
  <c r="AB18" i="1650"/>
  <c r="Q18" i="1650"/>
  <c r="P18" i="1650"/>
  <c r="AC18" i="1650" s="1"/>
  <c r="AD18" i="1650" s="1"/>
  <c r="O18" i="1650"/>
  <c r="M18" i="1650"/>
  <c r="K18" i="1650"/>
  <c r="AF17" i="1650"/>
  <c r="AB17" i="1650"/>
  <c r="Q17" i="1650"/>
  <c r="P17" i="1650"/>
  <c r="AC17" i="1650" s="1"/>
  <c r="AD17" i="1650" s="1"/>
  <c r="O17" i="1650"/>
  <c r="M17" i="1650"/>
  <c r="K17" i="1650"/>
  <c r="AF16" i="1650"/>
  <c r="AB16" i="1650"/>
  <c r="Q16" i="1650"/>
  <c r="P16" i="1650"/>
  <c r="AC16" i="1650" s="1"/>
  <c r="AD16" i="1650" s="1"/>
  <c r="O16" i="1650"/>
  <c r="M16" i="1650"/>
  <c r="K16" i="1650"/>
  <c r="AF15" i="1650"/>
  <c r="Q15" i="1650"/>
  <c r="AB15" i="1650"/>
  <c r="AF14" i="1650"/>
  <c r="AB14" i="1650"/>
  <c r="Q14" i="1650"/>
  <c r="P14" i="1650"/>
  <c r="AC14" i="1650" s="1"/>
  <c r="O14" i="1650"/>
  <c r="M14" i="1650"/>
  <c r="K14" i="1650"/>
  <c r="AF13" i="1650"/>
  <c r="AB13" i="1650"/>
  <c r="Q13" i="1650"/>
  <c r="P13" i="1650" s="1"/>
  <c r="AC13" i="1650" s="1"/>
  <c r="O13" i="1650"/>
  <c r="M13" i="1650"/>
  <c r="AF12" i="1650"/>
  <c r="AB12" i="1650"/>
  <c r="Q12" i="1650"/>
  <c r="P12" i="1650" s="1"/>
  <c r="AC12" i="1650" s="1"/>
  <c r="O12" i="1650"/>
  <c r="M12" i="1650"/>
  <c r="AF11" i="1650"/>
  <c r="Q11" i="1650"/>
  <c r="P11" i="1650" s="1"/>
  <c r="AC11" i="1650" s="1"/>
  <c r="O11" i="1650"/>
  <c r="AF10" i="1650"/>
  <c r="AB10" i="1650"/>
  <c r="Q10" i="1650"/>
  <c r="P10" i="1650" s="1"/>
  <c r="AC10" i="1650" s="1"/>
  <c r="O10" i="1650"/>
  <c r="M10" i="1650"/>
  <c r="AF9" i="1650"/>
  <c r="Q9" i="1650"/>
  <c r="AB9" i="1650"/>
  <c r="AF8" i="1650"/>
  <c r="AB8" i="1650"/>
  <c r="Q8" i="1650"/>
  <c r="P8" i="1650"/>
  <c r="AC8" i="1650" s="1"/>
  <c r="AD8" i="1650" s="1"/>
  <c r="O8" i="1650"/>
  <c r="M8" i="1650"/>
  <c r="K8" i="1650"/>
  <c r="AF7" i="1650"/>
  <c r="AB7" i="1650"/>
  <c r="Q7" i="1650"/>
  <c r="P7" i="1650"/>
  <c r="AC7" i="1650" s="1"/>
  <c r="AD7" i="1650" s="1"/>
  <c r="O7" i="1650"/>
  <c r="M7" i="1650"/>
  <c r="K7" i="1650"/>
  <c r="AF6" i="1650"/>
  <c r="AB6" i="1650"/>
  <c r="Q6" i="1650"/>
  <c r="P6" i="1650"/>
  <c r="AC6" i="1650" s="1"/>
  <c r="O6" i="1650"/>
  <c r="M6" i="1650"/>
  <c r="K6" i="1650"/>
  <c r="AE20" i="1651" l="1"/>
  <c r="AE15" i="1651"/>
  <c r="AE11" i="1651"/>
  <c r="AE18" i="1651"/>
  <c r="AE16" i="1651"/>
  <c r="AE13" i="1651"/>
  <c r="AE8" i="1651"/>
  <c r="AE6" i="1651"/>
  <c r="AE17" i="1651"/>
  <c r="AE10" i="1651"/>
  <c r="AE7" i="1651"/>
  <c r="AE21" i="1651"/>
  <c r="AE14" i="1651"/>
  <c r="AE9" i="1651"/>
  <c r="AE19" i="1651"/>
  <c r="AD19" i="1650"/>
  <c r="AD12" i="1650"/>
  <c r="Q21" i="1650"/>
  <c r="AD10" i="1650"/>
  <c r="AD14" i="1650"/>
  <c r="AD13" i="1650"/>
  <c r="AD6" i="1650"/>
  <c r="O9" i="1650"/>
  <c r="O15" i="1650"/>
  <c r="L21" i="1650"/>
  <c r="O21" i="1650" s="1"/>
  <c r="K21" i="1650"/>
  <c r="P9" i="1650"/>
  <c r="AC9" i="1650" s="1"/>
  <c r="AD9" i="1650" s="1"/>
  <c r="M11" i="1650"/>
  <c r="AB11" i="1650"/>
  <c r="AB21" i="1650" s="1"/>
  <c r="P15" i="1650"/>
  <c r="AC15" i="1650" s="1"/>
  <c r="M9" i="1650"/>
  <c r="M15" i="1650"/>
  <c r="M21" i="1650" l="1"/>
  <c r="AD15" i="1650"/>
  <c r="P21" i="1650"/>
  <c r="AD11" i="1650"/>
  <c r="AC21" i="1650"/>
  <c r="AD21" i="1650" l="1"/>
  <c r="AE14" i="1650" s="1"/>
  <c r="AE19" i="1650"/>
  <c r="AE13" i="1650" l="1"/>
  <c r="AE20" i="1650"/>
  <c r="AE18" i="1650"/>
  <c r="AE15" i="1650"/>
  <c r="AE17" i="1650"/>
  <c r="AE6" i="1650"/>
  <c r="AE11" i="1650"/>
  <c r="AE7" i="1650"/>
  <c r="AE9" i="1650"/>
  <c r="AE8" i="1650"/>
  <c r="AE16" i="1650"/>
  <c r="AE10" i="1650"/>
  <c r="AE12" i="1650"/>
  <c r="AD21" i="1649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L19" i="1649"/>
  <c r="L15" i="1649"/>
  <c r="L13" i="1649"/>
  <c r="L11" i="1649"/>
  <c r="K11" i="1649"/>
  <c r="L10" i="1649"/>
  <c r="L9" i="1649"/>
  <c r="K9" i="1649"/>
  <c r="K19" i="1649" l="1"/>
  <c r="K18" i="1649"/>
  <c r="K15" i="1649"/>
  <c r="K14" i="1649"/>
  <c r="K13" i="1649"/>
  <c r="K10" i="1649"/>
  <c r="A75" i="1649"/>
  <c r="A76" i="1649" s="1"/>
  <c r="A77" i="1649" s="1"/>
  <c r="A78" i="1649" s="1"/>
  <c r="A79" i="1649" s="1"/>
  <c r="A80" i="1649" s="1"/>
  <c r="A81" i="1649" s="1"/>
  <c r="A74" i="1649"/>
  <c r="AF60" i="1649"/>
  <c r="AF59" i="1649"/>
  <c r="AF62" i="1649" s="1"/>
  <c r="AA21" i="1649"/>
  <c r="Z21" i="1649"/>
  <c r="Y21" i="1649"/>
  <c r="X21" i="1649"/>
  <c r="W21" i="1649"/>
  <c r="V21" i="1649"/>
  <c r="U21" i="1649"/>
  <c r="T21" i="1649"/>
  <c r="S21" i="1649"/>
  <c r="R21" i="1649"/>
  <c r="N21" i="1649"/>
  <c r="J21" i="1649"/>
  <c r="I21" i="1649"/>
  <c r="AF20" i="1649"/>
  <c r="AB20" i="1649"/>
  <c r="Q20" i="1649"/>
  <c r="P20" i="1649"/>
  <c r="AC20" i="1649" s="1"/>
  <c r="AD20" i="1649" s="1"/>
  <c r="O20" i="1649"/>
  <c r="M20" i="1649"/>
  <c r="K20" i="1649"/>
  <c r="AF19" i="1649"/>
  <c r="Q19" i="1649"/>
  <c r="O19" i="1649"/>
  <c r="P19" i="1649"/>
  <c r="AC19" i="1649" s="1"/>
  <c r="AF18" i="1649"/>
  <c r="AB18" i="1649"/>
  <c r="Q18" i="1649"/>
  <c r="P18" i="1649"/>
  <c r="AC18" i="1649" s="1"/>
  <c r="O18" i="1649"/>
  <c r="M18" i="1649"/>
  <c r="AF17" i="1649"/>
  <c r="AB17" i="1649"/>
  <c r="Q17" i="1649"/>
  <c r="P17" i="1649"/>
  <c r="AC17" i="1649" s="1"/>
  <c r="AD17" i="1649" s="1"/>
  <c r="O17" i="1649"/>
  <c r="M17" i="1649"/>
  <c r="K17" i="1649"/>
  <c r="AF16" i="1649"/>
  <c r="AB16" i="1649"/>
  <c r="Q16" i="1649"/>
  <c r="P16" i="1649"/>
  <c r="AC16" i="1649" s="1"/>
  <c r="O16" i="1649"/>
  <c r="M16" i="1649"/>
  <c r="K16" i="1649"/>
  <c r="AF15" i="1649"/>
  <c r="AB15" i="1649"/>
  <c r="Q15" i="1649"/>
  <c r="P15" i="1649"/>
  <c r="AC15" i="1649" s="1"/>
  <c r="O15" i="1649"/>
  <c r="M15" i="1649"/>
  <c r="AF14" i="1649"/>
  <c r="Q14" i="1649"/>
  <c r="O14" i="1649"/>
  <c r="P14" i="1649"/>
  <c r="AC14" i="1649" s="1"/>
  <c r="AF13" i="1649"/>
  <c r="AB13" i="1649"/>
  <c r="Q13" i="1649"/>
  <c r="P13" i="1649"/>
  <c r="AC13" i="1649" s="1"/>
  <c r="M13" i="1649"/>
  <c r="O13" i="1649"/>
  <c r="AF12" i="1649"/>
  <c r="AC12" i="1649"/>
  <c r="AB12" i="1649"/>
  <c r="Q12" i="1649"/>
  <c r="P12" i="1649"/>
  <c r="O12" i="1649"/>
  <c r="M12" i="1649"/>
  <c r="K12" i="1649"/>
  <c r="AF11" i="1649"/>
  <c r="AB11" i="1649"/>
  <c r="Q11" i="1649"/>
  <c r="P11" i="1649"/>
  <c r="AC11" i="1649" s="1"/>
  <c r="O11" i="1649"/>
  <c r="M11" i="1649"/>
  <c r="AF10" i="1649"/>
  <c r="Q10" i="1649"/>
  <c r="L21" i="1649"/>
  <c r="O21" i="1649" s="1"/>
  <c r="AF9" i="1649"/>
  <c r="AB9" i="1649"/>
  <c r="Q9" i="1649"/>
  <c r="P9" i="1649" s="1"/>
  <c r="AC9" i="1649" s="1"/>
  <c r="O9" i="1649"/>
  <c r="M9" i="1649"/>
  <c r="AF8" i="1649"/>
  <c r="AB8" i="1649"/>
  <c r="Q8" i="1649"/>
  <c r="P8" i="1649"/>
  <c r="AC8" i="1649" s="1"/>
  <c r="AD8" i="1649" s="1"/>
  <c r="O8" i="1649"/>
  <c r="M8" i="1649"/>
  <c r="K8" i="1649"/>
  <c r="AF7" i="1649"/>
  <c r="AB7" i="1649"/>
  <c r="Q7" i="1649"/>
  <c r="P7" i="1649"/>
  <c r="AC7" i="1649" s="1"/>
  <c r="AD7" i="1649" s="1"/>
  <c r="O7" i="1649"/>
  <c r="M7" i="1649"/>
  <c r="K7" i="1649"/>
  <c r="AF6" i="1649"/>
  <c r="AB6" i="1649"/>
  <c r="Q6" i="1649"/>
  <c r="P6" i="1649"/>
  <c r="O6" i="1649"/>
  <c r="M6" i="1649"/>
  <c r="K6" i="1649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19" i="1648"/>
  <c r="AB19" i="1648" s="1"/>
  <c r="K18" i="1648"/>
  <c r="L15" i="1648"/>
  <c r="AB15" i="1648" s="1"/>
  <c r="L14" i="1648"/>
  <c r="K14" i="1648"/>
  <c r="L13" i="1648"/>
  <c r="L10" i="1648"/>
  <c r="P10" i="1648" s="1"/>
  <c r="AC10" i="1648" s="1"/>
  <c r="K17" i="1648"/>
  <c r="K13" i="1648"/>
  <c r="K10" i="1648"/>
  <c r="K9" i="1648"/>
  <c r="A74" i="1648"/>
  <c r="A75" i="1648" s="1"/>
  <c r="A76" i="1648" s="1"/>
  <c r="A77" i="1648" s="1"/>
  <c r="A78" i="1648" s="1"/>
  <c r="A79" i="1648" s="1"/>
  <c r="A80" i="1648" s="1"/>
  <c r="A81" i="1648" s="1"/>
  <c r="AF62" i="1648"/>
  <c r="AF60" i="1648"/>
  <c r="AF59" i="1648"/>
  <c r="AA21" i="1648"/>
  <c r="Z21" i="1648"/>
  <c r="Y21" i="1648"/>
  <c r="X21" i="1648"/>
  <c r="W21" i="1648"/>
  <c r="V21" i="1648"/>
  <c r="U21" i="1648"/>
  <c r="T21" i="1648"/>
  <c r="S21" i="1648"/>
  <c r="R21" i="1648"/>
  <c r="N21" i="1648"/>
  <c r="J21" i="1648"/>
  <c r="I21" i="1648"/>
  <c r="AF20" i="1648"/>
  <c r="AB20" i="1648"/>
  <c r="Q20" i="1648"/>
  <c r="P20" i="1648"/>
  <c r="AC20" i="1648" s="1"/>
  <c r="AD20" i="1648" s="1"/>
  <c r="O20" i="1648"/>
  <c r="M20" i="1648"/>
  <c r="K20" i="1648"/>
  <c r="AF19" i="1648"/>
  <c r="Q19" i="1648"/>
  <c r="P19" i="1648" s="1"/>
  <c r="AC19" i="1648" s="1"/>
  <c r="AF18" i="1648"/>
  <c r="Q18" i="1648"/>
  <c r="P18" i="1648"/>
  <c r="AC18" i="1648" s="1"/>
  <c r="AF17" i="1648"/>
  <c r="AB17" i="1648"/>
  <c r="Q17" i="1648"/>
  <c r="P17" i="1648"/>
  <c r="AC17" i="1648" s="1"/>
  <c r="O17" i="1648"/>
  <c r="M17" i="1648"/>
  <c r="AF16" i="1648"/>
  <c r="AB16" i="1648"/>
  <c r="Q16" i="1648"/>
  <c r="P16" i="1648"/>
  <c r="AC16" i="1648" s="1"/>
  <c r="O16" i="1648"/>
  <c r="M16" i="1648"/>
  <c r="K16" i="1648"/>
  <c r="AF15" i="1648"/>
  <c r="Q15" i="1648"/>
  <c r="AF14" i="1648"/>
  <c r="AB14" i="1648"/>
  <c r="Q14" i="1648"/>
  <c r="O14" i="1648"/>
  <c r="M14" i="1648"/>
  <c r="AF13" i="1648"/>
  <c r="Q13" i="1648"/>
  <c r="P13" i="1648"/>
  <c r="AC13" i="1648" s="1"/>
  <c r="AF12" i="1648"/>
  <c r="AB12" i="1648"/>
  <c r="Q12" i="1648"/>
  <c r="P12" i="1648"/>
  <c r="AC12" i="1648" s="1"/>
  <c r="O12" i="1648"/>
  <c r="M12" i="1648"/>
  <c r="K12" i="1648"/>
  <c r="AF11" i="1648"/>
  <c r="AB11" i="1648"/>
  <c r="Q11" i="1648"/>
  <c r="P11" i="1648"/>
  <c r="AC11" i="1648" s="1"/>
  <c r="AD11" i="1648" s="1"/>
  <c r="O11" i="1648"/>
  <c r="M11" i="1648"/>
  <c r="K11" i="1648"/>
  <c r="AF10" i="1648"/>
  <c r="AB10" i="1648"/>
  <c r="Q10" i="1648"/>
  <c r="O10" i="1648"/>
  <c r="M10" i="1648"/>
  <c r="AF9" i="1648"/>
  <c r="AB9" i="1648"/>
  <c r="Q9" i="1648"/>
  <c r="O9" i="1648"/>
  <c r="M9" i="1648"/>
  <c r="AF8" i="1648"/>
  <c r="AB8" i="1648"/>
  <c r="Q8" i="1648"/>
  <c r="P8" i="1648"/>
  <c r="AC8" i="1648" s="1"/>
  <c r="AD8" i="1648" s="1"/>
  <c r="O8" i="1648"/>
  <c r="M8" i="1648"/>
  <c r="K8" i="1648"/>
  <c r="AF7" i="1648"/>
  <c r="AB7" i="1648"/>
  <c r="Q7" i="1648"/>
  <c r="P7" i="1648"/>
  <c r="AC7" i="1648" s="1"/>
  <c r="AD7" i="1648" s="1"/>
  <c r="O7" i="1648"/>
  <c r="M7" i="1648"/>
  <c r="K7" i="1648"/>
  <c r="AF6" i="1648"/>
  <c r="AB6" i="1648"/>
  <c r="Q6" i="1648"/>
  <c r="P6" i="1648"/>
  <c r="O6" i="1648"/>
  <c r="M6" i="1648"/>
  <c r="K6" i="1648"/>
  <c r="Q21" i="1649" l="1"/>
  <c r="AD9" i="1649"/>
  <c r="AD11" i="1649"/>
  <c r="AD12" i="1649"/>
  <c r="AD16" i="1649"/>
  <c r="AD15" i="1649"/>
  <c r="AD18" i="1649"/>
  <c r="AD13" i="1649"/>
  <c r="O10" i="1649"/>
  <c r="K21" i="1649"/>
  <c r="P10" i="1649"/>
  <c r="AC10" i="1649" s="1"/>
  <c r="M14" i="1649"/>
  <c r="AB14" i="1649"/>
  <c r="AD14" i="1649" s="1"/>
  <c r="M19" i="1649"/>
  <c r="AB19" i="1649"/>
  <c r="AD19" i="1649" s="1"/>
  <c r="AC6" i="1649"/>
  <c r="M10" i="1649"/>
  <c r="AB10" i="1649"/>
  <c r="M19" i="1648"/>
  <c r="K19" i="1648"/>
  <c r="K15" i="1648"/>
  <c r="P15" i="1648"/>
  <c r="AC15" i="1648" s="1"/>
  <c r="O15" i="1648"/>
  <c r="M15" i="1648"/>
  <c r="P14" i="1648"/>
  <c r="AC14" i="1648" s="1"/>
  <c r="Q21" i="1648"/>
  <c r="L21" i="1648"/>
  <c r="O21" i="1648" s="1"/>
  <c r="AD10" i="1648"/>
  <c r="AD17" i="1648"/>
  <c r="AD14" i="1648"/>
  <c r="AD12" i="1648"/>
  <c r="AD16" i="1648"/>
  <c r="AC6" i="1648"/>
  <c r="P9" i="1648"/>
  <c r="AC9" i="1648" s="1"/>
  <c r="AD9" i="1648" s="1"/>
  <c r="M13" i="1648"/>
  <c r="AB13" i="1648"/>
  <c r="M18" i="1648"/>
  <c r="AB18" i="1648"/>
  <c r="O19" i="1648"/>
  <c r="AD19" i="1648" s="1"/>
  <c r="O13" i="1648"/>
  <c r="O18" i="1648"/>
  <c r="K21" i="1648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19" i="1647"/>
  <c r="K19" i="1647" s="1"/>
  <c r="L18" i="1647"/>
  <c r="K18" i="1647"/>
  <c r="L15" i="1647"/>
  <c r="L13" i="1647"/>
  <c r="L10" i="1647"/>
  <c r="K10" i="1647" s="1"/>
  <c r="L9" i="1647"/>
  <c r="K9" i="1647" s="1"/>
  <c r="K17" i="1647"/>
  <c r="K16" i="1647"/>
  <c r="K15" i="1647"/>
  <c r="K13" i="1647"/>
  <c r="K12" i="1647"/>
  <c r="A74" i="1647"/>
  <c r="A75" i="1647" s="1"/>
  <c r="A76" i="1647" s="1"/>
  <c r="A77" i="1647" s="1"/>
  <c r="A78" i="1647" s="1"/>
  <c r="A79" i="1647" s="1"/>
  <c r="A80" i="1647" s="1"/>
  <c r="A81" i="1647" s="1"/>
  <c r="AF62" i="1647"/>
  <c r="AF60" i="1647"/>
  <c r="AF59" i="1647"/>
  <c r="AA21" i="1647"/>
  <c r="Z21" i="1647"/>
  <c r="Y21" i="1647"/>
  <c r="X21" i="1647"/>
  <c r="W21" i="1647"/>
  <c r="V21" i="1647"/>
  <c r="U21" i="1647"/>
  <c r="T21" i="1647"/>
  <c r="S21" i="1647"/>
  <c r="R21" i="1647"/>
  <c r="N21" i="1647"/>
  <c r="J21" i="1647"/>
  <c r="I21" i="1647"/>
  <c r="AF20" i="1647"/>
  <c r="AB20" i="1647"/>
  <c r="Q20" i="1647"/>
  <c r="P20" i="1647"/>
  <c r="AC20" i="1647" s="1"/>
  <c r="O20" i="1647"/>
  <c r="M20" i="1647"/>
  <c r="K20" i="1647"/>
  <c r="AF19" i="1647"/>
  <c r="AB19" i="1647"/>
  <c r="Q19" i="1647"/>
  <c r="P19" i="1647" s="1"/>
  <c r="AC19" i="1647" s="1"/>
  <c r="M19" i="1647"/>
  <c r="AF18" i="1647"/>
  <c r="AB18" i="1647"/>
  <c r="Q18" i="1647"/>
  <c r="O18" i="1647"/>
  <c r="M18" i="1647"/>
  <c r="AF17" i="1647"/>
  <c r="AB17" i="1647"/>
  <c r="Q17" i="1647"/>
  <c r="P17" i="1647" s="1"/>
  <c r="AC17" i="1647" s="1"/>
  <c r="O17" i="1647"/>
  <c r="M17" i="1647"/>
  <c r="AF16" i="1647"/>
  <c r="AB16" i="1647"/>
  <c r="Q16" i="1647"/>
  <c r="M16" i="1647"/>
  <c r="P16" i="1647"/>
  <c r="AC16" i="1647" s="1"/>
  <c r="AF15" i="1647"/>
  <c r="AB15" i="1647"/>
  <c r="Q15" i="1647"/>
  <c r="O15" i="1647"/>
  <c r="M15" i="1647"/>
  <c r="AF14" i="1647"/>
  <c r="AC14" i="1647"/>
  <c r="AB14" i="1647"/>
  <c r="Q14" i="1647"/>
  <c r="P14" i="1647"/>
  <c r="O14" i="1647"/>
  <c r="M14" i="1647"/>
  <c r="K14" i="1647"/>
  <c r="AF13" i="1647"/>
  <c r="Q13" i="1647"/>
  <c r="AF12" i="1647"/>
  <c r="AB12" i="1647"/>
  <c r="Q12" i="1647"/>
  <c r="P12" i="1647"/>
  <c r="AC12" i="1647" s="1"/>
  <c r="O12" i="1647"/>
  <c r="M12" i="1647"/>
  <c r="AF11" i="1647"/>
  <c r="AB11" i="1647"/>
  <c r="Q11" i="1647"/>
  <c r="P11" i="1647"/>
  <c r="AC11" i="1647" s="1"/>
  <c r="O11" i="1647"/>
  <c r="M11" i="1647"/>
  <c r="K11" i="1647"/>
  <c r="AF10" i="1647"/>
  <c r="AB10" i="1647"/>
  <c r="Q10" i="1647"/>
  <c r="P10" i="1647" s="1"/>
  <c r="AC10" i="1647" s="1"/>
  <c r="O10" i="1647"/>
  <c r="AF9" i="1647"/>
  <c r="Q9" i="1647"/>
  <c r="M9" i="1647"/>
  <c r="AF8" i="1647"/>
  <c r="AB8" i="1647"/>
  <c r="Q8" i="1647"/>
  <c r="P8" i="1647"/>
  <c r="AC8" i="1647" s="1"/>
  <c r="O8" i="1647"/>
  <c r="M8" i="1647"/>
  <c r="K8" i="1647"/>
  <c r="AF7" i="1647"/>
  <c r="AB7" i="1647"/>
  <c r="Q7" i="1647"/>
  <c r="P7" i="1647"/>
  <c r="AC7" i="1647" s="1"/>
  <c r="O7" i="1647"/>
  <c r="M7" i="1647"/>
  <c r="K7" i="1647"/>
  <c r="AF6" i="1647"/>
  <c r="AB6" i="1647"/>
  <c r="Q6" i="1647"/>
  <c r="P6" i="1647"/>
  <c r="O6" i="1647"/>
  <c r="M6" i="1647"/>
  <c r="K6" i="1647"/>
  <c r="AB21" i="1649" l="1"/>
  <c r="P21" i="1649"/>
  <c r="M21" i="1649"/>
  <c r="AC21" i="1649"/>
  <c r="AD6" i="1649"/>
  <c r="AD10" i="1649"/>
  <c r="AD18" i="1648"/>
  <c r="AD15" i="1648"/>
  <c r="M21" i="1648"/>
  <c r="AB21" i="1648"/>
  <c r="P21" i="1648"/>
  <c r="AD13" i="1648"/>
  <c r="AC21" i="1648"/>
  <c r="AD6" i="1648"/>
  <c r="P18" i="1647"/>
  <c r="AC18" i="1647" s="1"/>
  <c r="AD18" i="1647" s="1"/>
  <c r="AB9" i="1647"/>
  <c r="L21" i="1647"/>
  <c r="O21" i="1647" s="1"/>
  <c r="P15" i="1647"/>
  <c r="AC15" i="1647" s="1"/>
  <c r="P13" i="1647"/>
  <c r="AC13" i="1647" s="1"/>
  <c r="AD20" i="1647"/>
  <c r="Q21" i="1647"/>
  <c r="AD7" i="1647"/>
  <c r="AD8" i="1647"/>
  <c r="AD10" i="1647"/>
  <c r="M10" i="1647"/>
  <c r="AD11" i="1647"/>
  <c r="AD14" i="1647"/>
  <c r="AD12" i="1647"/>
  <c r="AD15" i="1647"/>
  <c r="AD17" i="1647"/>
  <c r="O9" i="1647"/>
  <c r="K21" i="1647"/>
  <c r="M13" i="1647"/>
  <c r="AB13" i="1647"/>
  <c r="O16" i="1647"/>
  <c r="AD16" i="1647" s="1"/>
  <c r="O19" i="1647"/>
  <c r="AD19" i="1647" s="1"/>
  <c r="AC6" i="1647"/>
  <c r="P9" i="1647"/>
  <c r="AC9" i="1647" s="1"/>
  <c r="O13" i="1647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L21" i="1646"/>
  <c r="L19" i="1646"/>
  <c r="K19" i="1646"/>
  <c r="L18" i="1646"/>
  <c r="AF17" i="1646"/>
  <c r="AB17" i="1646"/>
  <c r="Q17" i="1646"/>
  <c r="M17" i="1646"/>
  <c r="L17" i="1646"/>
  <c r="P17" i="1646" s="1"/>
  <c r="AC17" i="1646" s="1"/>
  <c r="K18" i="1646"/>
  <c r="L16" i="1646"/>
  <c r="L14" i="1646"/>
  <c r="AF13" i="1646"/>
  <c r="Q13" i="1646"/>
  <c r="P13" i="1646" s="1"/>
  <c r="AC13" i="1646" s="1"/>
  <c r="L12" i="1646"/>
  <c r="K12" i="1646"/>
  <c r="AD21" i="1648" l="1"/>
  <c r="AE19" i="1648" s="1"/>
  <c r="AD9" i="1647"/>
  <c r="AD13" i="1647"/>
  <c r="M21" i="1647"/>
  <c r="P21" i="1647"/>
  <c r="AB21" i="1647"/>
  <c r="AC21" i="1647"/>
  <c r="AD6" i="1647"/>
  <c r="O17" i="1646"/>
  <c r="AD17" i="1646" s="1"/>
  <c r="K17" i="1646"/>
  <c r="M13" i="1646"/>
  <c r="AB13" i="1646"/>
  <c r="O13" i="1646"/>
  <c r="K13" i="1646"/>
  <c r="AE17" i="1649" l="1"/>
  <c r="AE15" i="1649"/>
  <c r="AE9" i="1649"/>
  <c r="AE7" i="1649"/>
  <c r="AE20" i="1649"/>
  <c r="AE12" i="1649"/>
  <c r="AE10" i="1649"/>
  <c r="AE18" i="1649"/>
  <c r="AE16" i="1649"/>
  <c r="AE13" i="1649"/>
  <c r="AE8" i="1649"/>
  <c r="AE6" i="1649"/>
  <c r="AE19" i="1649"/>
  <c r="AE14" i="1649"/>
  <c r="AE11" i="1649"/>
  <c r="AE12" i="1648"/>
  <c r="AE18" i="1648"/>
  <c r="AE8" i="1648"/>
  <c r="AE13" i="1648"/>
  <c r="AE15" i="1648"/>
  <c r="AE9" i="1648"/>
  <c r="AE11" i="1648"/>
  <c r="AE7" i="1648"/>
  <c r="AE17" i="1648"/>
  <c r="AE14" i="1648"/>
  <c r="AE16" i="1648"/>
  <c r="AE10" i="1648"/>
  <c r="AE20" i="1648"/>
  <c r="AE6" i="1648"/>
  <c r="AD21" i="1647"/>
  <c r="AE16" i="1647" s="1"/>
  <c r="AD13" i="1646"/>
  <c r="AE18" i="1647" l="1"/>
  <c r="AE10" i="1647"/>
  <c r="AE7" i="1647"/>
  <c r="AE19" i="1647"/>
  <c r="AE20" i="1647"/>
  <c r="AE6" i="1647"/>
  <c r="AE11" i="1647"/>
  <c r="AE8" i="1647"/>
  <c r="AE12" i="1647"/>
  <c r="AE13" i="1647"/>
  <c r="AE14" i="1647"/>
  <c r="AE9" i="1647"/>
  <c r="AE15" i="1647"/>
  <c r="AE17" i="1647"/>
  <c r="L10" i="1646"/>
  <c r="L9" i="1646"/>
  <c r="K21" i="1646"/>
  <c r="K20" i="1646"/>
  <c r="K14" i="1646"/>
  <c r="K10" i="1646"/>
  <c r="K9" i="1646"/>
  <c r="A76" i="1646"/>
  <c r="A77" i="1646" s="1"/>
  <c r="A78" i="1646" s="1"/>
  <c r="A79" i="1646" s="1"/>
  <c r="A80" i="1646" s="1"/>
  <c r="A81" i="1646" s="1"/>
  <c r="A82" i="1646" s="1"/>
  <c r="A83" i="1646" s="1"/>
  <c r="AF62" i="1646"/>
  <c r="AF64" i="1646" s="1"/>
  <c r="AF61" i="1646"/>
  <c r="AA23" i="1646"/>
  <c r="Z23" i="1646"/>
  <c r="Y23" i="1646"/>
  <c r="X23" i="1646"/>
  <c r="W23" i="1646"/>
  <c r="V23" i="1646"/>
  <c r="U23" i="1646"/>
  <c r="T23" i="1646"/>
  <c r="S23" i="1646"/>
  <c r="R23" i="1646"/>
  <c r="N23" i="1646"/>
  <c r="J23" i="1646"/>
  <c r="I23" i="1646"/>
  <c r="AF22" i="1646"/>
  <c r="AB22" i="1646"/>
  <c r="Q22" i="1646"/>
  <c r="P22" i="1646"/>
  <c r="AC22" i="1646" s="1"/>
  <c r="AD22" i="1646" s="1"/>
  <c r="O22" i="1646"/>
  <c r="M22" i="1646"/>
  <c r="K22" i="1646"/>
  <c r="AF21" i="1646"/>
  <c r="Q21" i="1646"/>
  <c r="P21" i="1646" s="1"/>
  <c r="AC21" i="1646" s="1"/>
  <c r="AF20" i="1646"/>
  <c r="Q20" i="1646"/>
  <c r="P20" i="1646" s="1"/>
  <c r="AC20" i="1646" s="1"/>
  <c r="AF19" i="1646"/>
  <c r="AB19" i="1646"/>
  <c r="Q19" i="1646"/>
  <c r="P19" i="1646" s="1"/>
  <c r="AC19" i="1646" s="1"/>
  <c r="O19" i="1646"/>
  <c r="M19" i="1646"/>
  <c r="AF18" i="1646"/>
  <c r="AB18" i="1646"/>
  <c r="Q18" i="1646"/>
  <c r="P18" i="1646" s="1"/>
  <c r="AC18" i="1646" s="1"/>
  <c r="O18" i="1646"/>
  <c r="M18" i="1646"/>
  <c r="AF16" i="1646"/>
  <c r="AB16" i="1646"/>
  <c r="Q16" i="1646"/>
  <c r="P16" i="1646" s="1"/>
  <c r="AC16" i="1646" s="1"/>
  <c r="O16" i="1646"/>
  <c r="M16" i="1646"/>
  <c r="K16" i="1646"/>
  <c r="AF15" i="1646"/>
  <c r="AB15" i="1646"/>
  <c r="Q15" i="1646"/>
  <c r="P15" i="1646"/>
  <c r="AC15" i="1646" s="1"/>
  <c r="O15" i="1646"/>
  <c r="M15" i="1646"/>
  <c r="K15" i="1646"/>
  <c r="AF14" i="1646"/>
  <c r="Q14" i="1646"/>
  <c r="O14" i="1646"/>
  <c r="AF12" i="1646"/>
  <c r="Q12" i="1646"/>
  <c r="P12" i="1646" s="1"/>
  <c r="AC12" i="1646" s="1"/>
  <c r="AB12" i="1646"/>
  <c r="AF11" i="1646"/>
  <c r="AB11" i="1646"/>
  <c r="Q11" i="1646"/>
  <c r="P11" i="1646"/>
  <c r="AC11" i="1646" s="1"/>
  <c r="O11" i="1646"/>
  <c r="M11" i="1646"/>
  <c r="K11" i="1646"/>
  <c r="AF10" i="1646"/>
  <c r="Q10" i="1646"/>
  <c r="O10" i="1646"/>
  <c r="AF9" i="1646"/>
  <c r="Q9" i="1646"/>
  <c r="P9" i="1646" s="1"/>
  <c r="AC9" i="1646" s="1"/>
  <c r="AB9" i="1646"/>
  <c r="AF8" i="1646"/>
  <c r="AC8" i="1646"/>
  <c r="AB8" i="1646"/>
  <c r="Q8" i="1646"/>
  <c r="P8" i="1646"/>
  <c r="O8" i="1646"/>
  <c r="M8" i="1646"/>
  <c r="K8" i="1646"/>
  <c r="AF7" i="1646"/>
  <c r="AB7" i="1646"/>
  <c r="Q7" i="1646"/>
  <c r="P7" i="1646"/>
  <c r="AC7" i="1646" s="1"/>
  <c r="O7" i="1646"/>
  <c r="M7" i="1646"/>
  <c r="K7" i="1646"/>
  <c r="AF6" i="1646"/>
  <c r="AC6" i="1646"/>
  <c r="AB6" i="1646"/>
  <c r="Q6" i="1646"/>
  <c r="P6" i="1646"/>
  <c r="O6" i="1646"/>
  <c r="M6" i="1646"/>
  <c r="K6" i="1646"/>
  <c r="AD11" i="1646" l="1"/>
  <c r="AD8" i="1646"/>
  <c r="AD7" i="1646"/>
  <c r="Q23" i="1646"/>
  <c r="AD19" i="1646"/>
  <c r="AD15" i="1646"/>
  <c r="AD18" i="1646"/>
  <c r="AD16" i="1646"/>
  <c r="AD6" i="1646"/>
  <c r="M10" i="1646"/>
  <c r="M14" i="1646"/>
  <c r="O9" i="1646"/>
  <c r="AD9" i="1646" s="1"/>
  <c r="K23" i="1646"/>
  <c r="P10" i="1646"/>
  <c r="AC10" i="1646" s="1"/>
  <c r="O12" i="1646"/>
  <c r="AD12" i="1646" s="1"/>
  <c r="P14" i="1646"/>
  <c r="AC14" i="1646" s="1"/>
  <c r="M21" i="1646"/>
  <c r="AB21" i="1646"/>
  <c r="M20" i="1646"/>
  <c r="AB20" i="1646"/>
  <c r="O21" i="1646"/>
  <c r="O20" i="1646"/>
  <c r="L23" i="1646"/>
  <c r="O23" i="1646" s="1"/>
  <c r="AB10" i="1646"/>
  <c r="AB14" i="1646"/>
  <c r="M9" i="1646"/>
  <c r="M12" i="1646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L19" i="1645"/>
  <c r="L18" i="1645"/>
  <c r="K18" i="1645"/>
  <c r="L13" i="1645"/>
  <c r="K13" i="1645" s="1"/>
  <c r="L12" i="1645"/>
  <c r="K12" i="1645" s="1"/>
  <c r="K11" i="1645"/>
  <c r="L10" i="1645"/>
  <c r="K10" i="1645" s="1"/>
  <c r="L9" i="1645"/>
  <c r="K9" i="1645" s="1"/>
  <c r="K17" i="1645"/>
  <c r="K15" i="1645"/>
  <c r="K14" i="1645"/>
  <c r="A74" i="1645"/>
  <c r="A75" i="1645" s="1"/>
  <c r="A76" i="1645" s="1"/>
  <c r="A77" i="1645" s="1"/>
  <c r="A78" i="1645" s="1"/>
  <c r="A79" i="1645" s="1"/>
  <c r="A80" i="1645" s="1"/>
  <c r="A81" i="1645" s="1"/>
  <c r="AF60" i="1645"/>
  <c r="AF62" i="1645" s="1"/>
  <c r="AF59" i="1645"/>
  <c r="AA21" i="1645"/>
  <c r="Z21" i="1645"/>
  <c r="Y21" i="1645"/>
  <c r="X21" i="1645"/>
  <c r="W21" i="1645"/>
  <c r="V21" i="1645"/>
  <c r="U21" i="1645"/>
  <c r="T21" i="1645"/>
  <c r="S21" i="1645"/>
  <c r="R21" i="1645"/>
  <c r="N21" i="1645"/>
  <c r="J21" i="1645"/>
  <c r="I21" i="1645"/>
  <c r="AF20" i="1645"/>
  <c r="AB20" i="1645"/>
  <c r="Q20" i="1645"/>
  <c r="P20" i="1645"/>
  <c r="AC20" i="1645" s="1"/>
  <c r="O20" i="1645"/>
  <c r="M20" i="1645"/>
  <c r="K20" i="1645"/>
  <c r="AF19" i="1645"/>
  <c r="AB19" i="1645"/>
  <c r="Q19" i="1645"/>
  <c r="O19" i="1645"/>
  <c r="AF18" i="1645"/>
  <c r="AB18" i="1645"/>
  <c r="Q18" i="1645"/>
  <c r="P18" i="1645" s="1"/>
  <c r="AC18" i="1645" s="1"/>
  <c r="O18" i="1645"/>
  <c r="M18" i="1645"/>
  <c r="AF17" i="1645"/>
  <c r="AB17" i="1645"/>
  <c r="Q17" i="1645"/>
  <c r="P17" i="1645" s="1"/>
  <c r="AC17" i="1645" s="1"/>
  <c r="O17" i="1645"/>
  <c r="M17" i="1645"/>
  <c r="AF16" i="1645"/>
  <c r="AB16" i="1645"/>
  <c r="Q16" i="1645"/>
  <c r="P16" i="1645"/>
  <c r="AC16" i="1645" s="1"/>
  <c r="O16" i="1645"/>
  <c r="M16" i="1645"/>
  <c r="K16" i="1645"/>
  <c r="AF15" i="1645"/>
  <c r="Q15" i="1645"/>
  <c r="P15" i="1645"/>
  <c r="AC15" i="1645" s="1"/>
  <c r="AF14" i="1645"/>
  <c r="AB14" i="1645"/>
  <c r="Q14" i="1645"/>
  <c r="P14" i="1645"/>
  <c r="AC14" i="1645" s="1"/>
  <c r="O14" i="1645"/>
  <c r="M14" i="1645"/>
  <c r="AF13" i="1645"/>
  <c r="Q13" i="1645"/>
  <c r="O13" i="1645"/>
  <c r="AF12" i="1645"/>
  <c r="AB12" i="1645"/>
  <c r="Q12" i="1645"/>
  <c r="M12" i="1645"/>
  <c r="O12" i="1645"/>
  <c r="AF11" i="1645"/>
  <c r="Q11" i="1645"/>
  <c r="P11" i="1645" s="1"/>
  <c r="AC11" i="1645" s="1"/>
  <c r="AF10" i="1645"/>
  <c r="Q10" i="1645"/>
  <c r="O10" i="1645"/>
  <c r="AF9" i="1645"/>
  <c r="Q9" i="1645"/>
  <c r="O9" i="1645"/>
  <c r="AB9" i="1645"/>
  <c r="AF8" i="1645"/>
  <c r="AB8" i="1645"/>
  <c r="Q8" i="1645"/>
  <c r="P8" i="1645"/>
  <c r="AC8" i="1645" s="1"/>
  <c r="AD8" i="1645" s="1"/>
  <c r="O8" i="1645"/>
  <c r="M8" i="1645"/>
  <c r="K8" i="1645"/>
  <c r="AF7" i="1645"/>
  <c r="AB7" i="1645"/>
  <c r="Q7" i="1645"/>
  <c r="P7" i="1645"/>
  <c r="AC7" i="1645" s="1"/>
  <c r="AD7" i="1645" s="1"/>
  <c r="O7" i="1645"/>
  <c r="M7" i="1645"/>
  <c r="K7" i="1645"/>
  <c r="AF6" i="1645"/>
  <c r="AB6" i="1645"/>
  <c r="Q6" i="1645"/>
  <c r="P6" i="1645"/>
  <c r="O6" i="1645"/>
  <c r="M6" i="1645"/>
  <c r="K6" i="1645"/>
  <c r="AD21" i="1646" l="1"/>
  <c r="M23" i="1646"/>
  <c r="AD20" i="1646"/>
  <c r="AB23" i="1646"/>
  <c r="AD10" i="1646"/>
  <c r="AC23" i="1646"/>
  <c r="AD14" i="1646"/>
  <c r="P23" i="1646"/>
  <c r="P19" i="1645"/>
  <c r="AC19" i="1645" s="1"/>
  <c r="M19" i="1645"/>
  <c r="K19" i="1645"/>
  <c r="K21" i="1645" s="1"/>
  <c r="P10" i="1645"/>
  <c r="AC10" i="1645" s="1"/>
  <c r="AD10" i="1645" s="1"/>
  <c r="AD20" i="1645"/>
  <c r="M10" i="1645"/>
  <c r="AB10" i="1645"/>
  <c r="AD16" i="1645"/>
  <c r="AB13" i="1645"/>
  <c r="P12" i="1645"/>
  <c r="AC12" i="1645" s="1"/>
  <c r="AD12" i="1645" s="1"/>
  <c r="Q21" i="1645"/>
  <c r="AD18" i="1645"/>
  <c r="AD14" i="1645"/>
  <c r="AD17" i="1645"/>
  <c r="AD19" i="1645"/>
  <c r="AC6" i="1645"/>
  <c r="P9" i="1645"/>
  <c r="AC9" i="1645" s="1"/>
  <c r="AD9" i="1645" s="1"/>
  <c r="M11" i="1645"/>
  <c r="AB11" i="1645"/>
  <c r="P13" i="1645"/>
  <c r="AC13" i="1645" s="1"/>
  <c r="M15" i="1645"/>
  <c r="AB15" i="1645"/>
  <c r="O11" i="1645"/>
  <c r="AD11" i="1645" s="1"/>
  <c r="O15" i="1645"/>
  <c r="L21" i="1645"/>
  <c r="O21" i="1645" s="1"/>
  <c r="M9" i="1645"/>
  <c r="M13" i="1645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L20" i="1644"/>
  <c r="K19" i="1644"/>
  <c r="AF18" i="1644"/>
  <c r="AC18" i="1644"/>
  <c r="AD18" i="1644" s="1"/>
  <c r="AB18" i="1644"/>
  <c r="Q18" i="1644"/>
  <c r="P18" i="1644"/>
  <c r="O18" i="1644"/>
  <c r="M18" i="1644"/>
  <c r="K18" i="1644"/>
  <c r="K17" i="1644"/>
  <c r="L15" i="1644"/>
  <c r="K15" i="1644" s="1"/>
  <c r="L14" i="1644"/>
  <c r="K14" i="1644"/>
  <c r="L13" i="1644"/>
  <c r="L12" i="1644"/>
  <c r="L11" i="1644"/>
  <c r="L10" i="1644"/>
  <c r="L9" i="1644"/>
  <c r="K20" i="1644"/>
  <c r="K13" i="1644"/>
  <c r="K12" i="1644"/>
  <c r="K11" i="1644"/>
  <c r="K10" i="1644"/>
  <c r="K9" i="1644"/>
  <c r="A75" i="1644"/>
  <c r="A76" i="1644" s="1"/>
  <c r="A77" i="1644" s="1"/>
  <c r="A78" i="1644" s="1"/>
  <c r="A79" i="1644" s="1"/>
  <c r="A80" i="1644" s="1"/>
  <c r="A81" i="1644" s="1"/>
  <c r="A82" i="1644" s="1"/>
  <c r="AF61" i="1644"/>
  <c r="AF63" i="1644" s="1"/>
  <c r="AF60" i="1644"/>
  <c r="AA22" i="1644"/>
  <c r="Z22" i="1644"/>
  <c r="Y22" i="1644"/>
  <c r="X22" i="1644"/>
  <c r="W22" i="1644"/>
  <c r="V22" i="1644"/>
  <c r="U22" i="1644"/>
  <c r="T22" i="1644"/>
  <c r="S22" i="1644"/>
  <c r="R22" i="1644"/>
  <c r="N22" i="1644"/>
  <c r="J22" i="1644"/>
  <c r="I22" i="1644"/>
  <c r="AF21" i="1644"/>
  <c r="AC21" i="1644"/>
  <c r="AB21" i="1644"/>
  <c r="Q21" i="1644"/>
  <c r="P21" i="1644"/>
  <c r="O21" i="1644"/>
  <c r="M21" i="1644"/>
  <c r="K21" i="1644"/>
  <c r="AF20" i="1644"/>
  <c r="Q20" i="1644"/>
  <c r="P20" i="1644"/>
  <c r="AC20" i="1644" s="1"/>
  <c r="O20" i="1644"/>
  <c r="AF19" i="1644"/>
  <c r="Q19" i="1644"/>
  <c r="P19" i="1644" s="1"/>
  <c r="AC19" i="1644" s="1"/>
  <c r="O19" i="1644"/>
  <c r="AB19" i="1644"/>
  <c r="AF17" i="1644"/>
  <c r="AB17" i="1644"/>
  <c r="Q17" i="1644"/>
  <c r="P17" i="1644" s="1"/>
  <c r="AC17" i="1644" s="1"/>
  <c r="O17" i="1644"/>
  <c r="M17" i="1644"/>
  <c r="AF16" i="1644"/>
  <c r="AB16" i="1644"/>
  <c r="Q16" i="1644"/>
  <c r="P16" i="1644"/>
  <c r="AC16" i="1644" s="1"/>
  <c r="O16" i="1644"/>
  <c r="M16" i="1644"/>
  <c r="K16" i="1644"/>
  <c r="AF15" i="1644"/>
  <c r="AB15" i="1644"/>
  <c r="Q15" i="1644"/>
  <c r="O15" i="1644"/>
  <c r="M15" i="1644"/>
  <c r="AF14" i="1644"/>
  <c r="AB14" i="1644"/>
  <c r="Q14" i="1644"/>
  <c r="P14" i="1644" s="1"/>
  <c r="AC14" i="1644" s="1"/>
  <c r="O14" i="1644"/>
  <c r="M14" i="1644"/>
  <c r="AF13" i="1644"/>
  <c r="Q13" i="1644"/>
  <c r="P13" i="1644" s="1"/>
  <c r="AC13" i="1644" s="1"/>
  <c r="O13" i="1644"/>
  <c r="AB13" i="1644"/>
  <c r="AF12" i="1644"/>
  <c r="AB12" i="1644"/>
  <c r="Q12" i="1644"/>
  <c r="P12" i="1644" s="1"/>
  <c r="AC12" i="1644" s="1"/>
  <c r="O12" i="1644"/>
  <c r="M12" i="1644"/>
  <c r="AF11" i="1644"/>
  <c r="Q11" i="1644"/>
  <c r="M11" i="1644"/>
  <c r="AF10" i="1644"/>
  <c r="Q10" i="1644"/>
  <c r="L22" i="1644"/>
  <c r="AF9" i="1644"/>
  <c r="Q9" i="1644"/>
  <c r="P9" i="1644" s="1"/>
  <c r="AC9" i="1644" s="1"/>
  <c r="O9" i="1644"/>
  <c r="AB9" i="1644"/>
  <c r="AF8" i="1644"/>
  <c r="AB8" i="1644"/>
  <c r="Q8" i="1644"/>
  <c r="P8" i="1644"/>
  <c r="AC8" i="1644" s="1"/>
  <c r="AD8" i="1644" s="1"/>
  <c r="O8" i="1644"/>
  <c r="M8" i="1644"/>
  <c r="K8" i="1644"/>
  <c r="AF7" i="1644"/>
  <c r="AB7" i="1644"/>
  <c r="Q7" i="1644"/>
  <c r="P7" i="1644"/>
  <c r="O7" i="1644"/>
  <c r="M7" i="1644"/>
  <c r="K7" i="1644"/>
  <c r="AF6" i="1644"/>
  <c r="AC6" i="1644"/>
  <c r="AB6" i="1644"/>
  <c r="Q6" i="1644"/>
  <c r="P6" i="1644"/>
  <c r="O6" i="1644"/>
  <c r="M6" i="1644"/>
  <c r="K6" i="1644"/>
  <c r="AD23" i="1646" l="1"/>
  <c r="AE6" i="1646" s="1"/>
  <c r="AE16" i="1646"/>
  <c r="AD15" i="1645"/>
  <c r="AD13" i="1645"/>
  <c r="AB21" i="1645"/>
  <c r="M21" i="1645"/>
  <c r="P21" i="1645"/>
  <c r="AC21" i="1645"/>
  <c r="AD6" i="1645"/>
  <c r="AD21" i="1645" s="1"/>
  <c r="AD21" i="1644"/>
  <c r="O22" i="1644"/>
  <c r="AD16" i="1644"/>
  <c r="P15" i="1644"/>
  <c r="AC15" i="1644" s="1"/>
  <c r="AD15" i="1644" s="1"/>
  <c r="AD14" i="1644"/>
  <c r="P10" i="1644"/>
  <c r="AC10" i="1644" s="1"/>
  <c r="Q22" i="1644"/>
  <c r="AD12" i="1644"/>
  <c r="AD17" i="1644"/>
  <c r="AD19" i="1644"/>
  <c r="K22" i="1644"/>
  <c r="AD9" i="1644"/>
  <c r="AD13" i="1644"/>
  <c r="M20" i="1644"/>
  <c r="AB20" i="1644"/>
  <c r="AD20" i="1644" s="1"/>
  <c r="AB11" i="1644"/>
  <c r="AD6" i="1644"/>
  <c r="M10" i="1644"/>
  <c r="AB10" i="1644"/>
  <c r="O11" i="1644"/>
  <c r="AC7" i="1644"/>
  <c r="AD7" i="1644" s="1"/>
  <c r="M9" i="1644"/>
  <c r="O10" i="1644"/>
  <c r="P11" i="1644"/>
  <c r="AC11" i="1644" s="1"/>
  <c r="AD11" i="1644" s="1"/>
  <c r="M13" i="1644"/>
  <c r="M19" i="1644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L19" i="1643"/>
  <c r="L18" i="1643"/>
  <c r="K18" i="1643" s="1"/>
  <c r="L15" i="1643"/>
  <c r="K15" i="1643" s="1"/>
  <c r="L13" i="1643"/>
  <c r="K13" i="1643" s="1"/>
  <c r="L12" i="1643"/>
  <c r="L11" i="1643"/>
  <c r="K11" i="1643" s="1"/>
  <c r="L10" i="1643"/>
  <c r="AB10" i="1643" s="1"/>
  <c r="L9" i="1643"/>
  <c r="AB9" i="1643" s="1"/>
  <c r="K19" i="1643"/>
  <c r="K17" i="1643"/>
  <c r="K12" i="1643"/>
  <c r="K10" i="1643"/>
  <c r="A74" i="1643"/>
  <c r="A75" i="1643" s="1"/>
  <c r="A76" i="1643" s="1"/>
  <c r="A77" i="1643" s="1"/>
  <c r="A78" i="1643" s="1"/>
  <c r="A79" i="1643" s="1"/>
  <c r="A80" i="1643" s="1"/>
  <c r="A81" i="1643" s="1"/>
  <c r="AF60" i="1643"/>
  <c r="AF62" i="1643" s="1"/>
  <c r="AF59" i="1643"/>
  <c r="AA21" i="1643"/>
  <c r="Z21" i="1643"/>
  <c r="Y21" i="1643"/>
  <c r="X21" i="1643"/>
  <c r="W21" i="1643"/>
  <c r="V21" i="1643"/>
  <c r="U21" i="1643"/>
  <c r="T21" i="1643"/>
  <c r="S21" i="1643"/>
  <c r="R21" i="1643"/>
  <c r="N21" i="1643"/>
  <c r="J21" i="1643"/>
  <c r="I21" i="1643"/>
  <c r="AF20" i="1643"/>
  <c r="AB20" i="1643"/>
  <c r="Q20" i="1643"/>
  <c r="P20" i="1643"/>
  <c r="AC20" i="1643" s="1"/>
  <c r="AD20" i="1643" s="1"/>
  <c r="O20" i="1643"/>
  <c r="M20" i="1643"/>
  <c r="K20" i="1643"/>
  <c r="AF19" i="1643"/>
  <c r="Q19" i="1643"/>
  <c r="P19" i="1643"/>
  <c r="AC19" i="1643" s="1"/>
  <c r="AF18" i="1643"/>
  <c r="Q18" i="1643"/>
  <c r="P18" i="1643" s="1"/>
  <c r="AC18" i="1643" s="1"/>
  <c r="AF17" i="1643"/>
  <c r="AC17" i="1643"/>
  <c r="AB17" i="1643"/>
  <c r="Q17" i="1643"/>
  <c r="P17" i="1643"/>
  <c r="O17" i="1643"/>
  <c r="M17" i="1643"/>
  <c r="AF16" i="1643"/>
  <c r="AB16" i="1643"/>
  <c r="Q16" i="1643"/>
  <c r="P16" i="1643"/>
  <c r="AC16" i="1643" s="1"/>
  <c r="O16" i="1643"/>
  <c r="M16" i="1643"/>
  <c r="K16" i="1643"/>
  <c r="AF15" i="1643"/>
  <c r="AB15" i="1643"/>
  <c r="Q15" i="1643"/>
  <c r="M15" i="1643"/>
  <c r="O15" i="1643"/>
  <c r="AF14" i="1643"/>
  <c r="AC14" i="1643"/>
  <c r="AB14" i="1643"/>
  <c r="Q14" i="1643"/>
  <c r="P14" i="1643"/>
  <c r="O14" i="1643"/>
  <c r="M14" i="1643"/>
  <c r="K14" i="1643"/>
  <c r="AF13" i="1643"/>
  <c r="Q13" i="1643"/>
  <c r="O13" i="1643"/>
  <c r="P13" i="1643"/>
  <c r="AC13" i="1643" s="1"/>
  <c r="AF12" i="1643"/>
  <c r="AB12" i="1643"/>
  <c r="Q12" i="1643"/>
  <c r="P12" i="1643" s="1"/>
  <c r="AC12" i="1643" s="1"/>
  <c r="M12" i="1643"/>
  <c r="O12" i="1643"/>
  <c r="AF11" i="1643"/>
  <c r="Q11" i="1643"/>
  <c r="O11" i="1643"/>
  <c r="AF10" i="1643"/>
  <c r="Q10" i="1643"/>
  <c r="P10" i="1643" s="1"/>
  <c r="AC10" i="1643" s="1"/>
  <c r="O10" i="1643"/>
  <c r="AF9" i="1643"/>
  <c r="Q9" i="1643"/>
  <c r="O9" i="1643"/>
  <c r="K9" i="1643"/>
  <c r="AF8" i="1643"/>
  <c r="AC8" i="1643"/>
  <c r="AD8" i="1643" s="1"/>
  <c r="AB8" i="1643"/>
  <c r="Q8" i="1643"/>
  <c r="P8" i="1643"/>
  <c r="O8" i="1643"/>
  <c r="M8" i="1643"/>
  <c r="K8" i="1643"/>
  <c r="AF7" i="1643"/>
  <c r="AC7" i="1643"/>
  <c r="AD7" i="1643" s="1"/>
  <c r="AB7" i="1643"/>
  <c r="Q7" i="1643"/>
  <c r="P7" i="1643"/>
  <c r="O7" i="1643"/>
  <c r="M7" i="1643"/>
  <c r="K7" i="1643"/>
  <c r="AF6" i="1643"/>
  <c r="AC6" i="1643"/>
  <c r="AB6" i="1643"/>
  <c r="Q6" i="1643"/>
  <c r="P6" i="1643"/>
  <c r="O6" i="1643"/>
  <c r="M6" i="1643"/>
  <c r="K6" i="1643"/>
  <c r="AE20" i="1646" l="1"/>
  <c r="AE19" i="1646"/>
  <c r="AE22" i="1646"/>
  <c r="AE9" i="1646"/>
  <c r="AE7" i="1646"/>
  <c r="AE14" i="1646"/>
  <c r="AE10" i="1646"/>
  <c r="AE12" i="1646"/>
  <c r="AE13" i="1646"/>
  <c r="AE17" i="1646"/>
  <c r="AE8" i="1646"/>
  <c r="AE11" i="1646"/>
  <c r="AE15" i="1646"/>
  <c r="AE18" i="1646"/>
  <c r="AE21" i="1646"/>
  <c r="AE19" i="1645"/>
  <c r="AE12" i="1645"/>
  <c r="AE8" i="1645"/>
  <c r="AE6" i="1645"/>
  <c r="AE13" i="1645"/>
  <c r="AE9" i="1645"/>
  <c r="AE15" i="1645"/>
  <c r="AE11" i="1645"/>
  <c r="AE16" i="1645"/>
  <c r="AE20" i="1645"/>
  <c r="AE14" i="1645"/>
  <c r="AE10" i="1645"/>
  <c r="AE7" i="1645"/>
  <c r="AE18" i="1645"/>
  <c r="AE17" i="1645"/>
  <c r="AB22" i="1644"/>
  <c r="M22" i="1644"/>
  <c r="AC22" i="1644"/>
  <c r="P22" i="1644"/>
  <c r="AD10" i="1644"/>
  <c r="AD22" i="1644" s="1"/>
  <c r="AE18" i="1644" s="1"/>
  <c r="O18" i="1643"/>
  <c r="P15" i="1643"/>
  <c r="AC15" i="1643" s="1"/>
  <c r="AD15" i="1643" s="1"/>
  <c r="L21" i="1643"/>
  <c r="O21" i="1643" s="1"/>
  <c r="M10" i="1643"/>
  <c r="Q21" i="1643"/>
  <c r="P9" i="1643"/>
  <c r="AC9" i="1643" s="1"/>
  <c r="AD9" i="1643" s="1"/>
  <c r="M9" i="1643"/>
  <c r="AD14" i="1643"/>
  <c r="AD17" i="1643"/>
  <c r="AD10" i="1643"/>
  <c r="AD16" i="1643"/>
  <c r="AD12" i="1643"/>
  <c r="AD6" i="1643"/>
  <c r="K21" i="1643"/>
  <c r="P11" i="1643"/>
  <c r="AC11" i="1643" s="1"/>
  <c r="M13" i="1643"/>
  <c r="AB13" i="1643"/>
  <c r="AD13" i="1643" s="1"/>
  <c r="M19" i="1643"/>
  <c r="AB19" i="1643"/>
  <c r="M18" i="1643"/>
  <c r="AB18" i="1643"/>
  <c r="AD18" i="1643" s="1"/>
  <c r="O19" i="1643"/>
  <c r="M11" i="1643"/>
  <c r="AB11" i="1643"/>
  <c r="L19" i="1642"/>
  <c r="L18" i="1642"/>
  <c r="K18" i="1642"/>
  <c r="L17" i="1642"/>
  <c r="AB17" i="1642" s="1"/>
  <c r="K17" i="1642"/>
  <c r="L15" i="1642"/>
  <c r="K15" i="1642" s="1"/>
  <c r="L13" i="1642"/>
  <c r="L12" i="1642"/>
  <c r="AB12" i="1642" s="1"/>
  <c r="K12" i="1642"/>
  <c r="L11" i="1642"/>
  <c r="O11" i="1642" s="1"/>
  <c r="K11" i="1642"/>
  <c r="L10" i="1642"/>
  <c r="K19" i="1642"/>
  <c r="K16" i="1642"/>
  <c r="K14" i="1642"/>
  <c r="K13" i="1642"/>
  <c r="K10" i="1642"/>
  <c r="K9" i="1642"/>
  <c r="K8" i="1642"/>
  <c r="A74" i="1642"/>
  <c r="A75" i="1642" s="1"/>
  <c r="A76" i="1642" s="1"/>
  <c r="A77" i="1642" s="1"/>
  <c r="A78" i="1642" s="1"/>
  <c r="A79" i="1642" s="1"/>
  <c r="A80" i="1642" s="1"/>
  <c r="A81" i="1642" s="1"/>
  <c r="AF60" i="1642"/>
  <c r="AF62" i="1642" s="1"/>
  <c r="AF59" i="1642"/>
  <c r="AA21" i="1642"/>
  <c r="Z21" i="1642"/>
  <c r="Y21" i="1642"/>
  <c r="X21" i="1642"/>
  <c r="W21" i="1642"/>
  <c r="V21" i="1642"/>
  <c r="U21" i="1642"/>
  <c r="T21" i="1642"/>
  <c r="S21" i="1642"/>
  <c r="R21" i="1642"/>
  <c r="N21" i="1642"/>
  <c r="J21" i="1642"/>
  <c r="I21" i="1642"/>
  <c r="AF20" i="1642"/>
  <c r="AC20" i="1642"/>
  <c r="AD20" i="1642" s="1"/>
  <c r="AB20" i="1642"/>
  <c r="Q20" i="1642"/>
  <c r="P20" i="1642"/>
  <c r="O20" i="1642"/>
  <c r="M20" i="1642"/>
  <c r="K20" i="1642"/>
  <c r="AF19" i="1642"/>
  <c r="Q19" i="1642"/>
  <c r="P19" i="1642"/>
  <c r="AC19" i="1642" s="1"/>
  <c r="O19" i="1642"/>
  <c r="AF18" i="1642"/>
  <c r="Q18" i="1642"/>
  <c r="P18" i="1642"/>
  <c r="AC18" i="1642" s="1"/>
  <c r="O18" i="1642"/>
  <c r="AB18" i="1642"/>
  <c r="AF17" i="1642"/>
  <c r="Q17" i="1642"/>
  <c r="P17" i="1642"/>
  <c r="AC17" i="1642" s="1"/>
  <c r="O17" i="1642"/>
  <c r="AF16" i="1642"/>
  <c r="Q16" i="1642"/>
  <c r="P16" i="1642"/>
  <c r="AC16" i="1642" s="1"/>
  <c r="AF15" i="1642"/>
  <c r="Q15" i="1642"/>
  <c r="P15" i="1642" s="1"/>
  <c r="AC15" i="1642" s="1"/>
  <c r="O15" i="1642"/>
  <c r="AF14" i="1642"/>
  <c r="AB14" i="1642"/>
  <c r="Q14" i="1642"/>
  <c r="P14" i="1642"/>
  <c r="AC14" i="1642" s="1"/>
  <c r="AD14" i="1642" s="1"/>
  <c r="O14" i="1642"/>
  <c r="M14" i="1642"/>
  <c r="AF13" i="1642"/>
  <c r="Q13" i="1642"/>
  <c r="P13" i="1642" s="1"/>
  <c r="AC13" i="1642" s="1"/>
  <c r="AF12" i="1642"/>
  <c r="Q12" i="1642"/>
  <c r="P12" i="1642"/>
  <c r="AC12" i="1642" s="1"/>
  <c r="O12" i="1642"/>
  <c r="AF11" i="1642"/>
  <c r="AB11" i="1642"/>
  <c r="Q11" i="1642"/>
  <c r="P11" i="1642"/>
  <c r="AC11" i="1642" s="1"/>
  <c r="M11" i="1642"/>
  <c r="AF10" i="1642"/>
  <c r="Q10" i="1642"/>
  <c r="AF9" i="1642"/>
  <c r="Q9" i="1642"/>
  <c r="P9" i="1642"/>
  <c r="AC9" i="1642" s="1"/>
  <c r="AF8" i="1642"/>
  <c r="Q8" i="1642"/>
  <c r="P8" i="1642"/>
  <c r="AC8" i="1642" s="1"/>
  <c r="O8" i="1642"/>
  <c r="AB8" i="1642"/>
  <c r="AF7" i="1642"/>
  <c r="AC7" i="1642"/>
  <c r="AD7" i="1642" s="1"/>
  <c r="AB7" i="1642"/>
  <c r="Q7" i="1642"/>
  <c r="P7" i="1642"/>
  <c r="O7" i="1642"/>
  <c r="M7" i="1642"/>
  <c r="K7" i="1642"/>
  <c r="AF6" i="1642"/>
  <c r="AB6" i="1642"/>
  <c r="Q6" i="1642"/>
  <c r="P6" i="1642"/>
  <c r="O6" i="1642"/>
  <c r="M6" i="1642"/>
  <c r="K6" i="1642"/>
  <c r="AE16" i="1644" l="1"/>
  <c r="AE11" i="1644"/>
  <c r="AE21" i="1644"/>
  <c r="AE17" i="1644"/>
  <c r="AE15" i="1644"/>
  <c r="AE12" i="1644"/>
  <c r="AE8" i="1644"/>
  <c r="AE6" i="1644"/>
  <c r="AE13" i="1644"/>
  <c r="AE9" i="1644"/>
  <c r="AE20" i="1644"/>
  <c r="AE14" i="1644"/>
  <c r="AE19" i="1644"/>
  <c r="AE10" i="1644"/>
  <c r="AE7" i="1644"/>
  <c r="AD19" i="1643"/>
  <c r="AB21" i="1643"/>
  <c r="M21" i="1643"/>
  <c r="AD11" i="1643"/>
  <c r="AC21" i="1643"/>
  <c r="AD21" i="1643"/>
  <c r="P21" i="1643"/>
  <c r="AD17" i="1642"/>
  <c r="M17" i="1642"/>
  <c r="L21" i="1642"/>
  <c r="O21" i="1642" s="1"/>
  <c r="Q21" i="1642"/>
  <c r="M12" i="1642"/>
  <c r="AD11" i="1642"/>
  <c r="P10" i="1642"/>
  <c r="AC10" i="1642" s="1"/>
  <c r="AD12" i="1642"/>
  <c r="AD8" i="1642"/>
  <c r="AD18" i="1642"/>
  <c r="M10" i="1642"/>
  <c r="AB13" i="1642"/>
  <c r="AB16" i="1642"/>
  <c r="M9" i="1642"/>
  <c r="AB9" i="1642"/>
  <c r="O10" i="1642"/>
  <c r="O13" i="1642"/>
  <c r="M15" i="1642"/>
  <c r="AB15" i="1642"/>
  <c r="AD15" i="1642" s="1"/>
  <c r="O16" i="1642"/>
  <c r="M19" i="1642"/>
  <c r="AB19" i="1642"/>
  <c r="AD19" i="1642" s="1"/>
  <c r="AB10" i="1642"/>
  <c r="M13" i="1642"/>
  <c r="M16" i="1642"/>
  <c r="AC6" i="1642"/>
  <c r="M8" i="1642"/>
  <c r="O9" i="1642"/>
  <c r="K21" i="1642"/>
  <c r="M18" i="1642"/>
  <c r="P17" i="16"/>
  <c r="P16" i="16"/>
  <c r="P15" i="16"/>
  <c r="P14" i="16"/>
  <c r="P13" i="16"/>
  <c r="P12" i="16"/>
  <c r="P11" i="16"/>
  <c r="P9" i="16"/>
  <c r="P8" i="16"/>
  <c r="P7" i="16"/>
  <c r="P6" i="16"/>
  <c r="P5" i="16"/>
  <c r="P4" i="16"/>
  <c r="P3" i="16"/>
  <c r="L19" i="1641"/>
  <c r="L18" i="1641"/>
  <c r="K18" i="1641"/>
  <c r="AE13" i="1643" l="1"/>
  <c r="AE9" i="1643"/>
  <c r="AE16" i="1643"/>
  <c r="AE10" i="1643"/>
  <c r="AE20" i="1643"/>
  <c r="AE17" i="1643"/>
  <c r="AE14" i="1643"/>
  <c r="AE11" i="1643"/>
  <c r="AE8" i="1643"/>
  <c r="AE18" i="1643"/>
  <c r="AE15" i="1643"/>
  <c r="AE12" i="1643"/>
  <c r="AE19" i="1643"/>
  <c r="AE7" i="1643"/>
  <c r="AE6" i="1643"/>
  <c r="P21" i="1642"/>
  <c r="AD16" i="1642"/>
  <c r="AD13" i="1642"/>
  <c r="M21" i="1642"/>
  <c r="AD10" i="1642"/>
  <c r="AD9" i="1642"/>
  <c r="AB21" i="1642"/>
  <c r="AC21" i="1642"/>
  <c r="AD6" i="1642"/>
  <c r="L17" i="1641"/>
  <c r="K17" i="1641" s="1"/>
  <c r="L16" i="1641"/>
  <c r="K16" i="1641" s="1"/>
  <c r="L15" i="1641"/>
  <c r="K14" i="1641"/>
  <c r="L13" i="1641"/>
  <c r="L11" i="1641"/>
  <c r="L10" i="1641"/>
  <c r="L9" i="1641"/>
  <c r="L8" i="1641"/>
  <c r="K8" i="1641"/>
  <c r="AD21" i="1642" l="1"/>
  <c r="AE13" i="1642" s="1"/>
  <c r="K19" i="1641"/>
  <c r="K15" i="1641"/>
  <c r="K13" i="1641"/>
  <c r="K12" i="1641"/>
  <c r="K11" i="1641"/>
  <c r="K9" i="1641"/>
  <c r="A74" i="1641"/>
  <c r="A75" i="1641" s="1"/>
  <c r="A76" i="1641" s="1"/>
  <c r="A77" i="1641" s="1"/>
  <c r="A78" i="1641" s="1"/>
  <c r="A79" i="1641" s="1"/>
  <c r="A80" i="1641" s="1"/>
  <c r="A81" i="1641" s="1"/>
  <c r="AF60" i="1641"/>
  <c r="AF59" i="1641"/>
  <c r="AA21" i="1641"/>
  <c r="Z21" i="1641"/>
  <c r="Y21" i="1641"/>
  <c r="X21" i="1641"/>
  <c r="W21" i="1641"/>
  <c r="V21" i="1641"/>
  <c r="U21" i="1641"/>
  <c r="T21" i="1641"/>
  <c r="S21" i="1641"/>
  <c r="R21" i="1641"/>
  <c r="N21" i="1641"/>
  <c r="J21" i="1641"/>
  <c r="I21" i="1641"/>
  <c r="AF20" i="1641"/>
  <c r="AB20" i="1641"/>
  <c r="Q20" i="1641"/>
  <c r="P20" i="1641"/>
  <c r="AC20" i="1641" s="1"/>
  <c r="O20" i="1641"/>
  <c r="M20" i="1641"/>
  <c r="K20" i="1641"/>
  <c r="AF19" i="1641"/>
  <c r="AB19" i="1641"/>
  <c r="Q19" i="1641"/>
  <c r="P19" i="1641" s="1"/>
  <c r="AC19" i="1641" s="1"/>
  <c r="O19" i="1641"/>
  <c r="M19" i="1641"/>
  <c r="AF18" i="1641"/>
  <c r="AB18" i="1641"/>
  <c r="Q18" i="1641"/>
  <c r="P18" i="1641" s="1"/>
  <c r="AC18" i="1641" s="1"/>
  <c r="O18" i="1641"/>
  <c r="M18" i="1641"/>
  <c r="AF17" i="1641"/>
  <c r="AB17" i="1641"/>
  <c r="Q17" i="1641"/>
  <c r="P17" i="1641" s="1"/>
  <c r="AC17" i="1641" s="1"/>
  <c r="O17" i="1641"/>
  <c r="M17" i="1641"/>
  <c r="AF16" i="1641"/>
  <c r="Q16" i="1641"/>
  <c r="P16" i="1641"/>
  <c r="AC16" i="1641" s="1"/>
  <c r="O16" i="1641"/>
  <c r="AF15" i="1641"/>
  <c r="AB15" i="1641"/>
  <c r="Q15" i="1641"/>
  <c r="P15" i="1641" s="1"/>
  <c r="AC15" i="1641" s="1"/>
  <c r="O15" i="1641"/>
  <c r="M15" i="1641"/>
  <c r="AF14" i="1641"/>
  <c r="AB14" i="1641"/>
  <c r="Q14" i="1641"/>
  <c r="P14" i="1641" s="1"/>
  <c r="AC14" i="1641" s="1"/>
  <c r="AD14" i="1641" s="1"/>
  <c r="O14" i="1641"/>
  <c r="M14" i="1641"/>
  <c r="AF13" i="1641"/>
  <c r="Q13" i="1641"/>
  <c r="P13" i="1641" s="1"/>
  <c r="AC13" i="1641" s="1"/>
  <c r="O13" i="1641"/>
  <c r="AF12" i="1641"/>
  <c r="AB12" i="1641"/>
  <c r="Q12" i="1641"/>
  <c r="P12" i="1641"/>
  <c r="AC12" i="1641" s="1"/>
  <c r="O12" i="1641"/>
  <c r="M12" i="1641"/>
  <c r="AF11" i="1641"/>
  <c r="AB11" i="1641"/>
  <c r="Q11" i="1641"/>
  <c r="O11" i="1641"/>
  <c r="M11" i="1641"/>
  <c r="P11" i="1641"/>
  <c r="AC11" i="1641" s="1"/>
  <c r="AF10" i="1641"/>
  <c r="AB10" i="1641"/>
  <c r="Q10" i="1641"/>
  <c r="P10" i="1641" s="1"/>
  <c r="AC10" i="1641" s="1"/>
  <c r="O10" i="1641"/>
  <c r="M10" i="1641"/>
  <c r="K10" i="1641"/>
  <c r="AF9" i="1641"/>
  <c r="AB9" i="1641"/>
  <c r="Q9" i="1641"/>
  <c r="P9" i="1641" s="1"/>
  <c r="AC9" i="1641" s="1"/>
  <c r="O9" i="1641"/>
  <c r="M9" i="1641"/>
  <c r="L21" i="1641"/>
  <c r="AF8" i="1641"/>
  <c r="AB8" i="1641"/>
  <c r="Q8" i="1641"/>
  <c r="P8" i="1641" s="1"/>
  <c r="AC8" i="1641" s="1"/>
  <c r="AD8" i="1641" s="1"/>
  <c r="O8" i="1641"/>
  <c r="M8" i="1641"/>
  <c r="AF7" i="1641"/>
  <c r="AB7" i="1641"/>
  <c r="Q7" i="1641"/>
  <c r="P7" i="1641"/>
  <c r="AC7" i="1641" s="1"/>
  <c r="O7" i="1641"/>
  <c r="M7" i="1641"/>
  <c r="K7" i="1641"/>
  <c r="AF6" i="1641"/>
  <c r="AB6" i="1641"/>
  <c r="Q6" i="1641"/>
  <c r="P6" i="1641"/>
  <c r="AC6" i="1641" s="1"/>
  <c r="O6" i="1641"/>
  <c r="M6" i="1641"/>
  <c r="K6" i="1641"/>
  <c r="AE6" i="1642" l="1"/>
  <c r="AE17" i="1642"/>
  <c r="AE15" i="1642"/>
  <c r="AE11" i="1642"/>
  <c r="AE8" i="1642"/>
  <c r="AE10" i="1642"/>
  <c r="AE16" i="1642"/>
  <c r="AE9" i="1642"/>
  <c r="AE14" i="1642"/>
  <c r="AE19" i="1642"/>
  <c r="AE20" i="1642"/>
  <c r="AE12" i="1642"/>
  <c r="AE18" i="1642"/>
  <c r="AE7" i="1642"/>
  <c r="AD7" i="1641"/>
  <c r="AD20" i="1641"/>
  <c r="O21" i="1641"/>
  <c r="AF62" i="1641"/>
  <c r="AD11" i="1641"/>
  <c r="AD18" i="1641"/>
  <c r="Q21" i="1641"/>
  <c r="AD15" i="1641"/>
  <c r="AD12" i="1641"/>
  <c r="AD10" i="1641"/>
  <c r="AD19" i="1641"/>
  <c r="AD9" i="1641"/>
  <c r="AC21" i="1641"/>
  <c r="AD17" i="1641"/>
  <c r="P21" i="1641"/>
  <c r="AD6" i="1641"/>
  <c r="K21" i="1641"/>
  <c r="M13" i="1641"/>
  <c r="AB13" i="1641"/>
  <c r="AD13" i="1641" s="1"/>
  <c r="P10" i="16" s="1"/>
  <c r="M16" i="1641"/>
  <c r="AB16" i="1641"/>
  <c r="AD16" i="1641" s="1"/>
  <c r="L20" i="1640"/>
  <c r="M21" i="1641" l="1"/>
  <c r="AB21" i="1641"/>
  <c r="AD21" i="1641"/>
  <c r="P18" i="16" s="1"/>
  <c r="AF19" i="1640"/>
  <c r="Q19" i="1640"/>
  <c r="P19" i="1640" s="1"/>
  <c r="AC19" i="1640" s="1"/>
  <c r="O19" i="1640"/>
  <c r="AB19" i="1640"/>
  <c r="K19" i="1640"/>
  <c r="L18" i="1640"/>
  <c r="K18" i="1640" s="1"/>
  <c r="K17" i="1640"/>
  <c r="L16" i="1640"/>
  <c r="K16" i="1640"/>
  <c r="L15" i="1640"/>
  <c r="L13" i="1640"/>
  <c r="L12" i="1640"/>
  <c r="K12" i="1640" s="1"/>
  <c r="L11" i="1640"/>
  <c r="K11" i="1640" s="1"/>
  <c r="AE19" i="1641" l="1"/>
  <c r="AE17" i="1641"/>
  <c r="AE14" i="1641"/>
  <c r="AE11" i="1641"/>
  <c r="AE8" i="1641"/>
  <c r="AE6" i="1641"/>
  <c r="AE7" i="1641"/>
  <c r="AE10" i="1641"/>
  <c r="AE18" i="1641"/>
  <c r="AE15" i="1641"/>
  <c r="AE12" i="1641"/>
  <c r="AE9" i="1641"/>
  <c r="AE20" i="1641"/>
  <c r="AE16" i="1641"/>
  <c r="AE13" i="1641"/>
  <c r="AD19" i="1640"/>
  <c r="M19" i="1640"/>
  <c r="L9" i="1640" l="1"/>
  <c r="K20" i="1640" l="1"/>
  <c r="K15" i="1640"/>
  <c r="K14" i="1640"/>
  <c r="K13" i="1640"/>
  <c r="K10" i="1640"/>
  <c r="K9" i="1640"/>
  <c r="K8" i="1640"/>
  <c r="A75" i="1640"/>
  <c r="A76" i="1640" s="1"/>
  <c r="A77" i="1640" s="1"/>
  <c r="A78" i="1640" s="1"/>
  <c r="A79" i="1640" s="1"/>
  <c r="A80" i="1640" s="1"/>
  <c r="A81" i="1640" s="1"/>
  <c r="A82" i="1640" s="1"/>
  <c r="AF61" i="1640"/>
  <c r="AF60" i="1640"/>
  <c r="AA22" i="1640"/>
  <c r="Z22" i="1640"/>
  <c r="Y22" i="1640"/>
  <c r="X22" i="1640"/>
  <c r="W22" i="1640"/>
  <c r="V22" i="1640"/>
  <c r="U22" i="1640"/>
  <c r="T22" i="1640"/>
  <c r="S22" i="1640"/>
  <c r="R22" i="1640"/>
  <c r="N22" i="1640"/>
  <c r="J22" i="1640"/>
  <c r="I22" i="1640"/>
  <c r="AF21" i="1640"/>
  <c r="AB21" i="1640"/>
  <c r="Q21" i="1640"/>
  <c r="P21" i="1640"/>
  <c r="AC21" i="1640" s="1"/>
  <c r="O21" i="1640"/>
  <c r="M21" i="1640"/>
  <c r="K21" i="1640"/>
  <c r="AF20" i="1640"/>
  <c r="AB20" i="1640"/>
  <c r="Q20" i="1640"/>
  <c r="P20" i="1640" s="1"/>
  <c r="AC20" i="1640" s="1"/>
  <c r="O20" i="1640"/>
  <c r="M20" i="1640"/>
  <c r="AF18" i="1640"/>
  <c r="Q18" i="1640"/>
  <c r="P18" i="1640" s="1"/>
  <c r="AC18" i="1640" s="1"/>
  <c r="AF17" i="1640"/>
  <c r="AB17" i="1640"/>
  <c r="Q17" i="1640"/>
  <c r="P17" i="1640" s="1"/>
  <c r="AC17" i="1640" s="1"/>
  <c r="O17" i="1640"/>
  <c r="M17" i="1640"/>
  <c r="AF16" i="1640"/>
  <c r="AB16" i="1640"/>
  <c r="Q16" i="1640"/>
  <c r="P16" i="1640" s="1"/>
  <c r="AC16" i="1640" s="1"/>
  <c r="O16" i="1640"/>
  <c r="M16" i="1640"/>
  <c r="AF15" i="1640"/>
  <c r="Q15" i="1640"/>
  <c r="P15" i="1640"/>
  <c r="AC15" i="1640" s="1"/>
  <c r="AF14" i="1640"/>
  <c r="AB14" i="1640"/>
  <c r="Q14" i="1640"/>
  <c r="P14" i="1640"/>
  <c r="AC14" i="1640" s="1"/>
  <c r="O14" i="1640"/>
  <c r="M14" i="1640"/>
  <c r="AF13" i="1640"/>
  <c r="AB13" i="1640"/>
  <c r="Q13" i="1640"/>
  <c r="P13" i="1640" s="1"/>
  <c r="AC13" i="1640" s="1"/>
  <c r="O13" i="1640"/>
  <c r="M13" i="1640"/>
  <c r="AF12" i="1640"/>
  <c r="AB12" i="1640"/>
  <c r="Q12" i="1640"/>
  <c r="P12" i="1640" s="1"/>
  <c r="AC12" i="1640" s="1"/>
  <c r="O12" i="1640"/>
  <c r="M12" i="1640"/>
  <c r="AF11" i="1640"/>
  <c r="Q11" i="1640"/>
  <c r="P11" i="1640" s="1"/>
  <c r="AC11" i="1640" s="1"/>
  <c r="O11" i="1640"/>
  <c r="AB11" i="1640"/>
  <c r="AF10" i="1640"/>
  <c r="AB10" i="1640"/>
  <c r="Q10" i="1640"/>
  <c r="P10" i="1640"/>
  <c r="AC10" i="1640" s="1"/>
  <c r="O10" i="1640"/>
  <c r="M10" i="1640"/>
  <c r="AF9" i="1640"/>
  <c r="Q9" i="1640"/>
  <c r="P9" i="1640" s="1"/>
  <c r="AC9" i="1640" s="1"/>
  <c r="AF8" i="1640"/>
  <c r="Q8" i="1640"/>
  <c r="P8" i="1640"/>
  <c r="AC8" i="1640" s="1"/>
  <c r="O8" i="1640"/>
  <c r="AF7" i="1640"/>
  <c r="AB7" i="1640"/>
  <c r="Q7" i="1640"/>
  <c r="P7" i="1640"/>
  <c r="AC7" i="1640" s="1"/>
  <c r="O7" i="1640"/>
  <c r="M7" i="1640"/>
  <c r="K7" i="1640"/>
  <c r="AF6" i="1640"/>
  <c r="AB6" i="1640"/>
  <c r="Q6" i="1640"/>
  <c r="P6" i="1640"/>
  <c r="AC6" i="1640" s="1"/>
  <c r="O6" i="1640"/>
  <c r="M6" i="1640"/>
  <c r="K6" i="1640"/>
  <c r="L19" i="1639"/>
  <c r="L18" i="1639"/>
  <c r="AD10" i="1640" l="1"/>
  <c r="O7" i="16" s="1"/>
  <c r="AD14" i="1640"/>
  <c r="O11" i="16" s="1"/>
  <c r="AF63" i="1640"/>
  <c r="AD21" i="1640"/>
  <c r="O17" i="16" s="1"/>
  <c r="AD20" i="1640"/>
  <c r="O16" i="16" s="1"/>
  <c r="AD7" i="1640"/>
  <c r="O4" i="16" s="1"/>
  <c r="AD17" i="1640"/>
  <c r="O14" i="16" s="1"/>
  <c r="AD16" i="1640"/>
  <c r="O13" i="16" s="1"/>
  <c r="AD13" i="1640"/>
  <c r="O10" i="16" s="1"/>
  <c r="Q22" i="1640"/>
  <c r="AD12" i="1640"/>
  <c r="O9" i="16" s="1"/>
  <c r="AC22" i="1640"/>
  <c r="AD11" i="1640"/>
  <c r="O8" i="16" s="1"/>
  <c r="P22" i="1640"/>
  <c r="M9" i="1640"/>
  <c r="AB9" i="1640"/>
  <c r="M15" i="1640"/>
  <c r="AB15" i="1640"/>
  <c r="M18" i="1640"/>
  <c r="AB18" i="1640"/>
  <c r="M8" i="1640"/>
  <c r="AB8" i="1640"/>
  <c r="AD8" i="1640" s="1"/>
  <c r="O5" i="16" s="1"/>
  <c r="O9" i="1640"/>
  <c r="O15" i="1640"/>
  <c r="O18" i="1640"/>
  <c r="L22" i="1640"/>
  <c r="O22" i="1640" s="1"/>
  <c r="AD6" i="1640"/>
  <c r="O3" i="16" s="1"/>
  <c r="K22" i="1640"/>
  <c r="M11" i="1640"/>
  <c r="L16" i="1639"/>
  <c r="K16" i="1639"/>
  <c r="L15" i="1639"/>
  <c r="K15" i="1639" s="1"/>
  <c r="K14" i="1639"/>
  <c r="L13" i="1639"/>
  <c r="K13" i="1639" s="1"/>
  <c r="K12" i="1639"/>
  <c r="L11" i="1639"/>
  <c r="L10" i="1639"/>
  <c r="L9" i="1639"/>
  <c r="AB9" i="1639" s="1"/>
  <c r="L8" i="1639"/>
  <c r="K8" i="1639" s="1"/>
  <c r="K19" i="1639"/>
  <c r="K18" i="1639"/>
  <c r="K17" i="1639"/>
  <c r="K11" i="1639"/>
  <c r="A74" i="1639"/>
  <c r="A75" i="1639" s="1"/>
  <c r="A76" i="1639" s="1"/>
  <c r="A77" i="1639" s="1"/>
  <c r="A78" i="1639" s="1"/>
  <c r="A79" i="1639" s="1"/>
  <c r="A80" i="1639" s="1"/>
  <c r="A81" i="1639" s="1"/>
  <c r="AF60" i="1639"/>
  <c r="AF59" i="1639"/>
  <c r="AF62" i="1639" s="1"/>
  <c r="AA21" i="1639"/>
  <c r="Z21" i="1639"/>
  <c r="Y21" i="1639"/>
  <c r="X21" i="1639"/>
  <c r="W21" i="1639"/>
  <c r="V21" i="1639"/>
  <c r="U21" i="1639"/>
  <c r="T21" i="1639"/>
  <c r="S21" i="1639"/>
  <c r="R21" i="1639"/>
  <c r="N21" i="1639"/>
  <c r="J21" i="1639"/>
  <c r="I21" i="1639"/>
  <c r="AF20" i="1639"/>
  <c r="AB20" i="1639"/>
  <c r="Q20" i="1639"/>
  <c r="P20" i="1639"/>
  <c r="AC20" i="1639" s="1"/>
  <c r="AD20" i="1639" s="1"/>
  <c r="N17" i="16" s="1"/>
  <c r="O20" i="1639"/>
  <c r="M20" i="1639"/>
  <c r="K20" i="1639"/>
  <c r="AF19" i="1639"/>
  <c r="AB19" i="1639"/>
  <c r="Q19" i="1639"/>
  <c r="O19" i="1639"/>
  <c r="M19" i="1639"/>
  <c r="P19" i="1639"/>
  <c r="AC19" i="1639" s="1"/>
  <c r="AD19" i="1639" s="1"/>
  <c r="N16" i="16" s="1"/>
  <c r="AF18" i="1639"/>
  <c r="Q18" i="1639"/>
  <c r="P18" i="1639"/>
  <c r="AC18" i="1639" s="1"/>
  <c r="AF17" i="1639"/>
  <c r="AB17" i="1639"/>
  <c r="Q17" i="1639"/>
  <c r="P17" i="1639"/>
  <c r="AC17" i="1639" s="1"/>
  <c r="AD17" i="1639" s="1"/>
  <c r="N14" i="16" s="1"/>
  <c r="O17" i="1639"/>
  <c r="M17" i="1639"/>
  <c r="AF16" i="1639"/>
  <c r="AB16" i="1639"/>
  <c r="Q16" i="1639"/>
  <c r="P16" i="1639" s="1"/>
  <c r="AC16" i="1639" s="1"/>
  <c r="O16" i="1639"/>
  <c r="M16" i="1639"/>
  <c r="AF15" i="1639"/>
  <c r="Q15" i="1639"/>
  <c r="P15" i="1639" s="1"/>
  <c r="AC15" i="1639" s="1"/>
  <c r="AF14" i="1639"/>
  <c r="AB14" i="1639"/>
  <c r="Q14" i="1639"/>
  <c r="P14" i="1639" s="1"/>
  <c r="AC14" i="1639" s="1"/>
  <c r="O14" i="1639"/>
  <c r="M14" i="1639"/>
  <c r="AF13" i="1639"/>
  <c r="AB13" i="1639"/>
  <c r="Q13" i="1639"/>
  <c r="P13" i="1639" s="1"/>
  <c r="AC13" i="1639" s="1"/>
  <c r="O13" i="1639"/>
  <c r="M13" i="1639"/>
  <c r="AF12" i="1639"/>
  <c r="Q12" i="1639"/>
  <c r="P12" i="1639"/>
  <c r="AC12" i="1639" s="1"/>
  <c r="AF11" i="1639"/>
  <c r="Q11" i="1639"/>
  <c r="P11" i="1639" s="1"/>
  <c r="AC11" i="1639" s="1"/>
  <c r="O11" i="1639"/>
  <c r="AF10" i="1639"/>
  <c r="AB10" i="1639"/>
  <c r="Q10" i="1639"/>
  <c r="M10" i="1639"/>
  <c r="L21" i="1639"/>
  <c r="O21" i="1639" s="1"/>
  <c r="AF9" i="1639"/>
  <c r="Q9" i="1639"/>
  <c r="P9" i="1639" s="1"/>
  <c r="AC9" i="1639" s="1"/>
  <c r="O9" i="1639"/>
  <c r="M9" i="1639"/>
  <c r="AF8" i="1639"/>
  <c r="AB8" i="1639"/>
  <c r="Q8" i="1639"/>
  <c r="O8" i="1639"/>
  <c r="M8" i="1639"/>
  <c r="AF7" i="1639"/>
  <c r="AB7" i="1639"/>
  <c r="Q7" i="1639"/>
  <c r="P7" i="1639"/>
  <c r="AC7" i="1639" s="1"/>
  <c r="AD7" i="1639" s="1"/>
  <c r="N4" i="16" s="1"/>
  <c r="O7" i="1639"/>
  <c r="M7" i="1639"/>
  <c r="K7" i="1639"/>
  <c r="AF6" i="1639"/>
  <c r="AB6" i="1639"/>
  <c r="Q6" i="1639"/>
  <c r="P6" i="1639"/>
  <c r="AC6" i="1639" s="1"/>
  <c r="O6" i="1639"/>
  <c r="M6" i="1639"/>
  <c r="K6" i="1639"/>
  <c r="AD13" i="1639" l="1"/>
  <c r="N10" i="16" s="1"/>
  <c r="M22" i="1640"/>
  <c r="AB22" i="1640"/>
  <c r="AD15" i="1640"/>
  <c r="O12" i="16" s="1"/>
  <c r="AD18" i="1640"/>
  <c r="O15" i="16" s="1"/>
  <c r="AD9" i="1640"/>
  <c r="O6" i="16" s="1"/>
  <c r="AD16" i="1639"/>
  <c r="N13" i="16" s="1"/>
  <c r="P10" i="1639"/>
  <c r="AC10" i="1639" s="1"/>
  <c r="O10" i="1639"/>
  <c r="K10" i="1639"/>
  <c r="AD9" i="1639"/>
  <c r="N6" i="16" s="1"/>
  <c r="K9" i="1639"/>
  <c r="Q21" i="1639"/>
  <c r="P8" i="1639"/>
  <c r="AC8" i="1639" s="1"/>
  <c r="AD8" i="1639" s="1"/>
  <c r="N5" i="16" s="1"/>
  <c r="AD14" i="1639"/>
  <c r="N11" i="16" s="1"/>
  <c r="AD6" i="1639"/>
  <c r="N3" i="16" s="1"/>
  <c r="M12" i="1639"/>
  <c r="AB15" i="1639"/>
  <c r="AB18" i="1639"/>
  <c r="M11" i="1639"/>
  <c r="AB11" i="1639"/>
  <c r="AD11" i="1639" s="1"/>
  <c r="N8" i="16" s="1"/>
  <c r="O12" i="1639"/>
  <c r="O15" i="1639"/>
  <c r="O18" i="1639"/>
  <c r="AB12" i="1639"/>
  <c r="M15" i="1639"/>
  <c r="M18" i="1639"/>
  <c r="K21" i="1639"/>
  <c r="L19" i="1638"/>
  <c r="AB19" i="1638" s="1"/>
  <c r="L18" i="1638"/>
  <c r="K17" i="1638"/>
  <c r="L16" i="1638"/>
  <c r="K16" i="1638" s="1"/>
  <c r="L15" i="1638"/>
  <c r="M15" i="1638" s="1"/>
  <c r="L13" i="1638"/>
  <c r="L12" i="1638"/>
  <c r="AB12" i="1638" s="1"/>
  <c r="L11" i="1638"/>
  <c r="AB11" i="1638" s="1"/>
  <c r="L10" i="1638"/>
  <c r="M10" i="1638" s="1"/>
  <c r="K9" i="1638"/>
  <c r="K18" i="1638"/>
  <c r="K13" i="1638"/>
  <c r="K11" i="1638"/>
  <c r="K10" i="1638"/>
  <c r="A74" i="1638"/>
  <c r="A75" i="1638" s="1"/>
  <c r="A76" i="1638" s="1"/>
  <c r="A77" i="1638" s="1"/>
  <c r="A78" i="1638" s="1"/>
  <c r="A79" i="1638" s="1"/>
  <c r="A80" i="1638" s="1"/>
  <c r="A81" i="1638" s="1"/>
  <c r="AF60" i="1638"/>
  <c r="AF59" i="1638"/>
  <c r="AA21" i="1638"/>
  <c r="Z21" i="1638"/>
  <c r="Y21" i="1638"/>
  <c r="X21" i="1638"/>
  <c r="W21" i="1638"/>
  <c r="V21" i="1638"/>
  <c r="U21" i="1638"/>
  <c r="T21" i="1638"/>
  <c r="S21" i="1638"/>
  <c r="R21" i="1638"/>
  <c r="N21" i="1638"/>
  <c r="J21" i="1638"/>
  <c r="I21" i="1638"/>
  <c r="AF20" i="1638"/>
  <c r="AB20" i="1638"/>
  <c r="Q20" i="1638"/>
  <c r="P20" i="1638"/>
  <c r="AC20" i="1638" s="1"/>
  <c r="AD20" i="1638" s="1"/>
  <c r="K17" i="16" s="1"/>
  <c r="O20" i="1638"/>
  <c r="M20" i="1638"/>
  <c r="K20" i="1638"/>
  <c r="AF19" i="1638"/>
  <c r="Q19" i="1638"/>
  <c r="AF18" i="1638"/>
  <c r="Q18" i="1638"/>
  <c r="AF17" i="1638"/>
  <c r="AB17" i="1638"/>
  <c r="Q17" i="1638"/>
  <c r="P17" i="1638"/>
  <c r="AC17" i="1638" s="1"/>
  <c r="O17" i="1638"/>
  <c r="M17" i="1638"/>
  <c r="AF16" i="1638"/>
  <c r="AB16" i="1638"/>
  <c r="Q16" i="1638"/>
  <c r="P16" i="1638" s="1"/>
  <c r="AC16" i="1638" s="1"/>
  <c r="O16" i="1638"/>
  <c r="M16" i="1638"/>
  <c r="AF15" i="1638"/>
  <c r="Q15" i="1638"/>
  <c r="O15" i="1638"/>
  <c r="AF14" i="1638"/>
  <c r="AC14" i="1638"/>
  <c r="AB14" i="1638"/>
  <c r="Q14" i="1638"/>
  <c r="P14" i="1638"/>
  <c r="O14" i="1638"/>
  <c r="M14" i="1638"/>
  <c r="K14" i="1638"/>
  <c r="AF13" i="1638"/>
  <c r="Q13" i="1638"/>
  <c r="P13" i="1638" s="1"/>
  <c r="AC13" i="1638" s="1"/>
  <c r="AF12" i="1638"/>
  <c r="Q12" i="1638"/>
  <c r="P12" i="1638"/>
  <c r="AC12" i="1638" s="1"/>
  <c r="O12" i="1638"/>
  <c r="AF11" i="1638"/>
  <c r="Q11" i="1638"/>
  <c r="O11" i="1638"/>
  <c r="M11" i="1638"/>
  <c r="AF10" i="1638"/>
  <c r="AB10" i="1638"/>
  <c r="Q10" i="1638"/>
  <c r="AF9" i="1638"/>
  <c r="Q9" i="1638"/>
  <c r="P9" i="1638"/>
  <c r="AC9" i="1638" s="1"/>
  <c r="AF8" i="1638"/>
  <c r="AB8" i="1638"/>
  <c r="Q8" i="1638"/>
  <c r="P8" i="1638"/>
  <c r="AC8" i="1638" s="1"/>
  <c r="O8" i="1638"/>
  <c r="M8" i="1638"/>
  <c r="K8" i="1638"/>
  <c r="AF7" i="1638"/>
  <c r="AB7" i="1638"/>
  <c r="Q7" i="1638"/>
  <c r="P7" i="1638"/>
  <c r="AC7" i="1638" s="1"/>
  <c r="O7" i="1638"/>
  <c r="M7" i="1638"/>
  <c r="K7" i="1638"/>
  <c r="AF6" i="1638"/>
  <c r="AB6" i="1638"/>
  <c r="Q6" i="1638"/>
  <c r="P6" i="1638"/>
  <c r="AC6" i="1638" s="1"/>
  <c r="O6" i="1638"/>
  <c r="M6" i="1638"/>
  <c r="K6" i="1638"/>
  <c r="AF62" i="1638" l="1"/>
  <c r="AD8" i="1638"/>
  <c r="K5" i="16" s="1"/>
  <c r="AD7" i="1638"/>
  <c r="K4" i="16" s="1"/>
  <c r="P18" i="1638"/>
  <c r="AC18" i="1638" s="1"/>
  <c r="K12" i="1638"/>
  <c r="AD22" i="1640"/>
  <c r="O18" i="16" s="1"/>
  <c r="AD12" i="1639"/>
  <c r="N9" i="16" s="1"/>
  <c r="AD10" i="1639"/>
  <c r="N7" i="16" s="1"/>
  <c r="P21" i="1639"/>
  <c r="AC21" i="1639"/>
  <c r="M21" i="1639"/>
  <c r="AB21" i="1639"/>
  <c r="AD15" i="1639"/>
  <c r="N12" i="16" s="1"/>
  <c r="AD18" i="1639"/>
  <c r="N15" i="16" s="1"/>
  <c r="P19" i="1638"/>
  <c r="AC19" i="1638" s="1"/>
  <c r="M19" i="1638"/>
  <c r="K19" i="1638"/>
  <c r="Q21" i="1638"/>
  <c r="AD16" i="1638"/>
  <c r="K13" i="16" s="1"/>
  <c r="AB15" i="1638"/>
  <c r="K15" i="1638"/>
  <c r="K21" i="1638" s="1"/>
  <c r="P15" i="1638"/>
  <c r="AC15" i="1638" s="1"/>
  <c r="AD12" i="1638"/>
  <c r="K9" i="16" s="1"/>
  <c r="M12" i="1638"/>
  <c r="P11" i="1638"/>
  <c r="AC11" i="1638" s="1"/>
  <c r="P10" i="1638"/>
  <c r="AC10" i="1638" s="1"/>
  <c r="AC21" i="1638" s="1"/>
  <c r="AD11" i="1638"/>
  <c r="K8" i="16" s="1"/>
  <c r="AD14" i="1638"/>
  <c r="K11" i="16" s="1"/>
  <c r="AD17" i="1638"/>
  <c r="K14" i="16" s="1"/>
  <c r="AD6" i="1638"/>
  <c r="K3" i="16" s="1"/>
  <c r="M9" i="1638"/>
  <c r="AB9" i="1638"/>
  <c r="O10" i="1638"/>
  <c r="M13" i="1638"/>
  <c r="AB13" i="1638"/>
  <c r="M18" i="1638"/>
  <c r="AB18" i="1638"/>
  <c r="O19" i="1638"/>
  <c r="AD19" i="1638" s="1"/>
  <c r="K16" i="16" s="1"/>
  <c r="O9" i="1638"/>
  <c r="O13" i="1638"/>
  <c r="O18" i="1638"/>
  <c r="L21" i="1638"/>
  <c r="O21" i="1638" s="1"/>
  <c r="L19" i="1637"/>
  <c r="L18" i="1637"/>
  <c r="L15" i="1637"/>
  <c r="L13" i="1637"/>
  <c r="L12" i="1637"/>
  <c r="K12" i="1637"/>
  <c r="AD15" i="1638" l="1"/>
  <c r="K12" i="16" s="1"/>
  <c r="AE20" i="1640"/>
  <c r="AE19" i="1640"/>
  <c r="AE18" i="1640"/>
  <c r="AE17" i="1640"/>
  <c r="AE15" i="1640"/>
  <c r="AE6" i="1640"/>
  <c r="AE10" i="1640"/>
  <c r="AE12" i="1640"/>
  <c r="AE21" i="1640"/>
  <c r="AE13" i="1640"/>
  <c r="AE9" i="1640"/>
  <c r="AE8" i="1640"/>
  <c r="AE7" i="1640"/>
  <c r="AE16" i="1640"/>
  <c r="AE14" i="1640"/>
  <c r="AE11" i="1640"/>
  <c r="AD21" i="1639"/>
  <c r="M21" i="1638"/>
  <c r="P21" i="1638"/>
  <c r="AD10" i="1638"/>
  <c r="K7" i="16" s="1"/>
  <c r="AD18" i="1638"/>
  <c r="K15" i="16" s="1"/>
  <c r="AD13" i="1638"/>
  <c r="K10" i="16" s="1"/>
  <c r="AB21" i="1638"/>
  <c r="AD9" i="1638"/>
  <c r="K6" i="16" s="1"/>
  <c r="L11" i="1637"/>
  <c r="L10" i="1637"/>
  <c r="L9" i="1637"/>
  <c r="AE13" i="1639" l="1"/>
  <c r="N18" i="16"/>
  <c r="AE20" i="1639"/>
  <c r="AE7" i="1639"/>
  <c r="AE15" i="1639"/>
  <c r="AE10" i="1639"/>
  <c r="AE9" i="1639"/>
  <c r="AE8" i="1639"/>
  <c r="AE18" i="1639"/>
  <c r="AE16" i="1639"/>
  <c r="AE14" i="1639"/>
  <c r="AE11" i="1639"/>
  <c r="AE19" i="1639"/>
  <c r="AE12" i="1639"/>
  <c r="AE17" i="1639"/>
  <c r="AE6" i="1639"/>
  <c r="AD21" i="1638"/>
  <c r="K19" i="1637"/>
  <c r="K18" i="1637"/>
  <c r="K16" i="1637"/>
  <c r="K15" i="1637"/>
  <c r="K14" i="1637"/>
  <c r="K13" i="1637"/>
  <c r="K11" i="1637"/>
  <c r="K10" i="1637"/>
  <c r="K9" i="1637"/>
  <c r="A74" i="1637"/>
  <c r="A75" i="1637" s="1"/>
  <c r="A76" i="1637" s="1"/>
  <c r="A77" i="1637" s="1"/>
  <c r="A78" i="1637" s="1"/>
  <c r="A79" i="1637" s="1"/>
  <c r="A80" i="1637" s="1"/>
  <c r="A81" i="1637" s="1"/>
  <c r="AF60" i="1637"/>
  <c r="AF62" i="1637" s="1"/>
  <c r="AF59" i="1637"/>
  <c r="AA21" i="1637"/>
  <c r="Z21" i="1637"/>
  <c r="Y21" i="1637"/>
  <c r="X21" i="1637"/>
  <c r="W21" i="1637"/>
  <c r="V21" i="1637"/>
  <c r="U21" i="1637"/>
  <c r="T21" i="1637"/>
  <c r="S21" i="1637"/>
  <c r="R21" i="1637"/>
  <c r="N21" i="1637"/>
  <c r="J21" i="1637"/>
  <c r="I21" i="1637"/>
  <c r="AF20" i="1637"/>
  <c r="AB20" i="1637"/>
  <c r="Q20" i="1637"/>
  <c r="P20" i="1637"/>
  <c r="AC20" i="1637" s="1"/>
  <c r="O20" i="1637"/>
  <c r="M20" i="1637"/>
  <c r="K20" i="1637"/>
  <c r="AF19" i="1637"/>
  <c r="AB19" i="1637"/>
  <c r="Q19" i="1637"/>
  <c r="P19" i="1637" s="1"/>
  <c r="AC19" i="1637" s="1"/>
  <c r="M19" i="1637"/>
  <c r="O19" i="1637"/>
  <c r="AF18" i="1637"/>
  <c r="Q18" i="1637"/>
  <c r="P18" i="1637" s="1"/>
  <c r="AC18" i="1637" s="1"/>
  <c r="AF17" i="1637"/>
  <c r="AB17" i="1637"/>
  <c r="Q17" i="1637"/>
  <c r="P17" i="1637"/>
  <c r="AC17" i="1637" s="1"/>
  <c r="O17" i="1637"/>
  <c r="M17" i="1637"/>
  <c r="K17" i="1637"/>
  <c r="AF16" i="1637"/>
  <c r="AB16" i="1637"/>
  <c r="Q16" i="1637"/>
  <c r="P16" i="1637"/>
  <c r="AC16" i="1637" s="1"/>
  <c r="O16" i="1637"/>
  <c r="M16" i="1637"/>
  <c r="AF15" i="1637"/>
  <c r="AB15" i="1637"/>
  <c r="Q15" i="1637"/>
  <c r="P15" i="1637"/>
  <c r="AC15" i="1637" s="1"/>
  <c r="O15" i="1637"/>
  <c r="M15" i="1637"/>
  <c r="AF14" i="1637"/>
  <c r="AB14" i="1637"/>
  <c r="Q14" i="1637"/>
  <c r="P14" i="1637" s="1"/>
  <c r="AC14" i="1637" s="1"/>
  <c r="O14" i="1637"/>
  <c r="M14" i="1637"/>
  <c r="AF13" i="1637"/>
  <c r="Q13" i="1637"/>
  <c r="P13" i="1637" s="1"/>
  <c r="AC13" i="1637" s="1"/>
  <c r="O13" i="1637"/>
  <c r="AF12" i="1637"/>
  <c r="AB12" i="1637"/>
  <c r="Q12" i="1637"/>
  <c r="P12" i="1637"/>
  <c r="AC12" i="1637" s="1"/>
  <c r="O12" i="1637"/>
  <c r="M12" i="1637"/>
  <c r="AF11" i="1637"/>
  <c r="AB11" i="1637"/>
  <c r="Q11" i="1637"/>
  <c r="P11" i="1637"/>
  <c r="AC11" i="1637" s="1"/>
  <c r="M11" i="1637"/>
  <c r="O11" i="1637"/>
  <c r="AF10" i="1637"/>
  <c r="Q10" i="1637"/>
  <c r="O10" i="1637"/>
  <c r="P10" i="1637"/>
  <c r="AC10" i="1637" s="1"/>
  <c r="AF9" i="1637"/>
  <c r="AB9" i="1637"/>
  <c r="Q9" i="1637"/>
  <c r="P9" i="1637"/>
  <c r="AC9" i="1637" s="1"/>
  <c r="AD9" i="1637" s="1"/>
  <c r="J6" i="16" s="1"/>
  <c r="O9" i="1637"/>
  <c r="M9" i="1637"/>
  <c r="AF8" i="1637"/>
  <c r="AB8" i="1637"/>
  <c r="Q8" i="1637"/>
  <c r="P8" i="1637"/>
  <c r="AC8" i="1637" s="1"/>
  <c r="O8" i="1637"/>
  <c r="M8" i="1637"/>
  <c r="K8" i="1637"/>
  <c r="AF7" i="1637"/>
  <c r="AB7" i="1637"/>
  <c r="Q7" i="1637"/>
  <c r="P7" i="1637"/>
  <c r="AC7" i="1637" s="1"/>
  <c r="O7" i="1637"/>
  <c r="M7" i="1637"/>
  <c r="K7" i="1637"/>
  <c r="AF6" i="1637"/>
  <c r="AB6" i="1637"/>
  <c r="Q6" i="1637"/>
  <c r="P6" i="1637"/>
  <c r="O6" i="1637"/>
  <c r="M6" i="1637"/>
  <c r="K6" i="1637"/>
  <c r="L19" i="1636"/>
  <c r="L18" i="1636"/>
  <c r="K16" i="1636"/>
  <c r="L15" i="1636"/>
  <c r="L13" i="1636"/>
  <c r="K12" i="1636"/>
  <c r="AD8" i="1637" l="1"/>
  <c r="J5" i="16" s="1"/>
  <c r="AD20" i="1637"/>
  <c r="J17" i="16" s="1"/>
  <c r="AD7" i="1637"/>
  <c r="J4" i="16" s="1"/>
  <c r="AE10" i="1638"/>
  <c r="K18" i="16"/>
  <c r="AE15" i="1638"/>
  <c r="AE14" i="1638"/>
  <c r="AE18" i="1638"/>
  <c r="AE17" i="1638"/>
  <c r="AE7" i="1638"/>
  <c r="AE6" i="1638"/>
  <c r="AE20" i="1638"/>
  <c r="AE16" i="1638"/>
  <c r="AE8" i="1638"/>
  <c r="AE11" i="1638"/>
  <c r="AE19" i="1638"/>
  <c r="AE9" i="1638"/>
  <c r="AE12" i="1638"/>
  <c r="AE13" i="1638"/>
  <c r="AD15" i="1637"/>
  <c r="J12" i="16" s="1"/>
  <c r="Q21" i="1637"/>
  <c r="AD12" i="1637"/>
  <c r="J9" i="16" s="1"/>
  <c r="AD11" i="1637"/>
  <c r="J8" i="16" s="1"/>
  <c r="AD14" i="1637"/>
  <c r="J11" i="16" s="1"/>
  <c r="AD17" i="1637"/>
  <c r="J14" i="16" s="1"/>
  <c r="AD16" i="1637"/>
  <c r="J13" i="16" s="1"/>
  <c r="P21" i="1637"/>
  <c r="AD19" i="1637"/>
  <c r="J16" i="16" s="1"/>
  <c r="AC6" i="1637"/>
  <c r="M10" i="1637"/>
  <c r="AB10" i="1637"/>
  <c r="AD10" i="1637" s="1"/>
  <c r="J7" i="16" s="1"/>
  <c r="M13" i="1637"/>
  <c r="AB13" i="1637"/>
  <c r="AD13" i="1637" s="1"/>
  <c r="J10" i="16" s="1"/>
  <c r="M18" i="1637"/>
  <c r="AB18" i="1637"/>
  <c r="O18" i="1637"/>
  <c r="L21" i="1637"/>
  <c r="O21" i="1637" s="1"/>
  <c r="K21" i="1637"/>
  <c r="AD18" i="1637" l="1"/>
  <c r="J15" i="16" s="1"/>
  <c r="M21" i="1637"/>
  <c r="AB21" i="1637"/>
  <c r="AC21" i="1637"/>
  <c r="AD6" i="1637"/>
  <c r="AD21" i="1637" l="1"/>
  <c r="AE19" i="1637" s="1"/>
  <c r="J3" i="16"/>
  <c r="AE15" i="1637"/>
  <c r="AE17" i="1637" l="1"/>
  <c r="AE13" i="1637"/>
  <c r="AE8" i="1637"/>
  <c r="AE18" i="1637"/>
  <c r="AE6" i="1637"/>
  <c r="AE20" i="1637"/>
  <c r="AE11" i="1637"/>
  <c r="J18" i="16"/>
  <c r="AE7" i="1637"/>
  <c r="AE16" i="1637"/>
  <c r="AE9" i="1637"/>
  <c r="AE10" i="1637"/>
  <c r="AE12" i="1637"/>
  <c r="AE14" i="1637"/>
  <c r="K11" i="1636"/>
  <c r="AF11" i="1636"/>
  <c r="Q11" i="1636"/>
  <c r="P11" i="1636"/>
  <c r="AC11" i="1636" s="1"/>
  <c r="O11" i="1636"/>
  <c r="L11" i="1636"/>
  <c r="AB11" i="1636" s="1"/>
  <c r="L10" i="1636"/>
  <c r="K9" i="1636"/>
  <c r="AD11" i="1636" l="1"/>
  <c r="I8" i="16" s="1"/>
  <c r="M11" i="1636"/>
  <c r="K19" i="1636"/>
  <c r="K18" i="1636"/>
  <c r="K15" i="1636"/>
  <c r="K14" i="1636"/>
  <c r="K13" i="1636"/>
  <c r="K10" i="1636"/>
  <c r="A74" i="1636"/>
  <c r="A75" i="1636" s="1"/>
  <c r="A76" i="1636" s="1"/>
  <c r="A77" i="1636" s="1"/>
  <c r="A78" i="1636" s="1"/>
  <c r="A79" i="1636" s="1"/>
  <c r="A80" i="1636" s="1"/>
  <c r="A81" i="1636" s="1"/>
  <c r="AF60" i="1636"/>
  <c r="AF59" i="1636"/>
  <c r="AA21" i="1636"/>
  <c r="Z21" i="1636"/>
  <c r="Y21" i="1636"/>
  <c r="X21" i="1636"/>
  <c r="W21" i="1636"/>
  <c r="V21" i="1636"/>
  <c r="U21" i="1636"/>
  <c r="T21" i="1636"/>
  <c r="S21" i="1636"/>
  <c r="R21" i="1636"/>
  <c r="N21" i="1636"/>
  <c r="J21" i="1636"/>
  <c r="I21" i="1636"/>
  <c r="AF20" i="1636"/>
  <c r="AB20" i="1636"/>
  <c r="Q20" i="1636"/>
  <c r="P20" i="1636"/>
  <c r="AC20" i="1636" s="1"/>
  <c r="AD20" i="1636" s="1"/>
  <c r="I17" i="16" s="1"/>
  <c r="O20" i="1636"/>
  <c r="M20" i="1636"/>
  <c r="K20" i="1636"/>
  <c r="AF19" i="1636"/>
  <c r="Q19" i="1636"/>
  <c r="P19" i="1636" s="1"/>
  <c r="AC19" i="1636" s="1"/>
  <c r="O19" i="1636"/>
  <c r="AF18" i="1636"/>
  <c r="Q18" i="1636"/>
  <c r="P18" i="1636" s="1"/>
  <c r="AC18" i="1636" s="1"/>
  <c r="O18" i="1636"/>
  <c r="AB18" i="1636"/>
  <c r="AF17" i="1636"/>
  <c r="AB17" i="1636"/>
  <c r="Q17" i="1636"/>
  <c r="P17" i="1636"/>
  <c r="AC17" i="1636" s="1"/>
  <c r="O17" i="1636"/>
  <c r="M17" i="1636"/>
  <c r="K17" i="1636"/>
  <c r="AF16" i="1636"/>
  <c r="AB16" i="1636"/>
  <c r="Q16" i="1636"/>
  <c r="P16" i="1636" s="1"/>
  <c r="AC16" i="1636" s="1"/>
  <c r="O16" i="1636"/>
  <c r="M16" i="1636"/>
  <c r="AF15" i="1636"/>
  <c r="AB15" i="1636"/>
  <c r="Q15" i="1636"/>
  <c r="P15" i="1636"/>
  <c r="AC15" i="1636" s="1"/>
  <c r="O15" i="1636"/>
  <c r="M15" i="1636"/>
  <c r="AF14" i="1636"/>
  <c r="Q14" i="1636"/>
  <c r="AB14" i="1636"/>
  <c r="AF13" i="1636"/>
  <c r="Q13" i="1636"/>
  <c r="P13" i="1636" s="1"/>
  <c r="AC13" i="1636" s="1"/>
  <c r="O13" i="1636"/>
  <c r="AF12" i="1636"/>
  <c r="AB12" i="1636"/>
  <c r="Q12" i="1636"/>
  <c r="P12" i="1636" s="1"/>
  <c r="AC12" i="1636" s="1"/>
  <c r="O12" i="1636"/>
  <c r="M12" i="1636"/>
  <c r="AF10" i="1636"/>
  <c r="Q10" i="1636"/>
  <c r="P10" i="1636" s="1"/>
  <c r="AC10" i="1636" s="1"/>
  <c r="O10" i="1636"/>
  <c r="AB10" i="1636"/>
  <c r="AF9" i="1636"/>
  <c r="AB9" i="1636"/>
  <c r="Q9" i="1636"/>
  <c r="P9" i="1636"/>
  <c r="AC9" i="1636" s="1"/>
  <c r="O9" i="1636"/>
  <c r="M9" i="1636"/>
  <c r="L21" i="1636"/>
  <c r="O21" i="1636" s="1"/>
  <c r="AF8" i="1636"/>
  <c r="AB8" i="1636"/>
  <c r="Q8" i="1636"/>
  <c r="P8" i="1636"/>
  <c r="AC8" i="1636" s="1"/>
  <c r="AD8" i="1636" s="1"/>
  <c r="I5" i="16" s="1"/>
  <c r="O8" i="1636"/>
  <c r="M8" i="1636"/>
  <c r="K8" i="1636"/>
  <c r="AF7" i="1636"/>
  <c r="AB7" i="1636"/>
  <c r="Q7" i="1636"/>
  <c r="P7" i="1636"/>
  <c r="AC7" i="1636" s="1"/>
  <c r="AD7" i="1636" s="1"/>
  <c r="I4" i="16" s="1"/>
  <c r="O7" i="1636"/>
  <c r="M7" i="1636"/>
  <c r="K7" i="1636"/>
  <c r="AF6" i="1636"/>
  <c r="AB6" i="1636"/>
  <c r="Q6" i="1636"/>
  <c r="P6" i="1636"/>
  <c r="AC6" i="1636" s="1"/>
  <c r="O6" i="1636"/>
  <c r="M6" i="1636"/>
  <c r="K6" i="1636"/>
  <c r="L19" i="1635"/>
  <c r="L18" i="1635"/>
  <c r="K18" i="1635"/>
  <c r="AF62" i="1636" l="1"/>
  <c r="Q21" i="1636"/>
  <c r="AD12" i="1636"/>
  <c r="I9" i="16" s="1"/>
  <c r="AD17" i="1636"/>
  <c r="I14" i="16" s="1"/>
  <c r="AD9" i="1636"/>
  <c r="I6" i="16" s="1"/>
  <c r="AD15" i="1636"/>
  <c r="I12" i="16" s="1"/>
  <c r="AD16" i="1636"/>
  <c r="I13" i="16" s="1"/>
  <c r="AD10" i="1636"/>
  <c r="I7" i="16" s="1"/>
  <c r="AD18" i="1636"/>
  <c r="I15" i="16" s="1"/>
  <c r="M13" i="1636"/>
  <c r="AB13" i="1636"/>
  <c r="O14" i="1636"/>
  <c r="M19" i="1636"/>
  <c r="AB19" i="1636"/>
  <c r="AD19" i="1636" s="1"/>
  <c r="I16" i="16" s="1"/>
  <c r="AD6" i="1636"/>
  <c r="I3" i="16" s="1"/>
  <c r="M10" i="1636"/>
  <c r="K21" i="1636"/>
  <c r="P14" i="1636"/>
  <c r="AC14" i="1636" s="1"/>
  <c r="M18" i="1636"/>
  <c r="M14" i="1636"/>
  <c r="AB21" i="1636" l="1"/>
  <c r="M21" i="1636"/>
  <c r="AD14" i="1636"/>
  <c r="I11" i="16" s="1"/>
  <c r="AD13" i="1636"/>
  <c r="I10" i="16" s="1"/>
  <c r="P21" i="1636"/>
  <c r="AC21" i="1636"/>
  <c r="AD21" i="1636" l="1"/>
  <c r="AE16" i="1636" l="1"/>
  <c r="AE13" i="1636"/>
  <c r="AE12" i="1636"/>
  <c r="AE11" i="1636"/>
  <c r="I18" i="16"/>
  <c r="AE10" i="1636"/>
  <c r="AE14" i="1636"/>
  <c r="AE17" i="1636"/>
  <c r="AE8" i="1636"/>
  <c r="AE15" i="1636"/>
  <c r="AE19" i="1636"/>
  <c r="AE18" i="1636"/>
  <c r="AE20" i="1636"/>
  <c r="AE7" i="1636"/>
  <c r="AE9" i="1636"/>
  <c r="AE6" i="1636"/>
  <c r="L15" i="1635"/>
  <c r="K15" i="1635" s="1"/>
  <c r="L14" i="1635"/>
  <c r="K14" i="1635" s="1"/>
  <c r="L13" i="1635"/>
  <c r="K13" i="1635" s="1"/>
  <c r="L10" i="1635"/>
  <c r="K10" i="1635" s="1"/>
  <c r="L9" i="1635"/>
  <c r="K9" i="1635" s="1"/>
  <c r="K19" i="1635"/>
  <c r="K17" i="1635"/>
  <c r="K12" i="1635"/>
  <c r="K11" i="1635"/>
  <c r="A74" i="1635"/>
  <c r="A75" i="1635" s="1"/>
  <c r="A76" i="1635" s="1"/>
  <c r="A77" i="1635" s="1"/>
  <c r="A78" i="1635" s="1"/>
  <c r="A79" i="1635" s="1"/>
  <c r="A80" i="1635" s="1"/>
  <c r="A81" i="1635" s="1"/>
  <c r="AF60" i="1635"/>
  <c r="AF59" i="1635"/>
  <c r="AA21" i="1635"/>
  <c r="Z21" i="1635"/>
  <c r="Y21" i="1635"/>
  <c r="X21" i="1635"/>
  <c r="W21" i="1635"/>
  <c r="V21" i="1635"/>
  <c r="U21" i="1635"/>
  <c r="T21" i="1635"/>
  <c r="S21" i="1635"/>
  <c r="R21" i="1635"/>
  <c r="N21" i="1635"/>
  <c r="J21" i="1635"/>
  <c r="I21" i="1635"/>
  <c r="AF20" i="1635"/>
  <c r="AB20" i="1635"/>
  <c r="Q20" i="1635"/>
  <c r="P20" i="1635"/>
  <c r="AC20" i="1635" s="1"/>
  <c r="O20" i="1635"/>
  <c r="M20" i="1635"/>
  <c r="K20" i="1635"/>
  <c r="AF19" i="1635"/>
  <c r="Q19" i="1635"/>
  <c r="P19" i="1635" s="1"/>
  <c r="AC19" i="1635" s="1"/>
  <c r="O19" i="1635"/>
  <c r="AF18" i="1635"/>
  <c r="AB18" i="1635"/>
  <c r="Q18" i="1635"/>
  <c r="P18" i="1635" s="1"/>
  <c r="AC18" i="1635" s="1"/>
  <c r="O18" i="1635"/>
  <c r="M18" i="1635"/>
  <c r="AF17" i="1635"/>
  <c r="AB17" i="1635"/>
  <c r="Q17" i="1635"/>
  <c r="P17" i="1635"/>
  <c r="AC17" i="1635" s="1"/>
  <c r="O17" i="1635"/>
  <c r="M17" i="1635"/>
  <c r="AF16" i="1635"/>
  <c r="AC16" i="1635"/>
  <c r="AB16" i="1635"/>
  <c r="Q16" i="1635"/>
  <c r="P16" i="1635"/>
  <c r="O16" i="1635"/>
  <c r="M16" i="1635"/>
  <c r="K16" i="1635"/>
  <c r="AF15" i="1635"/>
  <c r="Q15" i="1635"/>
  <c r="O15" i="1635"/>
  <c r="AF14" i="1635"/>
  <c r="Q14" i="1635"/>
  <c r="P14" i="1635" s="1"/>
  <c r="AC14" i="1635" s="1"/>
  <c r="AF13" i="1635"/>
  <c r="Q13" i="1635"/>
  <c r="O13" i="1635"/>
  <c r="AF12" i="1635"/>
  <c r="AB12" i="1635"/>
  <c r="Q12" i="1635"/>
  <c r="P12" i="1635"/>
  <c r="AC12" i="1635" s="1"/>
  <c r="M12" i="1635"/>
  <c r="O12" i="1635"/>
  <c r="AF11" i="1635"/>
  <c r="Q11" i="1635"/>
  <c r="O11" i="1635"/>
  <c r="P11" i="1635"/>
  <c r="AC11" i="1635" s="1"/>
  <c r="AF10" i="1635"/>
  <c r="Q10" i="1635"/>
  <c r="AF9" i="1635"/>
  <c r="AB9" i="1635"/>
  <c r="Q9" i="1635"/>
  <c r="O9" i="1635"/>
  <c r="AF8" i="1635"/>
  <c r="AC8" i="1635"/>
  <c r="AB8" i="1635"/>
  <c r="Q8" i="1635"/>
  <c r="P8" i="1635"/>
  <c r="O8" i="1635"/>
  <c r="M8" i="1635"/>
  <c r="K8" i="1635"/>
  <c r="AF7" i="1635"/>
  <c r="AC7" i="1635"/>
  <c r="AD7" i="1635" s="1"/>
  <c r="H4" i="16" s="1"/>
  <c r="AB7" i="1635"/>
  <c r="Q7" i="1635"/>
  <c r="P7" i="1635"/>
  <c r="O7" i="1635"/>
  <c r="M7" i="1635"/>
  <c r="K7" i="1635"/>
  <c r="AF6" i="1635"/>
  <c r="AC6" i="1635"/>
  <c r="AB6" i="1635"/>
  <c r="Q6" i="1635"/>
  <c r="P6" i="1635"/>
  <c r="O6" i="1635"/>
  <c r="M6" i="1635"/>
  <c r="K6" i="1635"/>
  <c r="AD8" i="1635" l="1"/>
  <c r="H5" i="16" s="1"/>
  <c r="AD17" i="1635"/>
  <c r="H14" i="16" s="1"/>
  <c r="AD20" i="1635"/>
  <c r="H17" i="16" s="1"/>
  <c r="P10" i="1635"/>
  <c r="AC10" i="1635" s="1"/>
  <c r="AD18" i="1635"/>
  <c r="H15" i="16" s="1"/>
  <c r="AF62" i="1635"/>
  <c r="L21" i="1635"/>
  <c r="O21" i="1635" s="1"/>
  <c r="M14" i="1635"/>
  <c r="AB14" i="1635"/>
  <c r="O14" i="1635"/>
  <c r="AD14" i="1635" s="1"/>
  <c r="H11" i="16" s="1"/>
  <c r="AB10" i="1635"/>
  <c r="M10" i="1635"/>
  <c r="Q21" i="1635"/>
  <c r="P9" i="1635"/>
  <c r="AC9" i="1635" s="1"/>
  <c r="AD9" i="1635" s="1"/>
  <c r="H6" i="16" s="1"/>
  <c r="M9" i="1635"/>
  <c r="AD16" i="1635"/>
  <c r="H13" i="16" s="1"/>
  <c r="AD12" i="1635"/>
  <c r="H9" i="16" s="1"/>
  <c r="M11" i="1635"/>
  <c r="AB11" i="1635"/>
  <c r="P13" i="1635"/>
  <c r="AC13" i="1635" s="1"/>
  <c r="P15" i="1635"/>
  <c r="AC15" i="1635" s="1"/>
  <c r="M19" i="1635"/>
  <c r="AB19" i="1635"/>
  <c r="AD19" i="1635" s="1"/>
  <c r="H16" i="16" s="1"/>
  <c r="AD6" i="1635"/>
  <c r="H3" i="16" s="1"/>
  <c r="O10" i="1635"/>
  <c r="K21" i="1635"/>
  <c r="M13" i="1635"/>
  <c r="AB13" i="1635"/>
  <c r="M15" i="1635"/>
  <c r="AB15" i="1635"/>
  <c r="L20" i="1634"/>
  <c r="K20" i="1634" s="1"/>
  <c r="L18" i="1634"/>
  <c r="K18" i="1634" s="1"/>
  <c r="L16" i="1634"/>
  <c r="L15" i="1634"/>
  <c r="K15" i="1634" s="1"/>
  <c r="AF15" i="1634"/>
  <c r="Q15" i="1634"/>
  <c r="L13" i="1634"/>
  <c r="K13" i="1634" s="1"/>
  <c r="L12" i="1634"/>
  <c r="K12" i="1634" s="1"/>
  <c r="L11" i="1634"/>
  <c r="K11" i="1634" s="1"/>
  <c r="L10" i="1634"/>
  <c r="K10" i="1634" s="1"/>
  <c r="K9" i="1634"/>
  <c r="A75" i="1634"/>
  <c r="A76" i="1634" s="1"/>
  <c r="A77" i="1634" s="1"/>
  <c r="A78" i="1634" s="1"/>
  <c r="A79" i="1634" s="1"/>
  <c r="A80" i="1634" s="1"/>
  <c r="A81" i="1634" s="1"/>
  <c r="A82" i="1634" s="1"/>
  <c r="AF61" i="1634"/>
  <c r="AF60" i="1634"/>
  <c r="AF63" i="1634" s="1"/>
  <c r="AA22" i="1634"/>
  <c r="Z22" i="1634"/>
  <c r="Y22" i="1634"/>
  <c r="X22" i="1634"/>
  <c r="W22" i="1634"/>
  <c r="V22" i="1634"/>
  <c r="U22" i="1634"/>
  <c r="T22" i="1634"/>
  <c r="S22" i="1634"/>
  <c r="R22" i="1634"/>
  <c r="N22" i="1634"/>
  <c r="J22" i="1634"/>
  <c r="I22" i="1634"/>
  <c r="AF21" i="1634"/>
  <c r="AB21" i="1634"/>
  <c r="Q21" i="1634"/>
  <c r="P21" i="1634"/>
  <c r="AC21" i="1634" s="1"/>
  <c r="O21" i="1634"/>
  <c r="M21" i="1634"/>
  <c r="K21" i="1634"/>
  <c r="AF20" i="1634"/>
  <c r="Q20" i="1634"/>
  <c r="AF19" i="1634"/>
  <c r="AB19" i="1634"/>
  <c r="Q19" i="1634"/>
  <c r="P19" i="1634"/>
  <c r="AC19" i="1634" s="1"/>
  <c r="O19" i="1634"/>
  <c r="M19" i="1634"/>
  <c r="K19" i="1634"/>
  <c r="AF18" i="1634"/>
  <c r="Q18" i="1634"/>
  <c r="O18" i="1634"/>
  <c r="AF17" i="1634"/>
  <c r="AB17" i="1634"/>
  <c r="Q17" i="1634"/>
  <c r="P17" i="1634"/>
  <c r="AC17" i="1634" s="1"/>
  <c r="O17" i="1634"/>
  <c r="M17" i="1634"/>
  <c r="K17" i="1634"/>
  <c r="AF16" i="1634"/>
  <c r="Q16" i="1634"/>
  <c r="AF14" i="1634"/>
  <c r="AB14" i="1634"/>
  <c r="Q14" i="1634"/>
  <c r="P14" i="1634"/>
  <c r="AC14" i="1634" s="1"/>
  <c r="O14" i="1634"/>
  <c r="M14" i="1634"/>
  <c r="K14" i="1634"/>
  <c r="AF13" i="1634"/>
  <c r="AB13" i="1634"/>
  <c r="Q13" i="1634"/>
  <c r="M13" i="1634"/>
  <c r="AF12" i="1634"/>
  <c r="Q12" i="1634"/>
  <c r="AF11" i="1634"/>
  <c r="Q11" i="1634"/>
  <c r="P11" i="1634" s="1"/>
  <c r="AC11" i="1634" s="1"/>
  <c r="AF10" i="1634"/>
  <c r="AB10" i="1634"/>
  <c r="Q10" i="1634"/>
  <c r="O10" i="1634"/>
  <c r="M10" i="1634"/>
  <c r="AF9" i="1634"/>
  <c r="AB9" i="1634"/>
  <c r="Q9" i="1634"/>
  <c r="M9" i="1634"/>
  <c r="AF8" i="1634"/>
  <c r="AB8" i="1634"/>
  <c r="Q8" i="1634"/>
  <c r="P8" i="1634"/>
  <c r="AC8" i="1634" s="1"/>
  <c r="O8" i="1634"/>
  <c r="M8" i="1634"/>
  <c r="K8" i="1634"/>
  <c r="AF7" i="1634"/>
  <c r="AB7" i="1634"/>
  <c r="Q7" i="1634"/>
  <c r="P7" i="1634"/>
  <c r="AC7" i="1634" s="1"/>
  <c r="O7" i="1634"/>
  <c r="M7" i="1634"/>
  <c r="K7" i="1634"/>
  <c r="AF6" i="1634"/>
  <c r="AB6" i="1634"/>
  <c r="Q6" i="1634"/>
  <c r="P6" i="1634"/>
  <c r="O6" i="1634"/>
  <c r="M6" i="1634"/>
  <c r="K6" i="1634"/>
  <c r="AC21" i="1635" l="1"/>
  <c r="AD10" i="1635"/>
  <c r="H7" i="16" s="1"/>
  <c r="M21" i="1635"/>
  <c r="AD15" i="1635"/>
  <c r="H12" i="16" s="1"/>
  <c r="AB21" i="1635"/>
  <c r="AD11" i="1635"/>
  <c r="H8" i="16" s="1"/>
  <c r="AD13" i="1635"/>
  <c r="H10" i="16" s="1"/>
  <c r="P21" i="1635"/>
  <c r="P20" i="1634"/>
  <c r="AC20" i="1634" s="1"/>
  <c r="AB20" i="1634"/>
  <c r="M20" i="1634"/>
  <c r="AD7" i="1634"/>
  <c r="G4" i="16" s="1"/>
  <c r="AB11" i="1634"/>
  <c r="P12" i="1634"/>
  <c r="AC12" i="1634" s="1"/>
  <c r="P10" i="1634"/>
  <c r="AC10" i="1634" s="1"/>
  <c r="O11" i="1634"/>
  <c r="AD21" i="1634"/>
  <c r="G17" i="16" s="1"/>
  <c r="P18" i="1634"/>
  <c r="AC18" i="1634" s="1"/>
  <c r="M18" i="1634"/>
  <c r="AB18" i="1634"/>
  <c r="P16" i="1634"/>
  <c r="AC16" i="1634" s="1"/>
  <c r="K16" i="1634"/>
  <c r="P15" i="1634"/>
  <c r="AC15" i="1634" s="1"/>
  <c r="M15" i="1634"/>
  <c r="AB15" i="1634"/>
  <c r="O15" i="1634"/>
  <c r="AD14" i="1634"/>
  <c r="G11" i="16" s="1"/>
  <c r="AD8" i="1634"/>
  <c r="G5" i="16" s="1"/>
  <c r="P13" i="1634"/>
  <c r="AC13" i="1634" s="1"/>
  <c r="AD10" i="1634"/>
  <c r="G7" i="16" s="1"/>
  <c r="L22" i="1634"/>
  <c r="O22" i="1634" s="1"/>
  <c r="Q22" i="1634"/>
  <c r="AD19" i="1634"/>
  <c r="G15" i="16" s="1"/>
  <c r="AD17" i="1634"/>
  <c r="G13" i="16" s="1"/>
  <c r="O9" i="1634"/>
  <c r="M12" i="1634"/>
  <c r="AB12" i="1634"/>
  <c r="O13" i="1634"/>
  <c r="M16" i="1634"/>
  <c r="AB16" i="1634"/>
  <c r="O20" i="1634"/>
  <c r="AC6" i="1634"/>
  <c r="K22" i="1634"/>
  <c r="P9" i="1634"/>
  <c r="AC9" i="1634" s="1"/>
  <c r="M11" i="1634"/>
  <c r="O12" i="1634"/>
  <c r="O16" i="1634"/>
  <c r="L20" i="1633"/>
  <c r="K20" i="1633" s="1"/>
  <c r="AF19" i="1633"/>
  <c r="AB19" i="1633"/>
  <c r="Q19" i="1633"/>
  <c r="P19" i="1633" s="1"/>
  <c r="AC19" i="1633" s="1"/>
  <c r="AD19" i="1633" s="1"/>
  <c r="O19" i="1633"/>
  <c r="M19" i="1633"/>
  <c r="K19" i="1633"/>
  <c r="L15" i="1633"/>
  <c r="K15" i="1633"/>
  <c r="L13" i="1633"/>
  <c r="L12" i="1633"/>
  <c r="L11" i="1633"/>
  <c r="K11" i="1633"/>
  <c r="L10" i="1633"/>
  <c r="L9" i="1633"/>
  <c r="AD13" i="1634" l="1"/>
  <c r="G10" i="16" s="1"/>
  <c r="AD11" i="1634"/>
  <c r="G8" i="16" s="1"/>
  <c r="AD21" i="1635"/>
  <c r="AD20" i="1634"/>
  <c r="G16" i="16" s="1"/>
  <c r="AD18" i="1634"/>
  <c r="G14" i="16" s="1"/>
  <c r="AD15" i="1634"/>
  <c r="G12" i="16" s="1"/>
  <c r="AD9" i="1634"/>
  <c r="G6" i="16" s="1"/>
  <c r="AD16" i="1634"/>
  <c r="M22" i="1634"/>
  <c r="AD12" i="1634"/>
  <c r="G9" i="16" s="1"/>
  <c r="AB22" i="1634"/>
  <c r="P22" i="1634"/>
  <c r="AC22" i="1634"/>
  <c r="AD6" i="1634"/>
  <c r="G3" i="16" s="1"/>
  <c r="K18" i="1633"/>
  <c r="K14" i="1633"/>
  <c r="K13" i="1633"/>
  <c r="K12" i="1633"/>
  <c r="K10" i="1633"/>
  <c r="K9" i="1633"/>
  <c r="A75" i="1633"/>
  <c r="A76" i="1633" s="1"/>
  <c r="A77" i="1633" s="1"/>
  <c r="A78" i="1633" s="1"/>
  <c r="A79" i="1633" s="1"/>
  <c r="A80" i="1633" s="1"/>
  <c r="A81" i="1633" s="1"/>
  <c r="A82" i="1633" s="1"/>
  <c r="AF61" i="1633"/>
  <c r="AF60" i="1633"/>
  <c r="AF63" i="1633" s="1"/>
  <c r="AA22" i="1633"/>
  <c r="Z22" i="1633"/>
  <c r="Y22" i="1633"/>
  <c r="X22" i="1633"/>
  <c r="W22" i="1633"/>
  <c r="V22" i="1633"/>
  <c r="U22" i="1633"/>
  <c r="T22" i="1633"/>
  <c r="S22" i="1633"/>
  <c r="R22" i="1633"/>
  <c r="N22" i="1633"/>
  <c r="J22" i="1633"/>
  <c r="I22" i="1633"/>
  <c r="AF21" i="1633"/>
  <c r="AB21" i="1633"/>
  <c r="Q21" i="1633"/>
  <c r="P21" i="1633"/>
  <c r="AC21" i="1633" s="1"/>
  <c r="O21" i="1633"/>
  <c r="M21" i="1633"/>
  <c r="K21" i="1633"/>
  <c r="AF20" i="1633"/>
  <c r="AB20" i="1633"/>
  <c r="Q20" i="1633"/>
  <c r="P20" i="1633" s="1"/>
  <c r="AC20" i="1633" s="1"/>
  <c r="O20" i="1633"/>
  <c r="M20" i="1633"/>
  <c r="AF18" i="1633"/>
  <c r="AB18" i="1633"/>
  <c r="Q18" i="1633"/>
  <c r="P18" i="1633"/>
  <c r="AC18" i="1633" s="1"/>
  <c r="O18" i="1633"/>
  <c r="M18" i="1633"/>
  <c r="AF17" i="1633"/>
  <c r="AB17" i="1633"/>
  <c r="Q17" i="1633"/>
  <c r="P17" i="1633"/>
  <c r="AC17" i="1633" s="1"/>
  <c r="O17" i="1633"/>
  <c r="M17" i="1633"/>
  <c r="K17" i="1633"/>
  <c r="AF16" i="1633"/>
  <c r="AB16" i="1633"/>
  <c r="Q16" i="1633"/>
  <c r="P16" i="1633"/>
  <c r="AC16" i="1633" s="1"/>
  <c r="O16" i="1633"/>
  <c r="M16" i="1633"/>
  <c r="K16" i="1633"/>
  <c r="AF15" i="1633"/>
  <c r="Q15" i="1633"/>
  <c r="O15" i="1633"/>
  <c r="AB15" i="1633"/>
  <c r="AF14" i="1633"/>
  <c r="AB14" i="1633"/>
  <c r="Q14" i="1633"/>
  <c r="P14" i="1633"/>
  <c r="AC14" i="1633" s="1"/>
  <c r="O14" i="1633"/>
  <c r="M14" i="1633"/>
  <c r="AF13" i="1633"/>
  <c r="Q13" i="1633"/>
  <c r="P13" i="1633" s="1"/>
  <c r="AC13" i="1633" s="1"/>
  <c r="AF12" i="1633"/>
  <c r="Q12" i="1633"/>
  <c r="P12" i="1633" s="1"/>
  <c r="AC12" i="1633" s="1"/>
  <c r="O12" i="1633"/>
  <c r="AF11" i="1633"/>
  <c r="AB11" i="1633"/>
  <c r="Q11" i="1633"/>
  <c r="P11" i="1633" s="1"/>
  <c r="AC11" i="1633" s="1"/>
  <c r="O11" i="1633"/>
  <c r="M11" i="1633"/>
  <c r="AF10" i="1633"/>
  <c r="Q10" i="1633"/>
  <c r="P10" i="1633" s="1"/>
  <c r="AC10" i="1633" s="1"/>
  <c r="AF9" i="1633"/>
  <c r="Q9" i="1633"/>
  <c r="P9" i="1633" s="1"/>
  <c r="AC9" i="1633" s="1"/>
  <c r="O9" i="1633"/>
  <c r="AF8" i="1633"/>
  <c r="AB8" i="1633"/>
  <c r="Q8" i="1633"/>
  <c r="P8" i="1633"/>
  <c r="AC8" i="1633" s="1"/>
  <c r="O8" i="1633"/>
  <c r="M8" i="1633"/>
  <c r="K8" i="1633"/>
  <c r="AF7" i="1633"/>
  <c r="AB7" i="1633"/>
  <c r="Q7" i="1633"/>
  <c r="P7" i="1633"/>
  <c r="AC7" i="1633" s="1"/>
  <c r="O7" i="1633"/>
  <c r="M7" i="1633"/>
  <c r="K7" i="1633"/>
  <c r="AF6" i="1633"/>
  <c r="AB6" i="1633"/>
  <c r="Q6" i="1633"/>
  <c r="P6" i="1633"/>
  <c r="AC6" i="1633" s="1"/>
  <c r="O6" i="1633"/>
  <c r="M6" i="1633"/>
  <c r="K6" i="1633"/>
  <c r="K19" i="1632"/>
  <c r="L18" i="1632"/>
  <c r="K18" i="1632" s="1"/>
  <c r="L15" i="1632"/>
  <c r="K15" i="1632" s="1"/>
  <c r="L14" i="1632"/>
  <c r="K14" i="1632" s="1"/>
  <c r="L13" i="1632"/>
  <c r="L12" i="1632"/>
  <c r="L10" i="1632"/>
  <c r="L9" i="1632"/>
  <c r="AE19" i="1635" l="1"/>
  <c r="H18" i="16"/>
  <c r="AD8" i="1633"/>
  <c r="D5" i="16" s="1"/>
  <c r="AD7" i="1633"/>
  <c r="D4" i="16" s="1"/>
  <c r="AE9" i="1635"/>
  <c r="AE17" i="1635"/>
  <c r="AE10" i="1635"/>
  <c r="AE15" i="1635"/>
  <c r="AE13" i="1635"/>
  <c r="AE11" i="1635"/>
  <c r="AE12" i="1635"/>
  <c r="AE16" i="1635"/>
  <c r="AE8" i="1635"/>
  <c r="AE20" i="1635"/>
  <c r="AE7" i="1635"/>
  <c r="AE14" i="1635"/>
  <c r="AE18" i="1635"/>
  <c r="AE6" i="1635"/>
  <c r="AD22" i="1634"/>
  <c r="AD21" i="1633"/>
  <c r="D17" i="16" s="1"/>
  <c r="AD20" i="1633"/>
  <c r="D16" i="16" s="1"/>
  <c r="Q22" i="1633"/>
  <c r="AD11" i="1633"/>
  <c r="D8" i="16" s="1"/>
  <c r="AD14" i="1633"/>
  <c r="D11" i="16" s="1"/>
  <c r="AD16" i="1633"/>
  <c r="D13" i="16" s="1"/>
  <c r="AD17" i="1633"/>
  <c r="D14" i="16" s="1"/>
  <c r="AD18" i="1633"/>
  <c r="D15" i="16" s="1"/>
  <c r="P15" i="1633"/>
  <c r="AC15" i="1633" s="1"/>
  <c r="AD15" i="1633" s="1"/>
  <c r="D12" i="16" s="1"/>
  <c r="AD6" i="1633"/>
  <c r="D3" i="16" s="1"/>
  <c r="AB13" i="1633"/>
  <c r="AB9" i="1633"/>
  <c r="O10" i="1633"/>
  <c r="M12" i="1633"/>
  <c r="AB12" i="1633"/>
  <c r="AD12" i="1633" s="1"/>
  <c r="D9" i="16" s="1"/>
  <c r="O13" i="1633"/>
  <c r="L22" i="1633"/>
  <c r="O22" i="1633" s="1"/>
  <c r="M10" i="1633"/>
  <c r="AB10" i="1633"/>
  <c r="M13" i="1633"/>
  <c r="M9" i="1633"/>
  <c r="K22" i="1633"/>
  <c r="M15" i="1633"/>
  <c r="K13" i="1632"/>
  <c r="K12" i="1632"/>
  <c r="K9" i="1632"/>
  <c r="AE15" i="1634" l="1"/>
  <c r="G18" i="16"/>
  <c r="AE7" i="1634"/>
  <c r="AE11" i="1634"/>
  <c r="AE8" i="1634"/>
  <c r="AE14" i="1634"/>
  <c r="AE10" i="1634"/>
  <c r="AE16" i="1634"/>
  <c r="AE6" i="1634"/>
  <c r="AE21" i="1634"/>
  <c r="AE17" i="1634"/>
  <c r="AE9" i="1634"/>
  <c r="AE18" i="1634"/>
  <c r="AE19" i="1634"/>
  <c r="AE13" i="1634"/>
  <c r="AE12" i="1634"/>
  <c r="AE20" i="1634"/>
  <c r="AB22" i="1633"/>
  <c r="AD10" i="1633"/>
  <c r="D7" i="16" s="1"/>
  <c r="AD9" i="1633"/>
  <c r="D6" i="16" s="1"/>
  <c r="AD13" i="1633"/>
  <c r="D10" i="16" s="1"/>
  <c r="M22" i="1633"/>
  <c r="P22" i="1633"/>
  <c r="AC22" i="1633"/>
  <c r="O19" i="1632"/>
  <c r="K10" i="1632"/>
  <c r="A74" i="1632"/>
  <c r="A75" i="1632" s="1"/>
  <c r="A76" i="1632" s="1"/>
  <c r="A77" i="1632" s="1"/>
  <c r="A78" i="1632" s="1"/>
  <c r="A79" i="1632" s="1"/>
  <c r="A80" i="1632" s="1"/>
  <c r="A81" i="1632" s="1"/>
  <c r="AF60" i="1632"/>
  <c r="AF59" i="1632"/>
  <c r="AF62" i="1632" s="1"/>
  <c r="AA21" i="1632"/>
  <c r="Z21" i="1632"/>
  <c r="Y21" i="1632"/>
  <c r="X21" i="1632"/>
  <c r="W21" i="1632"/>
  <c r="V21" i="1632"/>
  <c r="U21" i="1632"/>
  <c r="T21" i="1632"/>
  <c r="S21" i="1632"/>
  <c r="R21" i="1632"/>
  <c r="N21" i="1632"/>
  <c r="J21" i="1632"/>
  <c r="I21" i="1632"/>
  <c r="AF20" i="1632"/>
  <c r="AB20" i="1632"/>
  <c r="Q20" i="1632"/>
  <c r="P20" i="1632"/>
  <c r="AC20" i="1632" s="1"/>
  <c r="O20" i="1632"/>
  <c r="M20" i="1632"/>
  <c r="K20" i="1632"/>
  <c r="AF19" i="1632"/>
  <c r="Q19" i="1632"/>
  <c r="P19" i="1632" s="1"/>
  <c r="AC19" i="1632" s="1"/>
  <c r="AF18" i="1632"/>
  <c r="AB18" i="1632"/>
  <c r="Q18" i="1632"/>
  <c r="P18" i="1632" s="1"/>
  <c r="AC18" i="1632" s="1"/>
  <c r="O18" i="1632"/>
  <c r="M18" i="1632"/>
  <c r="AF17" i="1632"/>
  <c r="AB17" i="1632"/>
  <c r="Q17" i="1632"/>
  <c r="P17" i="1632"/>
  <c r="AC17" i="1632" s="1"/>
  <c r="O17" i="1632"/>
  <c r="M17" i="1632"/>
  <c r="K17" i="1632"/>
  <c r="AF16" i="1632"/>
  <c r="AB16" i="1632"/>
  <c r="Q16" i="1632"/>
  <c r="P16" i="1632"/>
  <c r="AC16" i="1632" s="1"/>
  <c r="O16" i="1632"/>
  <c r="M16" i="1632"/>
  <c r="K16" i="1632"/>
  <c r="AF15" i="1632"/>
  <c r="AB15" i="1632"/>
  <c r="Q15" i="1632"/>
  <c r="M15" i="1632"/>
  <c r="O15" i="1632"/>
  <c r="AF14" i="1632"/>
  <c r="Q14" i="1632"/>
  <c r="P14" i="1632" s="1"/>
  <c r="AC14" i="1632" s="1"/>
  <c r="O14" i="1632"/>
  <c r="AF13" i="1632"/>
  <c r="AB13" i="1632"/>
  <c r="Q13" i="1632"/>
  <c r="P13" i="1632" s="1"/>
  <c r="AC13" i="1632" s="1"/>
  <c r="M13" i="1632"/>
  <c r="O13" i="1632"/>
  <c r="AF12" i="1632"/>
  <c r="Q12" i="1632"/>
  <c r="O12" i="1632"/>
  <c r="AF11" i="1632"/>
  <c r="AB11" i="1632"/>
  <c r="Q11" i="1632"/>
  <c r="P11" i="1632"/>
  <c r="AC11" i="1632" s="1"/>
  <c r="O11" i="1632"/>
  <c r="M11" i="1632"/>
  <c r="K11" i="1632"/>
  <c r="AF10" i="1632"/>
  <c r="AB10" i="1632"/>
  <c r="Q10" i="1632"/>
  <c r="P10" i="1632" s="1"/>
  <c r="AC10" i="1632" s="1"/>
  <c r="M10" i="1632"/>
  <c r="O10" i="1632"/>
  <c r="AF9" i="1632"/>
  <c r="Q9" i="1632"/>
  <c r="AF8" i="1632"/>
  <c r="AB8" i="1632"/>
  <c r="Q8" i="1632"/>
  <c r="P8" i="1632"/>
  <c r="AC8" i="1632" s="1"/>
  <c r="O8" i="1632"/>
  <c r="M8" i="1632"/>
  <c r="K8" i="1632"/>
  <c r="AF7" i="1632"/>
  <c r="AB7" i="1632"/>
  <c r="Q7" i="1632"/>
  <c r="P7" i="1632"/>
  <c r="AC7" i="1632" s="1"/>
  <c r="O7" i="1632"/>
  <c r="M7" i="1632"/>
  <c r="K7" i="1632"/>
  <c r="AF6" i="1632"/>
  <c r="AB6" i="1632"/>
  <c r="Q6" i="1632"/>
  <c r="P6" i="1632"/>
  <c r="O6" i="1632"/>
  <c r="M6" i="1632"/>
  <c r="K6" i="1632"/>
  <c r="AD20" i="1632" l="1"/>
  <c r="C17" i="16" s="1"/>
  <c r="AD22" i="1633"/>
  <c r="D18" i="16" s="1"/>
  <c r="P15" i="1632"/>
  <c r="AC15" i="1632" s="1"/>
  <c r="AD15" i="1632" s="1"/>
  <c r="C12" i="16" s="1"/>
  <c r="AD8" i="1632"/>
  <c r="C5" i="16" s="1"/>
  <c r="AD7" i="1632"/>
  <c r="C4" i="16" s="1"/>
  <c r="Q21" i="1632"/>
  <c r="L21" i="1632"/>
  <c r="O21" i="1632" s="1"/>
  <c r="AD11" i="1632"/>
  <c r="C8" i="16" s="1"/>
  <c r="AD18" i="1632"/>
  <c r="C15" i="16" s="1"/>
  <c r="AD10" i="1632"/>
  <c r="C7" i="16" s="1"/>
  <c r="AD13" i="1632"/>
  <c r="C10" i="16" s="1"/>
  <c r="AD17" i="1632"/>
  <c r="C14" i="16" s="1"/>
  <c r="AD16" i="1632"/>
  <c r="C13" i="16" s="1"/>
  <c r="O9" i="1632"/>
  <c r="AC6" i="1632"/>
  <c r="K21" i="1632"/>
  <c r="P9" i="1632"/>
  <c r="AC9" i="1632" s="1"/>
  <c r="P12" i="1632"/>
  <c r="AC12" i="1632" s="1"/>
  <c r="M14" i="1632"/>
  <c r="AB14" i="1632"/>
  <c r="AD14" i="1632" s="1"/>
  <c r="C11" i="16" s="1"/>
  <c r="M19" i="1632"/>
  <c r="AB19" i="1632"/>
  <c r="AD19" i="1632" s="1"/>
  <c r="C16" i="16" s="1"/>
  <c r="M9" i="1632"/>
  <c r="AB9" i="1632"/>
  <c r="M12" i="1632"/>
  <c r="AB12" i="1632"/>
  <c r="AE20" i="1633" l="1"/>
  <c r="AE19" i="1633"/>
  <c r="AE16" i="1633"/>
  <c r="AE15" i="1633"/>
  <c r="AE9" i="1633"/>
  <c r="AE18" i="1633"/>
  <c r="AE12" i="1633"/>
  <c r="AE17" i="1633"/>
  <c r="AE8" i="1633"/>
  <c r="AE21" i="1633"/>
  <c r="AE6" i="1633"/>
  <c r="AE10" i="1633"/>
  <c r="AE14" i="1633"/>
  <c r="AE7" i="1633"/>
  <c r="AE11" i="1633"/>
  <c r="AE13" i="1633"/>
  <c r="AB21" i="1632"/>
  <c r="M21" i="1632"/>
  <c r="AD12" i="1632"/>
  <c r="C9" i="16" s="1"/>
  <c r="AC21" i="1632"/>
  <c r="AD6" i="1632"/>
  <c r="C3" i="16" s="1"/>
  <c r="P21" i="1632"/>
  <c r="AD9" i="1632"/>
  <c r="C6" i="16" s="1"/>
  <c r="AD21" i="1632" l="1"/>
  <c r="C18" i="16" s="1"/>
  <c r="AE19" i="1632" l="1"/>
  <c r="AE14" i="1632"/>
  <c r="AE17" i="1632"/>
  <c r="AE15" i="1632"/>
  <c r="AE11" i="1632"/>
  <c r="AE8" i="1632"/>
  <c r="AE6" i="1632"/>
  <c r="AE20" i="1632"/>
  <c r="AE12" i="1632"/>
  <c r="AE18" i="1632"/>
  <c r="AE16" i="1632"/>
  <c r="AE13" i="1632"/>
  <c r="AE10" i="1632"/>
  <c r="AE7" i="1632"/>
  <c r="AE9" i="1632"/>
  <c r="AG18" i="16" l="1"/>
  <c r="AG17" i="16"/>
  <c r="AG16" i="16"/>
  <c r="AG15" i="16"/>
  <c r="AG14" i="16"/>
  <c r="AG13" i="16"/>
  <c r="AG12" i="16"/>
  <c r="AG11" i="16"/>
  <c r="AG10" i="16"/>
  <c r="AG9" i="16"/>
  <c r="AG8" i="16"/>
  <c r="AG7" i="16"/>
  <c r="AG6" i="16"/>
  <c r="AG5" i="16"/>
  <c r="AG4" i="16"/>
  <c r="AG3" i="16"/>
</calcChain>
</file>

<file path=xl/sharedStrings.xml><?xml version="1.0" encoding="utf-8"?>
<sst xmlns="http://schemas.openxmlformats.org/spreadsheetml/2006/main" count="4259" uniqueCount="591">
  <si>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</si>
  <si>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</si>
  <si>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</si>
  <si>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</si>
  <si>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</si>
  <si>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</si>
  <si>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</si>
  <si>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</si>
  <si>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</si>
  <si>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</si>
  <si>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</si>
  <si>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</si>
  <si>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</si>
  <si>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</si>
  <si>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</si>
  <si>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</si>
  <si>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</si>
  <si>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</si>
  <si>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</si>
  <si>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</si>
  <si>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</si>
  <si>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</si>
  <si>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</si>
  <si>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</si>
  <si>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</si>
  <si>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</si>
  <si>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</si>
  <si>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</si>
  <si>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</si>
  <si>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</si>
  <si>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</si>
  <si>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</si>
  <si>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</si>
  <si>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</si>
  <si>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</si>
  <si>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</si>
  <si>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</si>
  <si>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</si>
  <si>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</si>
  <si>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</si>
  <si>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</si>
  <si>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</si>
  <si>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</si>
  <si>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</si>
  <si>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</si>
  <si>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</si>
  <si>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</si>
  <si>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</si>
  <si>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</si>
  <si>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</si>
  <si>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</si>
  <si>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</si>
  <si>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</si>
  <si>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</si>
  <si>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</si>
  <si>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</si>
  <si>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</si>
  <si>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</si>
  <si>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</si>
  <si>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</si>
  <si>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</si>
  <si>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</si>
  <si>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</si>
  <si>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</si>
  <si>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</si>
  <si>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</si>
  <si>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</si>
  <si>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</si>
  <si>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</si>
  <si>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</si>
  <si>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</si>
  <si>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</si>
  <si>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</si>
  <si>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14호기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</si>
  <si>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</si>
  <si>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</si>
  <si>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</si>
  <si>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</si>
  <si>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</si>
  <si>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</si>
  <si>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</si>
  <si>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</si>
  <si>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</si>
  <si>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</si>
  <si>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</si>
  <si>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</si>
  <si>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</si>
  <si>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</si>
  <si>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</si>
  <si>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</si>
  <si>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</si>
  <si>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</si>
  <si>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</si>
  <si>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</si>
  <si>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</si>
  <si>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</si>
  <si>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</si>
  <si>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</si>
  <si>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</si>
  <si>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</si>
  <si>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</si>
  <si>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</si>
  <si>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</si>
  <si>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</si>
  <si>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</si>
  <si>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</si>
  <si>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</si>
  <si>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</si>
  <si>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</si>
  <si>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</si>
  <si>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</si>
  <si>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15호기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</si>
  <si>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</si>
  <si>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</si>
  <si>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</si>
  <si>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</si>
  <si>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</si>
  <si>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</si>
  <si>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AMB0114H-JAA-R1</t>
    <phoneticPr fontId="2" type="noConversion"/>
  </si>
  <si>
    <t>BODY</t>
    <phoneticPr fontId="2" type="noConversion"/>
  </si>
  <si>
    <t>발주분양산</t>
    <phoneticPr fontId="2" type="noConversion"/>
  </si>
  <si>
    <t>SGF2033</t>
    <phoneticPr fontId="2" type="noConversion"/>
  </si>
  <si>
    <t>SF2255</t>
    <phoneticPr fontId="2" type="noConversion"/>
  </si>
  <si>
    <t>SST</t>
    <phoneticPr fontId="2" type="noConversion"/>
  </si>
  <si>
    <t>SGF2050</t>
    <phoneticPr fontId="2" type="noConversion"/>
  </si>
  <si>
    <t>BR88-127A1-1</t>
    <phoneticPr fontId="2" type="noConversion"/>
  </si>
  <si>
    <t>HICON</t>
    <phoneticPr fontId="2" type="noConversion"/>
  </si>
  <si>
    <t>88P</t>
    <phoneticPr fontId="2" type="noConversion"/>
  </si>
  <si>
    <t>가스</t>
    <phoneticPr fontId="2" type="noConversion"/>
  </si>
  <si>
    <t>4</t>
    <phoneticPr fontId="2" type="noConversion"/>
  </si>
  <si>
    <t>6</t>
    <phoneticPr fontId="2" type="noConversion"/>
  </si>
  <si>
    <t>AYE</t>
    <phoneticPr fontId="2" type="noConversion"/>
  </si>
  <si>
    <t>SGF2030</t>
    <phoneticPr fontId="2" type="noConversion"/>
  </si>
  <si>
    <t>ACTUATOR</t>
    <phoneticPr fontId="2" type="noConversion"/>
  </si>
  <si>
    <t>AMB0167A-KAA-R3</t>
    <phoneticPr fontId="2" type="noConversion"/>
  </si>
  <si>
    <t>AMB1926A-KAA-R3</t>
    <phoneticPr fontId="2" type="noConversion"/>
  </si>
  <si>
    <t>7</t>
    <phoneticPr fontId="2" type="noConversion"/>
  </si>
  <si>
    <t>수리후양산</t>
    <phoneticPr fontId="2" type="noConversion"/>
  </si>
  <si>
    <t>SGF2041</t>
    <phoneticPr fontId="2" type="noConversion"/>
  </si>
  <si>
    <t>5</t>
    <phoneticPr fontId="2" type="noConversion"/>
  </si>
  <si>
    <t>JD4901</t>
    <phoneticPr fontId="2" type="noConversion"/>
  </si>
  <si>
    <t>ADAPTER</t>
    <phoneticPr fontId="2" type="noConversion"/>
  </si>
  <si>
    <t>8301</t>
    <phoneticPr fontId="2" type="noConversion"/>
  </si>
  <si>
    <t>HDB08-M01A1(4C)</t>
    <phoneticPr fontId="2" type="noConversion"/>
  </si>
  <si>
    <t>30P</t>
    <phoneticPr fontId="2" type="noConversion"/>
  </si>
  <si>
    <t>KR6156-GBG149AA</t>
    <phoneticPr fontId="2" type="noConversion"/>
  </si>
  <si>
    <t>LATCH</t>
    <phoneticPr fontId="2" type="noConversion"/>
  </si>
  <si>
    <t>K-JR01918-B484CWA</t>
    <phoneticPr fontId="2" type="noConversion"/>
  </si>
  <si>
    <t>NEXT</t>
    <phoneticPr fontId="2" type="noConversion"/>
  </si>
  <si>
    <t>1D COVER</t>
    <phoneticPr fontId="2" type="noConversion"/>
  </si>
  <si>
    <t>SP</t>
    <phoneticPr fontId="2" type="noConversion"/>
  </si>
  <si>
    <t>KR6303-E05TA</t>
    <phoneticPr fontId="2" type="noConversion"/>
  </si>
  <si>
    <t>NP504-504-018#SP-1</t>
    <phoneticPr fontId="2" type="noConversion"/>
  </si>
  <si>
    <t>AMB0167A-KAA-R1</t>
    <phoneticPr fontId="2" type="noConversion"/>
  </si>
  <si>
    <t>이관금형</t>
    <phoneticPr fontId="2" type="noConversion"/>
  </si>
  <si>
    <r>
      <t>2020년 01월 02일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</si>
  <si>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Standoff</t>
    <phoneticPr fontId="2" type="noConversion"/>
  </si>
  <si>
    <t>2*2</t>
    <phoneticPr fontId="2" type="noConversion"/>
  </si>
  <si>
    <t>FINE</t>
    <phoneticPr fontId="2" type="noConversion"/>
  </si>
  <si>
    <t>5.1MM/7.5MM</t>
    <phoneticPr fontId="2" type="noConversion"/>
  </si>
  <si>
    <t>F11 N/P</t>
    <phoneticPr fontId="2" type="noConversion"/>
  </si>
  <si>
    <t>5.1MM/7.5MM CAP</t>
    <phoneticPr fontId="2" type="noConversion"/>
  </si>
  <si>
    <t>F11 B/K</t>
    <phoneticPr fontId="2" type="noConversion"/>
  </si>
  <si>
    <t>LEAD GUIDE</t>
    <phoneticPr fontId="2" type="noConversion"/>
  </si>
  <si>
    <t>AMB0471A-KAA-R1</t>
    <phoneticPr fontId="2" type="noConversion"/>
  </si>
  <si>
    <t>01월 호기별 가동현황</t>
    <phoneticPr fontId="2" type="noConversion"/>
  </si>
  <si>
    <t>코아파손4회정지</t>
    <phoneticPr fontId="2" type="noConversion"/>
  </si>
  <si>
    <t>수리후양산-&gt;코아파손2회정지</t>
    <phoneticPr fontId="2" type="noConversion"/>
  </si>
  <si>
    <t>HICON</t>
    <phoneticPr fontId="2" type="noConversion"/>
  </si>
  <si>
    <t>9</t>
    <phoneticPr fontId="2" type="noConversion"/>
  </si>
  <si>
    <t>FINE</t>
    <phoneticPr fontId="2" type="noConversion"/>
  </si>
  <si>
    <t>10</t>
    <phoneticPr fontId="2" type="noConversion"/>
  </si>
  <si>
    <t>5.1/7.5MM BODY</t>
    <phoneticPr fontId="2" type="noConversion"/>
  </si>
  <si>
    <t>13</t>
    <phoneticPr fontId="2" type="noConversion"/>
  </si>
  <si>
    <t>5.1/7.5MM CAP</t>
    <phoneticPr fontId="2" type="noConversion"/>
  </si>
  <si>
    <t>14</t>
    <phoneticPr fontId="2" type="noConversion"/>
  </si>
  <si>
    <t>LEAD GUIDE</t>
    <phoneticPr fontId="2" type="noConversion"/>
  </si>
  <si>
    <t>AMB0471A-KAA-R1</t>
    <phoneticPr fontId="2" type="noConversion"/>
  </si>
  <si>
    <t>발주분양산-&gt;코아파손정지</t>
    <phoneticPr fontId="2" type="noConversion"/>
  </si>
  <si>
    <t>전일 ISSUE 사항(02일)</t>
    <phoneticPr fontId="2" type="noConversion"/>
  </si>
  <si>
    <t>당일 진행 사항(03일)</t>
    <phoneticPr fontId="2" type="noConversion"/>
  </si>
  <si>
    <t>4</t>
    <phoneticPr fontId="2" type="noConversion"/>
  </si>
  <si>
    <t>ACTUATOR</t>
    <phoneticPr fontId="2" type="noConversion"/>
  </si>
  <si>
    <t>AMB1926A-KAA-R3</t>
    <phoneticPr fontId="2" type="noConversion"/>
  </si>
  <si>
    <t>발주분양산</t>
    <phoneticPr fontId="2" type="noConversion"/>
  </si>
  <si>
    <t>5.1MM BODY</t>
    <phoneticPr fontId="2" type="noConversion"/>
  </si>
  <si>
    <t>6</t>
    <phoneticPr fontId="2" type="noConversion"/>
  </si>
  <si>
    <t>5.1MM CAP</t>
    <phoneticPr fontId="2" type="noConversion"/>
  </si>
  <si>
    <t>SAMPLE 진행 사항(02일)</t>
    <phoneticPr fontId="2" type="noConversion"/>
  </si>
  <si>
    <t>NP595-350-008#SP</t>
    <phoneticPr fontId="2" type="noConversion"/>
  </si>
  <si>
    <t>BURR</t>
    <phoneticPr fontId="2" type="noConversion"/>
  </si>
  <si>
    <t>AR3525</t>
    <phoneticPr fontId="2" type="noConversion"/>
  </si>
  <si>
    <t>신작</t>
    <phoneticPr fontId="2" type="noConversion"/>
  </si>
  <si>
    <t>SST</t>
    <phoneticPr fontId="2" type="noConversion"/>
  </si>
  <si>
    <t>치수NG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</si>
  <si>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</si>
  <si>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</si>
  <si>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2020년 01월 03일 일일생산현황</t>
    </r>
    <r>
      <rPr>
        <b/>
        <sz val="14"/>
        <color indexed="8"/>
        <rFont val="굴림체"/>
        <family val="3"/>
        <charset val="129"/>
      </rPr>
      <t>(04일 09시 현재)</t>
    </r>
    <phoneticPr fontId="2" type="noConversion"/>
  </si>
  <si>
    <t>CAP</t>
    <phoneticPr fontId="2" type="noConversion"/>
  </si>
  <si>
    <t>5.1mm</t>
    <phoneticPr fontId="2" type="noConversion"/>
  </si>
  <si>
    <t>BODY</t>
    <phoneticPr fontId="2" type="noConversion"/>
  </si>
  <si>
    <t>5.1MM</t>
    <phoneticPr fontId="2" type="noConversion"/>
  </si>
  <si>
    <t>STOPPER</t>
    <phoneticPr fontId="2" type="noConversion"/>
  </si>
  <si>
    <t>AMM1251A(B)-KAA-R1</t>
    <phoneticPr fontId="2" type="noConversion"/>
  </si>
  <si>
    <t>2*1</t>
    <phoneticPr fontId="2" type="noConversion"/>
  </si>
  <si>
    <t>HDB08-M01A4(4C)</t>
    <phoneticPr fontId="2" type="noConversion"/>
  </si>
  <si>
    <t>전일 ISSUE 사항(03일)</t>
    <phoneticPr fontId="2" type="noConversion"/>
  </si>
  <si>
    <t>코아파손2회정지</t>
    <phoneticPr fontId="2" type="noConversion"/>
  </si>
  <si>
    <t>수리후양산-&gt;코아파손수리</t>
    <phoneticPr fontId="2" type="noConversion"/>
  </si>
  <si>
    <t>코아파손정지</t>
    <phoneticPr fontId="2" type="noConversion"/>
  </si>
  <si>
    <t>8</t>
    <phoneticPr fontId="2" type="noConversion"/>
  </si>
  <si>
    <t>HDB08-M01A1</t>
    <phoneticPr fontId="2" type="noConversion"/>
  </si>
  <si>
    <t>이물제거후양산</t>
    <phoneticPr fontId="2" type="noConversion"/>
  </si>
  <si>
    <t>HDB08-M01A4</t>
    <phoneticPr fontId="2" type="noConversion"/>
  </si>
  <si>
    <t>당일 진행 사항(06일)</t>
    <phoneticPr fontId="2" type="noConversion"/>
  </si>
  <si>
    <t>7.5MM BODY</t>
    <phoneticPr fontId="2" type="noConversion"/>
  </si>
  <si>
    <t>SST</t>
    <phoneticPr fontId="2" type="noConversion"/>
  </si>
  <si>
    <t>6</t>
    <phoneticPr fontId="2" type="noConversion"/>
  </si>
  <si>
    <t>SLIDER</t>
    <phoneticPr fontId="2" type="noConversion"/>
  </si>
  <si>
    <t>KR6156-A841YA</t>
    <phoneticPr fontId="2" type="noConversion"/>
  </si>
  <si>
    <t>SAMPLE 진행 사항(03일)</t>
    <phoneticPr fontId="2" type="noConversion"/>
  </si>
  <si>
    <t>G2330</t>
    <phoneticPr fontId="2" type="noConversion"/>
  </si>
  <si>
    <t>수정</t>
    <phoneticPr fontId="2" type="noConversion"/>
  </si>
  <si>
    <t>뜯김수리</t>
    <phoneticPr fontId="2" type="noConversion"/>
  </si>
  <si>
    <t>BASE</t>
    <phoneticPr fontId="2" type="noConversion"/>
  </si>
  <si>
    <t>AMC1201A-KAA-R1</t>
    <phoneticPr fontId="2" type="noConversion"/>
  </si>
  <si>
    <t>AMC0821A-KAA-R1</t>
    <phoneticPr fontId="2" type="noConversion"/>
  </si>
  <si>
    <t>G1300H</t>
    <phoneticPr fontId="2" type="noConversion"/>
  </si>
  <si>
    <t>금형이상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</si>
  <si>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</si>
  <si>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</si>
  <si>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r>
      <t>2020년 01월 06일 일일생산현황</t>
    </r>
    <r>
      <rPr>
        <b/>
        <sz val="14"/>
        <color indexed="8"/>
        <rFont val="굴림체"/>
        <family val="3"/>
        <charset val="129"/>
      </rPr>
      <t>(07일 09시 현재)</t>
    </r>
    <phoneticPr fontId="2" type="noConversion"/>
  </si>
  <si>
    <t>7.5MM</t>
    <phoneticPr fontId="2" type="noConversion"/>
  </si>
  <si>
    <t>FLOATING</t>
    <phoneticPr fontId="2" type="noConversion"/>
  </si>
  <si>
    <t>HRCS-03C13</t>
    <phoneticPr fontId="2" type="noConversion"/>
  </si>
  <si>
    <t>전일 ISSUE 사항(06일)</t>
    <phoneticPr fontId="2" type="noConversion"/>
  </si>
  <si>
    <t>코아파손수리</t>
    <phoneticPr fontId="2" type="noConversion"/>
  </si>
  <si>
    <t>12</t>
    <phoneticPr fontId="2" type="noConversion"/>
  </si>
  <si>
    <t>당일 진행 사항(07일)</t>
    <phoneticPr fontId="2" type="noConversion"/>
  </si>
  <si>
    <t>AMM0818D-KAB-R3</t>
    <phoneticPr fontId="2" type="noConversion"/>
  </si>
  <si>
    <t>SAMPLE 진행 사항(06일)</t>
    <phoneticPr fontId="2" type="noConversion"/>
  </si>
  <si>
    <t>FLOAT</t>
    <phoneticPr fontId="2" type="noConversion"/>
  </si>
  <si>
    <t>K-JR01936-A153AWA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</si>
  <si>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</si>
  <si>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</si>
  <si>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2020년 01월 07일 일일생산현황</t>
    </r>
    <r>
      <rPr>
        <b/>
        <sz val="14"/>
        <color indexed="8"/>
        <rFont val="굴림체"/>
        <family val="3"/>
        <charset val="129"/>
      </rPr>
      <t>(08일 09시 현재)</t>
    </r>
    <phoneticPr fontId="2" type="noConversion"/>
  </si>
  <si>
    <t>AAM0818D-KAB-R3</t>
    <phoneticPr fontId="2" type="noConversion"/>
  </si>
  <si>
    <t>GN2330 B/K</t>
    <phoneticPr fontId="2" type="noConversion"/>
  </si>
  <si>
    <t>ST/HO</t>
    <phoneticPr fontId="2" type="noConversion"/>
  </si>
  <si>
    <t>K-JR01860</t>
    <phoneticPr fontId="2" type="noConversion"/>
  </si>
  <si>
    <t>SGP2020R</t>
    <phoneticPr fontId="2" type="noConversion"/>
  </si>
  <si>
    <t>전일 ISSUE 사항(07일)</t>
    <phoneticPr fontId="2" type="noConversion"/>
  </si>
  <si>
    <t>세척후양산</t>
    <phoneticPr fontId="2" type="noConversion"/>
  </si>
  <si>
    <t>수리후양산-&gt;밀핀3회-&gt;코아파손2회정지</t>
    <phoneticPr fontId="2" type="noConversion"/>
  </si>
  <si>
    <t>당일 진행 사항(08일)</t>
    <phoneticPr fontId="2" type="noConversion"/>
  </si>
  <si>
    <t>5.1mm(CAP)</t>
    <phoneticPr fontId="2" type="noConversion"/>
  </si>
  <si>
    <t>56T1-05-T2-AA-1</t>
    <phoneticPr fontId="2" type="noConversion"/>
  </si>
  <si>
    <t>OKINS</t>
    <phoneticPr fontId="2" type="noConversion"/>
  </si>
  <si>
    <t>11</t>
    <phoneticPr fontId="2" type="noConversion"/>
  </si>
  <si>
    <t>SAMPLE 진행 사항(07일)</t>
    <phoneticPr fontId="2" type="noConversion"/>
  </si>
  <si>
    <t>상측박힘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</si>
  <si>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</si>
  <si>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</si>
  <si>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2020년 01월 08일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</si>
  <si>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ADAPTER</t>
    <phoneticPr fontId="2" type="noConversion"/>
  </si>
  <si>
    <t>7301</t>
    <phoneticPr fontId="2" type="noConversion"/>
  </si>
  <si>
    <t>전일 ISSUE 사항(08일)</t>
    <phoneticPr fontId="2" type="noConversion"/>
  </si>
  <si>
    <t>수리후양산-&gt;밀핀수리-&gt;코아파손정지</t>
    <phoneticPr fontId="2" type="noConversion"/>
  </si>
  <si>
    <t>단차수리</t>
    <phoneticPr fontId="2" type="noConversion"/>
  </si>
  <si>
    <t>코아파손수리후양산</t>
    <phoneticPr fontId="2" type="noConversion"/>
  </si>
  <si>
    <t>FINE</t>
    <phoneticPr fontId="2" type="noConversion"/>
  </si>
  <si>
    <t>6</t>
    <phoneticPr fontId="2" type="noConversion"/>
  </si>
  <si>
    <t>5.1mm(CAP)</t>
    <phoneticPr fontId="2" type="noConversion"/>
  </si>
  <si>
    <t>발주분양산</t>
    <phoneticPr fontId="2" type="noConversion"/>
  </si>
  <si>
    <t>당일 진행 사항(09일)</t>
    <phoneticPr fontId="2" type="noConversion"/>
  </si>
  <si>
    <t>22P</t>
    <phoneticPr fontId="2" type="noConversion"/>
  </si>
  <si>
    <t>HICON</t>
    <phoneticPr fontId="2" type="noConversion"/>
  </si>
  <si>
    <t>4</t>
    <phoneticPr fontId="2" type="noConversion"/>
  </si>
  <si>
    <t>SAMPLE 진행 사항(08일)</t>
    <phoneticPr fontId="2" type="noConversion"/>
  </si>
  <si>
    <t>NP413-187-092#IN-B-1</t>
    <phoneticPr fontId="2" type="noConversion"/>
  </si>
  <si>
    <t>SGP2030R</t>
    <phoneticPr fontId="2" type="noConversion"/>
  </si>
  <si>
    <t>원재료변경</t>
    <phoneticPr fontId="2" type="noConversion"/>
  </si>
  <si>
    <t>AMB09F5A-KAA-R1</t>
    <phoneticPr fontId="2" type="noConversion"/>
  </si>
  <si>
    <t>JD4901</t>
    <phoneticPr fontId="2" type="noConversion"/>
  </si>
  <si>
    <t>LATCH PLATE</t>
    <phoneticPr fontId="2" type="noConversion"/>
  </si>
  <si>
    <t>HL088-10M1</t>
    <phoneticPr fontId="2" type="noConversion"/>
  </si>
  <si>
    <t>SGF2041</t>
    <phoneticPr fontId="2" type="noConversion"/>
  </si>
  <si>
    <t>옵션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</si>
  <si>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</si>
  <si>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</si>
  <si>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2020년 01월 09일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</si>
  <si>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전일 ISSUE 사항(09일)</t>
    <phoneticPr fontId="2" type="noConversion"/>
  </si>
  <si>
    <t>당일 진행 사항(10일)</t>
    <phoneticPr fontId="2" type="noConversion"/>
  </si>
  <si>
    <t>단차수리-&gt;코아파손정지</t>
    <phoneticPr fontId="2" type="noConversion"/>
  </si>
  <si>
    <t>NP504-504-018#SP-1</t>
    <phoneticPr fontId="2" type="noConversion"/>
  </si>
  <si>
    <t>MCS</t>
    <phoneticPr fontId="2" type="noConversion"/>
  </si>
  <si>
    <t>11</t>
    <phoneticPr fontId="2" type="noConversion"/>
  </si>
  <si>
    <t>BODY</t>
    <phoneticPr fontId="2" type="noConversion"/>
  </si>
  <si>
    <t>AMB0177A-KAA-R1</t>
    <phoneticPr fontId="2" type="noConversion"/>
  </si>
  <si>
    <t>SW-003071</t>
    <phoneticPr fontId="2" type="noConversion"/>
  </si>
  <si>
    <t>ODT</t>
    <phoneticPr fontId="2" type="noConversion"/>
  </si>
  <si>
    <t>10</t>
    <phoneticPr fontId="2" type="noConversion"/>
  </si>
  <si>
    <t>LED A</t>
    <phoneticPr fontId="2" type="noConversion"/>
  </si>
  <si>
    <t>KR6197-GC221QA</t>
    <phoneticPr fontId="2" type="noConversion"/>
  </si>
  <si>
    <t>SST</t>
    <phoneticPr fontId="2" type="noConversion"/>
  </si>
  <si>
    <t>12</t>
    <phoneticPr fontId="2" type="noConversion"/>
  </si>
  <si>
    <t>ADAPTER</t>
    <phoneticPr fontId="2" type="noConversion"/>
  </si>
  <si>
    <t>SAMPLE 진행 사항(09일)</t>
    <phoneticPr fontId="2" type="noConversion"/>
  </si>
  <si>
    <t>AMB0111C-KAA-R1</t>
    <phoneticPr fontId="2" type="noConversion"/>
  </si>
  <si>
    <t>요청</t>
    <phoneticPr fontId="2" type="noConversion"/>
  </si>
  <si>
    <t>3</t>
    <phoneticPr fontId="2" type="noConversion"/>
  </si>
  <si>
    <t>KR6156HA841YA</t>
    <phoneticPr fontId="2" type="noConversion"/>
  </si>
  <si>
    <t>SGF2050</t>
    <phoneticPr fontId="2" type="noConversion"/>
  </si>
  <si>
    <t>수정</t>
    <phoneticPr fontId="2" type="noConversion"/>
  </si>
  <si>
    <t>7</t>
    <phoneticPr fontId="2" type="noConversion"/>
  </si>
  <si>
    <t>SLIDER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</si>
  <si>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</si>
  <si>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</si>
  <si>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2020년 01월 10일 일일생산현황</t>
    </r>
    <r>
      <rPr>
        <b/>
        <sz val="14"/>
        <color indexed="8"/>
        <rFont val="굴림체"/>
        <family val="3"/>
        <charset val="129"/>
      </rPr>
      <t>(11일 09시 현재)</t>
    </r>
    <phoneticPr fontId="2" type="noConversion"/>
  </si>
  <si>
    <t>BP22-127A1</t>
    <phoneticPr fontId="2" type="noConversion"/>
  </si>
  <si>
    <t>AMB0156A-KAA-R4</t>
    <phoneticPr fontId="2" type="noConversion"/>
  </si>
  <si>
    <t>NORYL</t>
    <phoneticPr fontId="2" type="noConversion"/>
  </si>
  <si>
    <t>SF2255 I/V</t>
    <phoneticPr fontId="2" type="noConversion"/>
  </si>
  <si>
    <t>전일 ISSUE 사항(10일)</t>
    <phoneticPr fontId="2" type="noConversion"/>
  </si>
  <si>
    <t>발주분양산-&gt;치수NG-&gt;틀어짐3회수리정지</t>
    <phoneticPr fontId="2" type="noConversion"/>
  </si>
  <si>
    <t>수리후양산-&gt;미성형정지</t>
    <phoneticPr fontId="2" type="noConversion"/>
  </si>
  <si>
    <t>설비이상정지</t>
    <phoneticPr fontId="2" type="noConversion"/>
  </si>
  <si>
    <t>당일 진행 사항(13일)</t>
    <phoneticPr fontId="2" type="noConversion"/>
  </si>
  <si>
    <t>AMM0890A-KAA-R1</t>
    <phoneticPr fontId="2" type="noConversion"/>
  </si>
  <si>
    <t>SAMPLE 진행 사항(10일)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</si>
  <si>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</si>
  <si>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</si>
  <si>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2020년 01월 13일 일일생산현황</t>
    </r>
    <r>
      <rPr>
        <b/>
        <sz val="14"/>
        <color indexed="8"/>
        <rFont val="굴림체"/>
        <family val="3"/>
        <charset val="129"/>
      </rPr>
      <t>(14일 09시 현재)</t>
    </r>
    <phoneticPr fontId="2" type="noConversion"/>
  </si>
  <si>
    <t>HT00-M64A4-4</t>
    <phoneticPr fontId="2" type="noConversion"/>
  </si>
  <si>
    <t>K-AR3525-A1</t>
    <phoneticPr fontId="2" type="noConversion"/>
  </si>
  <si>
    <t>COVER</t>
    <phoneticPr fontId="2" type="noConversion"/>
  </si>
  <si>
    <t>2829HQN05-5632-C4</t>
    <phoneticPr fontId="2" type="noConversion"/>
  </si>
  <si>
    <t>전일 ISSUE 사항(13일)</t>
    <phoneticPr fontId="2" type="noConversion"/>
  </si>
  <si>
    <t>수리후양산-&gt;틀어짐수리</t>
    <phoneticPr fontId="2" type="noConversion"/>
  </si>
  <si>
    <t>수리후양산-&gt;단차수리</t>
    <phoneticPr fontId="2" type="noConversion"/>
  </si>
  <si>
    <t>당일 진행 사항(14일)</t>
    <phoneticPr fontId="2" type="noConversion"/>
  </si>
  <si>
    <t>BOTTOM</t>
    <phoneticPr fontId="2" type="noConversion"/>
  </si>
  <si>
    <t>2829HQN05-4812-B2</t>
    <phoneticPr fontId="2" type="noConversion"/>
  </si>
  <si>
    <t>치수확인후양산</t>
    <phoneticPr fontId="2" type="noConversion"/>
  </si>
  <si>
    <t>2829HQN05-4812-B1</t>
    <phoneticPr fontId="2" type="noConversion"/>
  </si>
  <si>
    <t>SAMPLE 진행 사항(13일)</t>
    <phoneticPr fontId="2" type="noConversion"/>
  </si>
  <si>
    <t>K-AR3525-1A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</si>
  <si>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</si>
  <si>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</si>
  <si>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t>형체이상</t>
    <phoneticPr fontId="2" type="noConversion"/>
  </si>
  <si>
    <t>엔코어 밧데리 교환 및 0점 조정</t>
    <phoneticPr fontId="2" type="noConversion"/>
  </si>
  <si>
    <t>스미토모</t>
    <phoneticPr fontId="2" type="noConversion"/>
  </si>
  <si>
    <r>
      <t>2020년 01월 14일 일일생산현황</t>
    </r>
    <r>
      <rPr>
        <b/>
        <sz val="14"/>
        <color indexed="8"/>
        <rFont val="굴림체"/>
        <family val="3"/>
        <charset val="129"/>
      </rPr>
      <t>(15일 09시 현재)</t>
    </r>
    <phoneticPr fontId="2" type="noConversion"/>
  </si>
  <si>
    <t>HOUSING</t>
    <phoneticPr fontId="2" type="noConversion"/>
  </si>
  <si>
    <t>BC05-29H1</t>
    <phoneticPr fontId="2" type="noConversion"/>
  </si>
  <si>
    <t>AMB09F5A-KAA-R2</t>
    <phoneticPr fontId="2" type="noConversion"/>
  </si>
  <si>
    <t>2829HQN05-4812-F3</t>
    <phoneticPr fontId="2" type="noConversion"/>
  </si>
  <si>
    <t>2829HQN05-4812-B2</t>
    <phoneticPr fontId="2" type="noConversion"/>
  </si>
  <si>
    <t>2829HQN05-4812-B1</t>
    <phoneticPr fontId="2" type="noConversion"/>
  </si>
  <si>
    <t>전일 ISSUE 사항(14일)</t>
    <phoneticPr fontId="2" type="noConversion"/>
  </si>
  <si>
    <t>수리후양산-&gt;단차2회정지</t>
    <phoneticPr fontId="2" type="noConversion"/>
  </si>
  <si>
    <t>HOUSING</t>
    <phoneticPr fontId="2" type="noConversion"/>
  </si>
  <si>
    <t>AMC0821A-KAA-R1</t>
    <phoneticPr fontId="2" type="noConversion"/>
  </si>
  <si>
    <t>AMB09F5A-KAA-R2</t>
    <phoneticPr fontId="2" type="noConversion"/>
  </si>
  <si>
    <t>발주분양산-&gt;치수수정-&gt;오조립</t>
    <phoneticPr fontId="2" type="noConversion"/>
  </si>
  <si>
    <t>14</t>
    <phoneticPr fontId="2" type="noConversion"/>
  </si>
  <si>
    <t>STOPPER</t>
    <phoneticPr fontId="2" type="noConversion"/>
  </si>
  <si>
    <t>세척후양산-&gt;코아파손수리</t>
    <phoneticPr fontId="2" type="noConversion"/>
  </si>
  <si>
    <t>HDB08-M04A1</t>
    <phoneticPr fontId="2" type="noConversion"/>
  </si>
  <si>
    <t>당일 진행 사항(15일)</t>
    <phoneticPr fontId="2" type="noConversion"/>
  </si>
  <si>
    <t>SW-003073</t>
    <phoneticPr fontId="2" type="noConversion"/>
  </si>
  <si>
    <t>24V</t>
    <phoneticPr fontId="2" type="noConversion"/>
  </si>
  <si>
    <t>ODT</t>
    <phoneticPr fontId="2" type="noConversion"/>
  </si>
  <si>
    <t>10</t>
    <phoneticPr fontId="2" type="noConversion"/>
  </si>
  <si>
    <t>발주분양산</t>
    <phoneticPr fontId="2" type="noConversion"/>
  </si>
  <si>
    <t>288C84A-B125A</t>
    <phoneticPr fontId="2" type="noConversion"/>
  </si>
  <si>
    <t>OKINS</t>
    <phoneticPr fontId="2" type="noConversion"/>
  </si>
  <si>
    <t>9</t>
    <phoneticPr fontId="2" type="noConversion"/>
  </si>
  <si>
    <t>BASE</t>
    <phoneticPr fontId="2" type="noConversion"/>
  </si>
  <si>
    <t>HL072-10M3</t>
    <phoneticPr fontId="2" type="noConversion"/>
  </si>
  <si>
    <t>HICON</t>
    <phoneticPr fontId="2" type="noConversion"/>
  </si>
  <si>
    <t>3</t>
    <phoneticPr fontId="2" type="noConversion"/>
  </si>
  <si>
    <t>BODY</t>
    <phoneticPr fontId="2" type="noConversion"/>
  </si>
  <si>
    <t>NP504-504-018#SP-1</t>
    <phoneticPr fontId="2" type="noConversion"/>
  </si>
  <si>
    <t>AYE</t>
    <phoneticPr fontId="2" type="noConversion"/>
  </si>
  <si>
    <t>5</t>
    <phoneticPr fontId="2" type="noConversion"/>
  </si>
  <si>
    <t>SP</t>
    <phoneticPr fontId="2" type="noConversion"/>
  </si>
  <si>
    <t>SAMPLE 진행 사항(14일)</t>
    <phoneticPr fontId="2" type="noConversion"/>
  </si>
  <si>
    <t>BOTTOM</t>
    <phoneticPr fontId="2" type="noConversion"/>
  </si>
  <si>
    <t>FLOATING</t>
    <phoneticPr fontId="2" type="noConversion"/>
  </si>
  <si>
    <t>치수수정2회진행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</si>
  <si>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</si>
  <si>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</si>
  <si>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2020년 01월 15일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</si>
  <si>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BLUE</t>
    <phoneticPr fontId="2" type="noConversion"/>
  </si>
  <si>
    <t>HDB0708-S2</t>
    <phoneticPr fontId="2" type="noConversion"/>
  </si>
  <si>
    <t>SGF2030 N/P</t>
    <phoneticPr fontId="2" type="noConversion"/>
  </si>
  <si>
    <t>GN2330</t>
    <phoneticPr fontId="2" type="noConversion"/>
  </si>
  <si>
    <t>전일 ISSUE 사항(15일)</t>
    <phoneticPr fontId="2" type="noConversion"/>
  </si>
  <si>
    <t>수리후양산-&gt;단차정지</t>
    <phoneticPr fontId="2" type="noConversion"/>
  </si>
  <si>
    <t>4</t>
    <phoneticPr fontId="2" type="noConversion"/>
  </si>
  <si>
    <t>22P</t>
    <phoneticPr fontId="2" type="noConversion"/>
  </si>
  <si>
    <t>BP22-127A1</t>
    <phoneticPr fontId="2" type="noConversion"/>
  </si>
  <si>
    <t>틀어짐정지</t>
    <phoneticPr fontId="2" type="noConversion"/>
  </si>
  <si>
    <t>AMC1201A-KAA-R1</t>
    <phoneticPr fontId="2" type="noConversion"/>
  </si>
  <si>
    <t>발주분양산-&gt;가스수리</t>
    <phoneticPr fontId="2" type="noConversion"/>
  </si>
  <si>
    <t>HT00-M64A4-4</t>
    <phoneticPr fontId="2" type="noConversion"/>
  </si>
  <si>
    <t>수정후양산</t>
    <phoneticPr fontId="2" type="noConversion"/>
  </si>
  <si>
    <t>HDB0708-S2</t>
    <phoneticPr fontId="2" type="noConversion"/>
  </si>
  <si>
    <t>이물제거후양산</t>
    <phoneticPr fontId="2" type="noConversion"/>
  </si>
  <si>
    <t>OKINS</t>
    <phoneticPr fontId="2" type="noConversion"/>
  </si>
  <si>
    <t>9</t>
    <phoneticPr fontId="2" type="noConversion"/>
  </si>
  <si>
    <t>BASE</t>
    <phoneticPr fontId="2" type="noConversion"/>
  </si>
  <si>
    <t>288C84A-B125A</t>
    <phoneticPr fontId="2" type="noConversion"/>
  </si>
  <si>
    <t>당일 진행 사항(16일)</t>
    <phoneticPr fontId="2" type="noConversion"/>
  </si>
  <si>
    <t>TOP</t>
    <phoneticPr fontId="2" type="noConversion"/>
  </si>
  <si>
    <t>HRCS-00C11A</t>
    <phoneticPr fontId="2" type="noConversion"/>
  </si>
  <si>
    <t>SW-003073</t>
    <phoneticPr fontId="2" type="noConversion"/>
  </si>
  <si>
    <t>ODT</t>
    <phoneticPr fontId="2" type="noConversion"/>
  </si>
  <si>
    <t>10</t>
    <phoneticPr fontId="2" type="noConversion"/>
  </si>
  <si>
    <t>24V</t>
    <phoneticPr fontId="2" type="noConversion"/>
  </si>
  <si>
    <t>HDB0708-T4</t>
    <phoneticPr fontId="2" type="noConversion"/>
  </si>
  <si>
    <t>HDB0708-B1</t>
    <phoneticPr fontId="2" type="noConversion"/>
  </si>
  <si>
    <t>12</t>
    <phoneticPr fontId="2" type="noConversion"/>
  </si>
  <si>
    <t>COVER</t>
    <phoneticPr fontId="2" type="noConversion"/>
  </si>
  <si>
    <t>HDB0708-C3</t>
    <phoneticPr fontId="2" type="noConversion"/>
  </si>
  <si>
    <t>SAMPLE 진행 사항(15일)</t>
    <phoneticPr fontId="2" type="noConversion"/>
  </si>
  <si>
    <t>원재료</t>
    <phoneticPr fontId="2" type="noConversion"/>
  </si>
  <si>
    <t>KR6422DB804XX</t>
    <phoneticPr fontId="2" type="noConversion"/>
  </si>
  <si>
    <t>SST</t>
    <phoneticPr fontId="2" type="noConversion"/>
  </si>
  <si>
    <t>SLIDER</t>
    <phoneticPr fontId="2" type="noConversion"/>
  </si>
  <si>
    <t>SGF2033</t>
    <phoneticPr fontId="2" type="noConversion"/>
  </si>
  <si>
    <t>신작</t>
    <phoneticPr fontId="2" type="noConversion"/>
  </si>
  <si>
    <t>7</t>
    <phoneticPr fontId="2" type="noConversion"/>
  </si>
  <si>
    <t>밀핀이상, 코아파손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</si>
  <si>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</si>
  <si>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</si>
  <si>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2020년 01월 16일 일일생산현황</t>
    </r>
    <r>
      <rPr>
        <b/>
        <sz val="14"/>
        <color indexed="8"/>
        <rFont val="굴림체"/>
        <family val="3"/>
        <charset val="129"/>
      </rPr>
      <t>(17일 09시 현재)</t>
    </r>
    <phoneticPr fontId="2" type="noConversion"/>
  </si>
  <si>
    <t>LED 24V</t>
    <phoneticPr fontId="2" type="noConversion"/>
  </si>
  <si>
    <t>전일 ISSUE 사항(16일)</t>
    <phoneticPr fontId="2" type="noConversion"/>
  </si>
  <si>
    <t>발주분양산-&gt;코아파손2회수리-&gt;2CAV파손양산</t>
    <phoneticPr fontId="2" type="noConversion"/>
  </si>
  <si>
    <t>발주분양산-&gt;코아파손수리-&gt;1CAV파손양산</t>
    <phoneticPr fontId="2" type="noConversion"/>
  </si>
  <si>
    <t>당일 진행 사항(17일)</t>
    <phoneticPr fontId="2" type="noConversion"/>
  </si>
  <si>
    <t>발주분양산-&gt;코아파손수리</t>
    <phoneticPr fontId="2" type="noConversion"/>
  </si>
  <si>
    <t>발주분양산-&gt;칼퀴파손정지</t>
    <phoneticPr fontId="2" type="noConversion"/>
  </si>
  <si>
    <t>HRCS-00C12B</t>
    <phoneticPr fontId="2" type="noConversion"/>
  </si>
  <si>
    <t>SAMPLE 진행 사항(16일)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</si>
  <si>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</si>
  <si>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</si>
  <si>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2020년 01월 17일 일일생산현황</t>
    </r>
    <r>
      <rPr>
        <b/>
        <sz val="14"/>
        <color indexed="8"/>
        <rFont val="굴림체"/>
        <family val="3"/>
        <charset val="129"/>
      </rPr>
      <t>(18일 09시 현재)</t>
    </r>
    <phoneticPr fontId="2" type="noConversion"/>
  </si>
  <si>
    <t>전일 ISSUE 사항(17일)</t>
    <phoneticPr fontId="2" type="noConversion"/>
  </si>
  <si>
    <t>미성형수리-&gt;2C파손,1C만양산</t>
    <phoneticPr fontId="2" type="noConversion"/>
  </si>
  <si>
    <t>수리후양산-&gt;칼퀴수리</t>
    <phoneticPr fontId="2" type="noConversion"/>
  </si>
  <si>
    <t>당일 진행 사항(20일)</t>
    <phoneticPr fontId="2" type="noConversion"/>
  </si>
  <si>
    <t>FRONT/REAR</t>
    <phoneticPr fontId="2" type="noConversion"/>
  </si>
  <si>
    <t>SAMPLE 진행 사항(17일)</t>
    <phoneticPr fontId="2" type="noConversion"/>
  </si>
  <si>
    <t>LEAD IN</t>
    <phoneticPr fontId="2" type="noConversion"/>
  </si>
  <si>
    <t>F/ADAPTER</t>
    <phoneticPr fontId="2" type="noConversion"/>
  </si>
  <si>
    <t>K-JR01936-M01ABA</t>
    <phoneticPr fontId="2" type="noConversion"/>
  </si>
  <si>
    <t>AMB20E4A-KAA-R2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</si>
  <si>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</si>
  <si>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</si>
  <si>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2020년 01월 20일 일일생산현황</t>
    </r>
    <r>
      <rPr>
        <b/>
        <sz val="14"/>
        <color indexed="8"/>
        <rFont val="굴림체"/>
        <family val="3"/>
        <charset val="129"/>
      </rPr>
      <t>(21일 09시 현재)</t>
    </r>
    <phoneticPr fontId="2" type="noConversion"/>
  </si>
  <si>
    <t>K-JR01936-M01ABB</t>
    <phoneticPr fontId="2" type="noConversion"/>
  </si>
  <si>
    <t>전일 ISSUE 사항(20일)</t>
    <phoneticPr fontId="2" type="noConversion"/>
  </si>
  <si>
    <t>미성형수리후양산</t>
    <phoneticPr fontId="2" type="noConversion"/>
  </si>
  <si>
    <t>8</t>
    <phoneticPr fontId="2" type="noConversion"/>
  </si>
  <si>
    <t>HDB08-M01A1</t>
    <phoneticPr fontId="2" type="noConversion"/>
  </si>
  <si>
    <t>세척-&gt;코아파손수리후양산</t>
    <phoneticPr fontId="2" type="noConversion"/>
  </si>
  <si>
    <t>14</t>
    <phoneticPr fontId="2" type="noConversion"/>
  </si>
  <si>
    <t>STOPPER</t>
    <phoneticPr fontId="2" type="noConversion"/>
  </si>
  <si>
    <t>HDB08-M01A4</t>
    <phoneticPr fontId="2" type="noConversion"/>
  </si>
  <si>
    <t>세척후양산</t>
    <phoneticPr fontId="2" type="noConversion"/>
  </si>
  <si>
    <t>K-JR01936-M01ABB</t>
    <phoneticPr fontId="2" type="noConversion"/>
  </si>
  <si>
    <t>발주분양산</t>
    <phoneticPr fontId="2" type="noConversion"/>
  </si>
  <si>
    <t>SST</t>
    <phoneticPr fontId="2" type="noConversion"/>
  </si>
  <si>
    <t>12</t>
    <phoneticPr fontId="2" type="noConversion"/>
  </si>
  <si>
    <t>LEAD IN</t>
    <phoneticPr fontId="2" type="noConversion"/>
  </si>
  <si>
    <t>당일 진행 사항(21일)</t>
    <phoneticPr fontId="2" type="noConversion"/>
  </si>
  <si>
    <t>FRONT/REAR</t>
    <phoneticPr fontId="2" type="noConversion"/>
  </si>
  <si>
    <t>9</t>
    <phoneticPr fontId="2" type="noConversion"/>
  </si>
  <si>
    <t>AMC0821A-KAA-R1</t>
    <phoneticPr fontId="2" type="noConversion"/>
  </si>
  <si>
    <t>MCS</t>
    <phoneticPr fontId="2" type="noConversion"/>
  </si>
  <si>
    <t>13</t>
    <phoneticPr fontId="2" type="noConversion"/>
  </si>
  <si>
    <t>SAMPLE 진행 사항(20일)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</si>
  <si>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</si>
  <si>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</si>
  <si>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2020년 01월 21일 일일생산현황</t>
    </r>
    <r>
      <rPr>
        <b/>
        <sz val="14"/>
        <color indexed="8"/>
        <rFont val="굴림체"/>
        <family val="3"/>
        <charset val="129"/>
      </rPr>
      <t>(22일 09시 현재)</t>
    </r>
    <phoneticPr fontId="2" type="noConversion"/>
  </si>
  <si>
    <t>전일 ISSUE 사항(21일)</t>
    <phoneticPr fontId="2" type="noConversion"/>
  </si>
  <si>
    <t>당일 진행 사항(22일)</t>
    <phoneticPr fontId="2" type="noConversion"/>
  </si>
  <si>
    <t>시스템</t>
    <phoneticPr fontId="2" type="noConversion"/>
  </si>
  <si>
    <t>HOLDER</t>
    <phoneticPr fontId="2" type="noConversion"/>
  </si>
  <si>
    <t>20MM</t>
    <phoneticPr fontId="2" type="noConversion"/>
  </si>
  <si>
    <t>30MM</t>
    <phoneticPr fontId="2" type="noConversion"/>
  </si>
  <si>
    <t>SAMPLE 진행 사항(21일)</t>
    <phoneticPr fontId="2" type="noConversion"/>
  </si>
  <si>
    <t>K-JR01887-C01ATA</t>
    <phoneticPr fontId="2" type="noConversion"/>
  </si>
  <si>
    <t>K-JR01887-B221AUA</t>
    <phoneticPr fontId="2" type="noConversion"/>
  </si>
  <si>
    <t>SF2255 7:3,SGF2033</t>
    <phoneticPr fontId="2" type="noConversion"/>
  </si>
  <si>
    <t>K-JR01918-B484CXX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</si>
  <si>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</si>
  <si>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</si>
  <si>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2020년 01월 22일 일일생산현황</t>
    </r>
    <r>
      <rPr>
        <b/>
        <sz val="14"/>
        <color indexed="8"/>
        <rFont val="굴림체"/>
        <family val="3"/>
        <charset val="129"/>
      </rPr>
      <t>(23일 09시 현재)</t>
    </r>
    <phoneticPr fontId="2" type="noConversion"/>
  </si>
  <si>
    <t>NP612-352-002#IN-B</t>
    <phoneticPr fontId="2" type="noConversion"/>
  </si>
  <si>
    <t>ABS B.K</t>
    <phoneticPr fontId="2" type="noConversion"/>
  </si>
  <si>
    <t>NP612-316-003#LB</t>
    <phoneticPr fontId="2" type="noConversion"/>
  </si>
  <si>
    <t>SGP2030R N/P</t>
    <phoneticPr fontId="2" type="noConversion"/>
  </si>
  <si>
    <t>전일 ISSUE 사항(22일)</t>
    <phoneticPr fontId="2" type="noConversion"/>
  </si>
  <si>
    <t>미성형수리</t>
    <phoneticPr fontId="2" type="noConversion"/>
  </si>
  <si>
    <t>발주분양산-&gt;코아파손2회정지</t>
    <phoneticPr fontId="2" type="noConversion"/>
  </si>
  <si>
    <t>W10-H03R0</t>
    <phoneticPr fontId="2" type="noConversion"/>
  </si>
  <si>
    <t>W10-H04R0</t>
    <phoneticPr fontId="2" type="noConversion"/>
  </si>
  <si>
    <t>당일 진행 사항(23일)</t>
    <phoneticPr fontId="2" type="noConversion"/>
  </si>
  <si>
    <t>NP612-352-002#CV</t>
    <phoneticPr fontId="2" type="noConversion"/>
  </si>
  <si>
    <t>SAMPLE 진행 사항(22일)</t>
    <phoneticPr fontId="2" type="noConversion"/>
  </si>
  <si>
    <t>AMM0899A-KAB-R1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</si>
  <si>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</si>
  <si>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</si>
  <si>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2020년 01월 23일 일일생산현황</t>
    </r>
    <r>
      <rPr>
        <b/>
        <sz val="14"/>
        <color indexed="8"/>
        <rFont val="굴림체"/>
        <family val="3"/>
        <charset val="129"/>
      </rPr>
      <t>(27일 09시 현재)</t>
    </r>
    <phoneticPr fontId="2" type="noConversion"/>
  </si>
  <si>
    <t>전일 ISSUE 사항(23일)</t>
    <phoneticPr fontId="2" type="noConversion"/>
  </si>
  <si>
    <t>뜯김정지</t>
    <phoneticPr fontId="2" type="noConversion"/>
  </si>
  <si>
    <t>당일 진행 사항(28일)</t>
    <phoneticPr fontId="2" type="noConversion"/>
  </si>
  <si>
    <t>KR6422-A556YA</t>
    <phoneticPr fontId="2" type="noConversion"/>
  </si>
  <si>
    <t>KR6422-B589CA</t>
    <phoneticPr fontId="2" type="noConversion"/>
  </si>
  <si>
    <t>RV1.0-1.2HD-1.15A1</t>
    <phoneticPr fontId="2" type="noConversion"/>
  </si>
  <si>
    <t>SAMPLE 진행 사항(23일)</t>
    <phoneticPr fontId="2" type="noConversion"/>
  </si>
  <si>
    <t>KR6197BGF254QA</t>
    <phoneticPr fontId="2" type="noConversion"/>
  </si>
  <si>
    <t>수리</t>
    <phoneticPr fontId="2" type="noConversion"/>
  </si>
  <si>
    <t>수리안됨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</si>
  <si>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</si>
  <si>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</si>
  <si>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2020년 01월 28일 일일생산현황</t>
    </r>
    <r>
      <rPr>
        <b/>
        <sz val="14"/>
        <color indexed="8"/>
        <rFont val="굴림체"/>
        <family val="3"/>
        <charset val="129"/>
      </rPr>
      <t>(29일 09시 현재)</t>
    </r>
    <phoneticPr fontId="2" type="noConversion"/>
  </si>
  <si>
    <t>RIVET</t>
    <phoneticPr fontId="2" type="noConversion"/>
  </si>
  <si>
    <t>RTP</t>
    <phoneticPr fontId="2" type="noConversion"/>
  </si>
  <si>
    <t>AMB0178A-KAA-R3</t>
    <phoneticPr fontId="2" type="noConversion"/>
  </si>
  <si>
    <t>전일 ISSUE 사항(28일)</t>
    <phoneticPr fontId="2" type="noConversion"/>
  </si>
  <si>
    <t>당일 진행 사항(29일)</t>
    <phoneticPr fontId="2" type="noConversion"/>
  </si>
  <si>
    <t>K-JR01550-H01AZA</t>
    <phoneticPr fontId="2" type="noConversion"/>
  </si>
  <si>
    <t>SPACER</t>
    <phoneticPr fontId="2" type="noConversion"/>
  </si>
  <si>
    <t>SAMPLE 진행 사항(28일)</t>
    <phoneticPr fontId="2" type="noConversion"/>
  </si>
  <si>
    <t>KR6454-GA168QA</t>
    <phoneticPr fontId="2" type="noConversion"/>
  </si>
  <si>
    <t>KR6454-A352XX</t>
    <phoneticPr fontId="2" type="noConversion"/>
  </si>
  <si>
    <t>KR6454-D352XX</t>
    <phoneticPr fontId="2" type="noConversion"/>
  </si>
  <si>
    <t>SF2255/7301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</si>
  <si>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</si>
  <si>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</si>
  <si>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2020년 01월 29일 일일생산현황</t>
    </r>
    <r>
      <rPr>
        <b/>
        <sz val="14"/>
        <color indexed="8"/>
        <rFont val="굴림체"/>
        <family val="3"/>
        <charset val="129"/>
      </rPr>
      <t>(30일 09시 현재)</t>
    </r>
    <phoneticPr fontId="2" type="noConversion"/>
  </si>
  <si>
    <t>전일 ISSUE 사항(29일)</t>
    <phoneticPr fontId="2" type="noConversion"/>
  </si>
  <si>
    <t>SLIDER</t>
    <phoneticPr fontId="2" type="noConversion"/>
  </si>
  <si>
    <t>K-JR01550-H01AZA</t>
    <phoneticPr fontId="2" type="noConversion"/>
  </si>
  <si>
    <t>6</t>
    <phoneticPr fontId="2" type="noConversion"/>
  </si>
  <si>
    <t>SPACER</t>
    <phoneticPr fontId="2" type="noConversion"/>
  </si>
  <si>
    <t>당일 진행 사항(30일)</t>
    <phoneticPr fontId="2" type="noConversion"/>
  </si>
  <si>
    <t>SAMPLE 진행 사항(29일)</t>
    <phoneticPr fontId="2" type="noConversion"/>
  </si>
  <si>
    <t>KR6454-D352XX</t>
    <phoneticPr fontId="2" type="noConversion"/>
  </si>
  <si>
    <t>STOPPER</t>
    <phoneticPr fontId="2" type="noConversion"/>
  </si>
  <si>
    <t>SF2255EPR</t>
    <phoneticPr fontId="2" type="noConversion"/>
  </si>
  <si>
    <t>KR6454-C316XX</t>
    <phoneticPr fontId="2" type="noConversion"/>
  </si>
  <si>
    <t>COVER</t>
    <phoneticPr fontId="2" type="noConversion"/>
  </si>
  <si>
    <t>NP413-136-097#GP</t>
    <phoneticPr fontId="2" type="noConversion"/>
  </si>
  <si>
    <t>KR6454-B352XX</t>
    <phoneticPr fontId="2" type="noConversion"/>
  </si>
  <si>
    <t>13</t>
    <phoneticPr fontId="2" type="noConversion"/>
  </si>
  <si>
    <t>BASE</t>
    <phoneticPr fontId="2" type="noConversion"/>
  </si>
  <si>
    <t>금형 수리 내역(29일)</t>
    <phoneticPr fontId="2" type="noConversion"/>
  </si>
  <si>
    <t>설비 점검 내역(29일)</t>
    <phoneticPr fontId="2" type="noConversion"/>
  </si>
  <si>
    <r>
      <t>2020년 01월 30일 일일생산현황</t>
    </r>
    <r>
      <rPr>
        <b/>
        <sz val="14"/>
        <color indexed="8"/>
        <rFont val="굴림체"/>
        <family val="3"/>
        <charset val="129"/>
      </rPr>
      <t>(31일 09시 현재)</t>
    </r>
    <phoneticPr fontId="2" type="noConversion"/>
  </si>
  <si>
    <t>전일 ISSUE 사항(30일)</t>
    <phoneticPr fontId="2" type="noConversion"/>
  </si>
  <si>
    <t>수리후양산-&gt;코아파손수리-&gt;밀핀수리후양산</t>
    <phoneticPr fontId="2" type="noConversion"/>
  </si>
  <si>
    <t>발주분양산-&gt;BURR수리후양산-&gt;코아파손정지</t>
    <phoneticPr fontId="2" type="noConversion"/>
  </si>
  <si>
    <t>NP612-352-002#IN-B</t>
    <phoneticPr fontId="2" type="noConversion"/>
  </si>
  <si>
    <t>AYE</t>
    <phoneticPr fontId="2" type="noConversion"/>
  </si>
  <si>
    <t>6</t>
    <phoneticPr fontId="2" type="noConversion"/>
  </si>
  <si>
    <t>당일 진행 사항(31일)</t>
    <phoneticPr fontId="2" type="noConversion"/>
  </si>
  <si>
    <t>SAMPLE 진행 사항(30일)</t>
    <phoneticPr fontId="2" type="noConversion"/>
  </si>
  <si>
    <t>금형 수리 내역(30일)</t>
    <phoneticPr fontId="2" type="noConversion"/>
  </si>
  <si>
    <t>설비 점검 내역(30일)</t>
    <phoneticPr fontId="2" type="noConversion"/>
  </si>
  <si>
    <r>
      <t>2020년 01월 31일 일일생산현황</t>
    </r>
    <r>
      <rPr>
        <b/>
        <sz val="14"/>
        <color indexed="8"/>
        <rFont val="굴림체"/>
        <family val="3"/>
        <charset val="129"/>
      </rPr>
      <t>(01일 09시 현재)</t>
    </r>
    <phoneticPr fontId="2" type="noConversion"/>
  </si>
  <si>
    <t>KR6454-A352YA</t>
    <phoneticPr fontId="2" type="noConversion"/>
  </si>
  <si>
    <t>SHAFT</t>
    <phoneticPr fontId="2" type="noConversion"/>
  </si>
  <si>
    <t>KR6202-06KA</t>
    <phoneticPr fontId="2" type="noConversion"/>
  </si>
  <si>
    <t>JCL3030</t>
    <phoneticPr fontId="2" type="noConversion"/>
  </si>
  <si>
    <t>KR6454-C316TA</t>
    <phoneticPr fontId="2" type="noConversion"/>
  </si>
  <si>
    <t>전일 ISSUE 사항(31일)</t>
    <phoneticPr fontId="2" type="noConversion"/>
  </si>
  <si>
    <t>수리후양산-&gt;코아파손정지</t>
    <phoneticPr fontId="2" type="noConversion"/>
  </si>
  <si>
    <t>KR6454-D352UA</t>
    <phoneticPr fontId="2" type="noConversion"/>
  </si>
  <si>
    <t>HSCB65-M04A1(4C)</t>
    <phoneticPr fontId="2" type="noConversion"/>
  </si>
  <si>
    <t>HR032B-194A2</t>
    <phoneticPr fontId="2" type="noConversion"/>
  </si>
  <si>
    <t>SAMPLE 진행 사항(31일)</t>
    <phoneticPr fontId="2" type="noConversion"/>
  </si>
  <si>
    <t>92-178V-AD949E</t>
    <phoneticPr fontId="2" type="noConversion"/>
  </si>
  <si>
    <t>AAM1209A-KAA/B-R2</t>
    <phoneticPr fontId="2" type="noConversion"/>
  </si>
  <si>
    <t>금형 수리 내역(31일)</t>
    <phoneticPr fontId="2" type="noConversion"/>
  </si>
  <si>
    <t>설비 점검 내역(31일)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</si>
</sst>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0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Border="1" applyAlignment="1">
      <alignment horizontal="center" vertical="center"/>
    </xf>
    <xf numFmtId="9" fontId="9" fillId="0" borderId="7" xfId="3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178" fontId="8" fillId="0" borderId="10" xfId="4" applyNumberFormat="1" applyFont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4" fillId="0" borderId="7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 wrapText="1"/>
    </xf>
    <xf numFmtId="41" fontId="8" fillId="0" borderId="8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>
      <alignment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shrinkToFit="1"/>
    </xf>
    <xf numFmtId="41" fontId="13" fillId="0" borderId="0" xfId="4" applyFont="1">
      <alignment vertical="center"/>
    </xf>
    <xf numFmtId="49" fontId="13" fillId="0" borderId="0" xfId="2" applyNumberFormat="1" applyFont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3" borderId="9" xfId="8" applyFont="1" applyFill="1" applyBorder="1" applyAlignment="1">
      <alignment horizontal="center" vertical="center"/>
    </xf>
    <xf numFmtId="9" fontId="7" fillId="3" borderId="12" xfId="8" applyFont="1" applyFill="1" applyBorder="1" applyAlignment="1">
      <alignment horizontal="center" vertical="center"/>
    </xf>
    <xf numFmtId="9" fontId="7" fillId="3" borderId="51" xfId="8" applyFont="1" applyFill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7" fillId="3" borderId="24" xfId="8" applyFont="1" applyFill="1" applyBorder="1" applyAlignment="1">
      <alignment horizontal="center" vertical="center"/>
    </xf>
    <xf numFmtId="9" fontId="7" fillId="3" borderId="31" xfId="8" applyFont="1" applyFill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9" fontId="7" fillId="3" borderId="53" xfId="8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3" borderId="38" xfId="8" applyFont="1" applyFill="1" applyBorder="1" applyAlignment="1">
      <alignment horizontal="center" vertical="center"/>
    </xf>
    <xf numFmtId="9" fontId="7" fillId="3" borderId="11" xfId="8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3" borderId="33" xfId="8" applyFont="1" applyFill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8" fillId="30" borderId="8" xfId="2" applyFont="1" applyFill="1" applyBorder="1" applyAlignment="1">
      <alignment horizontal="center" vertical="center"/>
    </xf>
    <xf numFmtId="0" fontId="7" fillId="30" borderId="51" xfId="0" applyFont="1" applyFill="1" applyBorder="1" applyAlignment="1">
      <alignment horizontal="center" vertical="center"/>
    </xf>
    <xf numFmtId="9" fontId="7" fillId="30" borderId="11" xfId="8" applyFont="1" applyFill="1" applyBorder="1" applyAlignment="1">
      <alignment horizontal="center" vertical="center"/>
    </xf>
    <xf numFmtId="9" fontId="7" fillId="30" borderId="9" xfId="8" applyFont="1" applyFill="1" applyBorder="1" applyAlignment="1">
      <alignment horizontal="center" vertical="center"/>
    </xf>
    <xf numFmtId="9" fontId="7" fillId="30" borderId="12" xfId="8" applyFont="1" applyFill="1" applyBorder="1" applyAlignment="1">
      <alignment horizontal="center" vertical="center"/>
    </xf>
    <xf numFmtId="9" fontId="7" fillId="30" borderId="51" xfId="8" applyFont="1" applyFill="1" applyBorder="1" applyAlignment="1">
      <alignment horizontal="center" vertical="center"/>
    </xf>
    <xf numFmtId="49" fontId="13" fillId="0" borderId="17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3" fillId="0" borderId="9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49" fontId="13" fillId="0" borderId="12" xfId="2" applyNumberFormat="1" applyFont="1" applyBorder="1" applyAlignment="1">
      <alignment horizontal="center" vertical="center"/>
    </xf>
    <xf numFmtId="49" fontId="13" fillId="0" borderId="11" xfId="2" applyNumberFormat="1" applyFont="1" applyBorder="1" applyAlignment="1">
      <alignment horizontal="center" vertical="center"/>
    </xf>
    <xf numFmtId="41" fontId="13" fillId="0" borderId="12" xfId="4" applyFont="1" applyBorder="1" applyAlignment="1">
      <alignment horizontal="center" vertical="center"/>
    </xf>
    <xf numFmtId="41" fontId="13" fillId="0" borderId="11" xfId="4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left" vertical="center" shrinkToFit="1"/>
    </xf>
    <xf numFmtId="0" fontId="13" fillId="0" borderId="12" xfId="2" applyFont="1" applyBorder="1" applyAlignment="1">
      <alignment horizontal="center" vertical="center" wrapText="1"/>
    </xf>
    <xf numFmtId="0" fontId="13" fillId="0" borderId="26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3" fillId="0" borderId="12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26" xfId="2" applyFont="1" applyBorder="1" applyAlignment="1">
      <alignment horizontal="center" vertical="center"/>
    </xf>
    <xf numFmtId="0" fontId="13" fillId="0" borderId="60" xfId="2" applyFont="1" applyBorder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21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54" xfId="2" applyNumberFormat="1" applyFont="1" applyBorder="1" applyAlignment="1">
      <alignment horizontal="left" vertical="center" shrinkToFit="1"/>
    </xf>
    <xf numFmtId="49" fontId="13" fillId="0" borderId="61" xfId="2" applyNumberFormat="1" applyFont="1" applyBorder="1" applyAlignment="1">
      <alignment horizontal="left" vertical="center" shrinkToFit="1"/>
    </xf>
    <xf numFmtId="49" fontId="13" fillId="0" borderId="62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26" xfId="2" applyNumberFormat="1" applyFont="1" applyBorder="1" applyAlignment="1">
      <alignment horizontal="center" vertical="center" shrinkToFit="1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2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8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9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10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01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320477502295683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0.30555555555555552</c:v>
                </c:pt>
                <c:pt idx="2">
                  <c:v>0.31666666666666665</c:v>
                </c:pt>
                <c:pt idx="5">
                  <c:v>0.38611111111111113</c:v>
                </c:pt>
                <c:pt idx="6">
                  <c:v>0.4</c:v>
                </c:pt>
                <c:pt idx="7">
                  <c:v>0.46944444444444444</c:v>
                </c:pt>
                <c:pt idx="8">
                  <c:v>0.43888888888888894</c:v>
                </c:pt>
                <c:pt idx="9">
                  <c:v>0.40555555555555561</c:v>
                </c:pt>
                <c:pt idx="12">
                  <c:v>0.43888888888888894</c:v>
                </c:pt>
                <c:pt idx="13">
                  <c:v>0.39722222222222225</c:v>
                </c:pt>
                <c:pt idx="14">
                  <c:v>0.46944444444444439</c:v>
                </c:pt>
                <c:pt idx="15">
                  <c:v>0.3888888888888889</c:v>
                </c:pt>
                <c:pt idx="16">
                  <c:v>0.45833333333333326</c:v>
                </c:pt>
                <c:pt idx="19">
                  <c:v>0.38055555555555548</c:v>
                </c:pt>
                <c:pt idx="20">
                  <c:v>0.32500000000000001</c:v>
                </c:pt>
                <c:pt idx="21">
                  <c:v>0.34166666666666667</c:v>
                </c:pt>
                <c:pt idx="22">
                  <c:v>0.35833333333333334</c:v>
                </c:pt>
                <c:pt idx="27">
                  <c:v>0.28888888888888892</c:v>
                </c:pt>
                <c:pt idx="28">
                  <c:v>0.28611111111111109</c:v>
                </c:pt>
                <c:pt idx="29">
                  <c:v>0.36944444444444446</c:v>
                </c:pt>
                <c:pt idx="30">
                  <c:v>0.31944444444444448</c:v>
                </c:pt>
                <c:pt idx="31">
                  <c:v>0.24336917562724017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01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총괄!$A$3:$A$17</c:f>
              <c:strCache>
                <c:ptCount val="15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</c:strCache>
            </c:strRef>
          </c:cat>
          <c:val>
            <c:numRef>
              <c:f>총괄!$AG$3:$AG$17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3.6290322580645164E-2</c:v>
                </c:pt>
                <c:pt idx="3">
                  <c:v>0.32123655913978505</c:v>
                </c:pt>
                <c:pt idx="4">
                  <c:v>0.43279569892473119</c:v>
                </c:pt>
                <c:pt idx="5">
                  <c:v>0.31989247311827962</c:v>
                </c:pt>
                <c:pt idx="6">
                  <c:v>0.24462365591397847</c:v>
                </c:pt>
                <c:pt idx="7">
                  <c:v>0.58064516129032262</c:v>
                </c:pt>
                <c:pt idx="8">
                  <c:v>7.6612903225806453E-2</c:v>
                </c:pt>
                <c:pt idx="9">
                  <c:v>0.52822580645161288</c:v>
                </c:pt>
                <c:pt idx="10">
                  <c:v>6.9892473118279563E-2</c:v>
                </c:pt>
                <c:pt idx="11">
                  <c:v>0.15188172043010756</c:v>
                </c:pt>
                <c:pt idx="12">
                  <c:v>0.3172043010752687</c:v>
                </c:pt>
                <c:pt idx="13">
                  <c:v>0.57123655913978499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Standoff</c:v>
                </c:pt>
                <c:pt idx="11">
                  <c:v>ADAPTER</c:v>
                </c:pt>
                <c:pt idx="13">
                  <c:v>LEAD GUIDE</c:v>
                </c:pt>
              </c:strCache>
            </c:strRef>
          </c:cat>
          <c:val>
            <c:numRef>
              <c:f>'02'!$L$6:$L$20</c:f>
              <c:numCache>
                <c:formatCode>_(* #,##0_);_(* \(#,##0\);_(* "-"_);_(@_)</c:formatCode>
                <c:ptCount val="15"/>
                <c:pt idx="3">
                  <c:v>2446</c:v>
                </c:pt>
                <c:pt idx="4">
                  <c:v>12482</c:v>
                </c:pt>
                <c:pt idx="6">
                  <c:v>3169</c:v>
                </c:pt>
                <c:pt idx="7">
                  <c:v>21560</c:v>
                </c:pt>
                <c:pt idx="8">
                  <c:v>1742</c:v>
                </c:pt>
                <c:pt idx="9">
                  <c:v>2116</c:v>
                </c:pt>
                <c:pt idx="12">
                  <c:v>3312</c:v>
                </c:pt>
                <c:pt idx="13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4A-426E-B3EB-075474ECBC46}"/>
            </c:ext>
          </c:extLst>
        </c:ser>
        <c:ser>
          <c:idx val="1"/>
          <c:order val="1"/>
          <c:tx>
            <c:v>계획</c:v>
          </c:tx>
          <c:cat>
            <c:strRef>
              <c:f>'02'!$D$6:$D$20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Standoff</c:v>
                </c:pt>
                <c:pt idx="11">
                  <c:v>ADAPTER</c:v>
                </c:pt>
                <c:pt idx="13">
                  <c:v>LEAD GUIDE</c:v>
                </c:pt>
              </c:strCache>
            </c:strRef>
          </c:cat>
          <c:val>
            <c:numRef>
              <c:f>'02'!$J$6:$J$20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7228</c:v>
                </c:pt>
                <c:pt idx="3">
                  <c:v>2446</c:v>
                </c:pt>
                <c:pt idx="4">
                  <c:v>12482</c:v>
                </c:pt>
                <c:pt idx="5">
                  <c:v>940</c:v>
                </c:pt>
                <c:pt idx="6">
                  <c:v>3169</c:v>
                </c:pt>
                <c:pt idx="7">
                  <c:v>21560</c:v>
                </c:pt>
                <c:pt idx="8">
                  <c:v>1742</c:v>
                </c:pt>
                <c:pt idx="9">
                  <c:v>2116</c:v>
                </c:pt>
                <c:pt idx="10">
                  <c:v>1192</c:v>
                </c:pt>
                <c:pt idx="11">
                  <c:v>2492</c:v>
                </c:pt>
                <c:pt idx="12">
                  <c:v>3312</c:v>
                </c:pt>
                <c:pt idx="13">
                  <c:v>220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4A-426E-B3EB-075474ECB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63%</c:v>
                </c:pt>
                <c:pt idx="4">
                  <c:v>79%</c:v>
                </c:pt>
                <c:pt idx="5">
                  <c:v>0%</c:v>
                </c:pt>
                <c:pt idx="6">
                  <c:v>79%</c:v>
                </c:pt>
                <c:pt idx="7">
                  <c:v>100%</c:v>
                </c:pt>
                <c:pt idx="8">
                  <c:v>46%</c:v>
                </c:pt>
                <c:pt idx="9">
                  <c:v>42%</c:v>
                </c:pt>
                <c:pt idx="10">
                  <c:v>0%</c:v>
                </c:pt>
                <c:pt idx="11">
                  <c:v>0%</c:v>
                </c:pt>
                <c:pt idx="12">
                  <c:v>42%</c:v>
                </c:pt>
                <c:pt idx="13">
                  <c:v>8%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Standoff</c:v>
                </c:pt>
                <c:pt idx="11">
                  <c:v>ADAPTER</c:v>
                </c:pt>
                <c:pt idx="13">
                  <c:v>LEAD GUIDE</c:v>
                </c:pt>
              </c:strCache>
            </c:strRef>
          </c:cat>
          <c:val>
            <c:numRef>
              <c:f>'02'!$AD$6:$AD$20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0.625</c:v>
                </c:pt>
                <c:pt idx="4">
                  <c:v>0.79166666666666663</c:v>
                </c:pt>
                <c:pt idx="5">
                  <c:v>0</c:v>
                </c:pt>
                <c:pt idx="6">
                  <c:v>0.79166666666666663</c:v>
                </c:pt>
                <c:pt idx="7">
                  <c:v>1</c:v>
                </c:pt>
                <c:pt idx="8">
                  <c:v>0.45833333333333331</c:v>
                </c:pt>
                <c:pt idx="9">
                  <c:v>0.41666666666666669</c:v>
                </c:pt>
                <c:pt idx="10">
                  <c:v>0</c:v>
                </c:pt>
                <c:pt idx="11">
                  <c:v>0</c:v>
                </c:pt>
                <c:pt idx="12">
                  <c:v>0.41666666666666669</c:v>
                </c:pt>
                <c:pt idx="13">
                  <c:v>8.3333333333333329E-2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E-4BC4-8ED8-7C177CAC017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7AE-4BC4-8ED8-7C177CAC017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Standoff</c:v>
                </c:pt>
                <c:pt idx="11">
                  <c:v>ADAPTER</c:v>
                </c:pt>
                <c:pt idx="13">
                  <c:v>LEAD GUIDE</c:v>
                </c:pt>
              </c:strCache>
            </c:strRef>
          </c:cat>
          <c:val>
            <c:numRef>
              <c:f>'02'!$AE$6:$AE$20</c:f>
              <c:numCache>
                <c:formatCode>0%</c:formatCode>
                <c:ptCount val="15"/>
                <c:pt idx="0">
                  <c:v>0.30555555555555552</c:v>
                </c:pt>
                <c:pt idx="1">
                  <c:v>0.30555555555555552</c:v>
                </c:pt>
                <c:pt idx="2">
                  <c:v>0.30555555555555552</c:v>
                </c:pt>
                <c:pt idx="3">
                  <c:v>0.30555555555555552</c:v>
                </c:pt>
                <c:pt idx="4">
                  <c:v>0.30555555555555552</c:v>
                </c:pt>
                <c:pt idx="5">
                  <c:v>0.30555555555555552</c:v>
                </c:pt>
                <c:pt idx="6">
                  <c:v>0.30555555555555552</c:v>
                </c:pt>
                <c:pt idx="7">
                  <c:v>0.30555555555555552</c:v>
                </c:pt>
                <c:pt idx="8">
                  <c:v>0.30555555555555552</c:v>
                </c:pt>
                <c:pt idx="9">
                  <c:v>0.30555555555555552</c:v>
                </c:pt>
                <c:pt idx="10">
                  <c:v>0.30555555555555552</c:v>
                </c:pt>
                <c:pt idx="11">
                  <c:v>0.30555555555555552</c:v>
                </c:pt>
                <c:pt idx="12">
                  <c:v>0.30555555555555552</c:v>
                </c:pt>
                <c:pt idx="13">
                  <c:v>0.30555555555555552</c:v>
                </c:pt>
                <c:pt idx="14">
                  <c:v>0.30555555555555552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AE-4BC4-8ED8-7C177CAC0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Standoff</c:v>
                </c:pt>
                <c:pt idx="11">
                  <c:v>ADAPTER</c:v>
                </c:pt>
                <c:pt idx="13">
                  <c:v>LEAD GUIDE</c:v>
                </c:pt>
              </c:strCache>
            </c:strRef>
          </c:cat>
          <c:val>
            <c:numRef>
              <c:f>'02'!$L$6:$L$20</c:f>
              <c:numCache>
                <c:formatCode>_(* #,##0_);_(* \(#,##0\);_(* "-"_);_(@_)</c:formatCode>
                <c:ptCount val="15"/>
                <c:pt idx="3">
                  <c:v>2446</c:v>
                </c:pt>
                <c:pt idx="4">
                  <c:v>12482</c:v>
                </c:pt>
                <c:pt idx="6">
                  <c:v>3169</c:v>
                </c:pt>
                <c:pt idx="7">
                  <c:v>21560</c:v>
                </c:pt>
                <c:pt idx="8">
                  <c:v>1742</c:v>
                </c:pt>
                <c:pt idx="9">
                  <c:v>2116</c:v>
                </c:pt>
                <c:pt idx="12">
                  <c:v>3312</c:v>
                </c:pt>
                <c:pt idx="13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C2-46E0-B714-03D9E5418959}"/>
            </c:ext>
          </c:extLst>
        </c:ser>
        <c:ser>
          <c:idx val="1"/>
          <c:order val="1"/>
          <c:tx>
            <c:v>계획</c:v>
          </c:tx>
          <c:cat>
            <c:strRef>
              <c:f>'02'!$D$6:$D$20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Standoff</c:v>
                </c:pt>
                <c:pt idx="11">
                  <c:v>ADAPTER</c:v>
                </c:pt>
                <c:pt idx="13">
                  <c:v>LEAD GUIDE</c:v>
                </c:pt>
              </c:strCache>
            </c:strRef>
          </c:cat>
          <c:val>
            <c:numRef>
              <c:f>'02'!$J$6:$J$20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7228</c:v>
                </c:pt>
                <c:pt idx="3">
                  <c:v>2446</c:v>
                </c:pt>
                <c:pt idx="4">
                  <c:v>12482</c:v>
                </c:pt>
                <c:pt idx="5">
                  <c:v>940</c:v>
                </c:pt>
                <c:pt idx="6">
                  <c:v>3169</c:v>
                </c:pt>
                <c:pt idx="7">
                  <c:v>21560</c:v>
                </c:pt>
                <c:pt idx="8">
                  <c:v>1742</c:v>
                </c:pt>
                <c:pt idx="9">
                  <c:v>2116</c:v>
                </c:pt>
                <c:pt idx="10">
                  <c:v>1192</c:v>
                </c:pt>
                <c:pt idx="11">
                  <c:v>2492</c:v>
                </c:pt>
                <c:pt idx="12">
                  <c:v>3312</c:v>
                </c:pt>
                <c:pt idx="13">
                  <c:v>220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C2-46E0-B714-03D9E5418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63%</c:v>
                </c:pt>
                <c:pt idx="4">
                  <c:v>79%</c:v>
                </c:pt>
                <c:pt idx="5">
                  <c:v>0%</c:v>
                </c:pt>
                <c:pt idx="6">
                  <c:v>79%</c:v>
                </c:pt>
                <c:pt idx="7">
                  <c:v>100%</c:v>
                </c:pt>
                <c:pt idx="8">
                  <c:v>46%</c:v>
                </c:pt>
                <c:pt idx="9">
                  <c:v>42%</c:v>
                </c:pt>
                <c:pt idx="10">
                  <c:v>0%</c:v>
                </c:pt>
                <c:pt idx="11">
                  <c:v>0%</c:v>
                </c:pt>
                <c:pt idx="12">
                  <c:v>42%</c:v>
                </c:pt>
                <c:pt idx="13">
                  <c:v>8%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Standoff</c:v>
                </c:pt>
                <c:pt idx="11">
                  <c:v>ADAPTER</c:v>
                </c:pt>
                <c:pt idx="13">
                  <c:v>LEAD GUIDE</c:v>
                </c:pt>
              </c:strCache>
            </c:strRef>
          </c:cat>
          <c:val>
            <c:numRef>
              <c:f>'02'!$AD$6:$AD$20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0.625</c:v>
                </c:pt>
                <c:pt idx="4">
                  <c:v>0.79166666666666663</c:v>
                </c:pt>
                <c:pt idx="5">
                  <c:v>0</c:v>
                </c:pt>
                <c:pt idx="6">
                  <c:v>0.79166666666666663</c:v>
                </c:pt>
                <c:pt idx="7">
                  <c:v>1</c:v>
                </c:pt>
                <c:pt idx="8">
                  <c:v>0.45833333333333331</c:v>
                </c:pt>
                <c:pt idx="9">
                  <c:v>0.41666666666666669</c:v>
                </c:pt>
                <c:pt idx="10">
                  <c:v>0</c:v>
                </c:pt>
                <c:pt idx="11">
                  <c:v>0</c:v>
                </c:pt>
                <c:pt idx="12">
                  <c:v>0.41666666666666669</c:v>
                </c:pt>
                <c:pt idx="13">
                  <c:v>8.3333333333333329E-2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14-4A19-BCFE-62D06DF8C00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14-4A19-BCFE-62D06DF8C00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Standoff</c:v>
                </c:pt>
                <c:pt idx="11">
                  <c:v>ADAPTER</c:v>
                </c:pt>
                <c:pt idx="13">
                  <c:v>LEAD GUIDE</c:v>
                </c:pt>
              </c:strCache>
            </c:strRef>
          </c:cat>
          <c:val>
            <c:numRef>
              <c:f>'02'!$AE$6:$AE$20</c:f>
              <c:numCache>
                <c:formatCode>0%</c:formatCode>
                <c:ptCount val="15"/>
                <c:pt idx="0">
                  <c:v>0.30555555555555552</c:v>
                </c:pt>
                <c:pt idx="1">
                  <c:v>0.30555555555555552</c:v>
                </c:pt>
                <c:pt idx="2">
                  <c:v>0.30555555555555552</c:v>
                </c:pt>
                <c:pt idx="3">
                  <c:v>0.30555555555555552</c:v>
                </c:pt>
                <c:pt idx="4">
                  <c:v>0.30555555555555552</c:v>
                </c:pt>
                <c:pt idx="5">
                  <c:v>0.30555555555555552</c:v>
                </c:pt>
                <c:pt idx="6">
                  <c:v>0.30555555555555552</c:v>
                </c:pt>
                <c:pt idx="7">
                  <c:v>0.30555555555555552</c:v>
                </c:pt>
                <c:pt idx="8">
                  <c:v>0.30555555555555552</c:v>
                </c:pt>
                <c:pt idx="9">
                  <c:v>0.30555555555555552</c:v>
                </c:pt>
                <c:pt idx="10">
                  <c:v>0.30555555555555552</c:v>
                </c:pt>
                <c:pt idx="11">
                  <c:v>0.30555555555555552</c:v>
                </c:pt>
                <c:pt idx="12">
                  <c:v>0.30555555555555552</c:v>
                </c:pt>
                <c:pt idx="13">
                  <c:v>0.30555555555555552</c:v>
                </c:pt>
                <c:pt idx="14">
                  <c:v>0.30555555555555552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14-4A19-BCFE-62D06DF8C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7D0-46C3-B51B-CB65D3DF45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0.30555555555555552</c:v>
                </c:pt>
                <c:pt idx="2">
                  <c:v>0.31666666666666665</c:v>
                </c:pt>
                <c:pt idx="5">
                  <c:v>0.38611111111111113</c:v>
                </c:pt>
                <c:pt idx="6">
                  <c:v>0.4</c:v>
                </c:pt>
                <c:pt idx="7">
                  <c:v>0.46944444444444444</c:v>
                </c:pt>
                <c:pt idx="8">
                  <c:v>0.43888888888888894</c:v>
                </c:pt>
                <c:pt idx="9">
                  <c:v>0.40555555555555561</c:v>
                </c:pt>
                <c:pt idx="12">
                  <c:v>0.43888888888888894</c:v>
                </c:pt>
                <c:pt idx="13">
                  <c:v>0.39722222222222225</c:v>
                </c:pt>
                <c:pt idx="14">
                  <c:v>0.46944444444444439</c:v>
                </c:pt>
                <c:pt idx="15">
                  <c:v>0.3888888888888889</c:v>
                </c:pt>
                <c:pt idx="16">
                  <c:v>0.45833333333333326</c:v>
                </c:pt>
                <c:pt idx="19">
                  <c:v>0.38055555555555548</c:v>
                </c:pt>
                <c:pt idx="20">
                  <c:v>0.32500000000000001</c:v>
                </c:pt>
                <c:pt idx="21">
                  <c:v>0.34166666666666667</c:v>
                </c:pt>
                <c:pt idx="22">
                  <c:v>0.35833333333333334</c:v>
                </c:pt>
                <c:pt idx="27">
                  <c:v>0.28888888888888892</c:v>
                </c:pt>
                <c:pt idx="28">
                  <c:v>0.28611111111111109</c:v>
                </c:pt>
                <c:pt idx="29">
                  <c:v>0.36944444444444446</c:v>
                </c:pt>
                <c:pt idx="30">
                  <c:v>0.31944444444444448</c:v>
                </c:pt>
                <c:pt idx="31">
                  <c:v>0.24336917562724017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D0-46C3-B51B-CB65D3DF4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7D0-46C3-B51B-CB65D3DF452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D0-46C3-B51B-CB65D3DF4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CAP</c:v>
                </c:pt>
                <c:pt idx="6">
                  <c:v>BASE</c:v>
                </c:pt>
                <c:pt idx="7">
                  <c:v>BASE</c:v>
                </c:pt>
                <c:pt idx="8">
                  <c:v>Standoff</c:v>
                </c:pt>
                <c:pt idx="9">
                  <c:v>BODY</c:v>
                </c:pt>
                <c:pt idx="11">
                  <c:v>ADAPTER</c:v>
                </c:pt>
                <c:pt idx="13">
                  <c:v>STOPPER</c:v>
                </c:pt>
                <c:pt idx="14">
                  <c:v>STOPPER</c:v>
                </c:pt>
              </c:strCache>
            </c:strRef>
          </c:cat>
          <c:val>
            <c:numRef>
              <c:f>'03'!$L$6:$L$21</c:f>
              <c:numCache>
                <c:formatCode>_(* #,##0_);_(* \(#,##0\);_(* "-"_);_(@_)</c:formatCode>
                <c:ptCount val="16"/>
                <c:pt idx="3">
                  <c:v>849</c:v>
                </c:pt>
                <c:pt idx="4">
                  <c:v>1676</c:v>
                </c:pt>
                <c:pt idx="5">
                  <c:v>12678</c:v>
                </c:pt>
                <c:pt idx="6">
                  <c:v>2832</c:v>
                </c:pt>
                <c:pt idx="7">
                  <c:v>18812</c:v>
                </c:pt>
                <c:pt idx="9">
                  <c:v>9554</c:v>
                </c:pt>
                <c:pt idx="13">
                  <c:v>601</c:v>
                </c:pt>
                <c:pt idx="14">
                  <c:v>12980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C7-49A6-B17A-1F08F2FAE260}"/>
            </c:ext>
          </c:extLst>
        </c:ser>
        <c:ser>
          <c:idx val="1"/>
          <c:order val="1"/>
          <c:tx>
            <c:v>계획</c:v>
          </c:tx>
          <c:cat>
            <c:strRef>
              <c:f>'03'!$D$6:$D$21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CAP</c:v>
                </c:pt>
                <c:pt idx="6">
                  <c:v>BASE</c:v>
                </c:pt>
                <c:pt idx="7">
                  <c:v>BASE</c:v>
                </c:pt>
                <c:pt idx="8">
                  <c:v>Standoff</c:v>
                </c:pt>
                <c:pt idx="9">
                  <c:v>BODY</c:v>
                </c:pt>
                <c:pt idx="11">
                  <c:v>ADAPTER</c:v>
                </c:pt>
                <c:pt idx="13">
                  <c:v>STOPPER</c:v>
                </c:pt>
                <c:pt idx="14">
                  <c:v>STOPPER</c:v>
                </c:pt>
              </c:strCache>
            </c:strRef>
          </c:cat>
          <c:val>
            <c:numRef>
              <c:f>'03'!$J$6:$J$21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7228</c:v>
                </c:pt>
                <c:pt idx="3">
                  <c:v>849</c:v>
                </c:pt>
                <c:pt idx="4">
                  <c:v>1676</c:v>
                </c:pt>
                <c:pt idx="5">
                  <c:v>12678</c:v>
                </c:pt>
                <c:pt idx="6">
                  <c:v>2832</c:v>
                </c:pt>
                <c:pt idx="7">
                  <c:v>18812</c:v>
                </c:pt>
                <c:pt idx="8">
                  <c:v>1742</c:v>
                </c:pt>
                <c:pt idx="9">
                  <c:v>9554</c:v>
                </c:pt>
                <c:pt idx="10">
                  <c:v>1192</c:v>
                </c:pt>
                <c:pt idx="11">
                  <c:v>2492</c:v>
                </c:pt>
                <c:pt idx="12">
                  <c:v>3312</c:v>
                </c:pt>
                <c:pt idx="13">
                  <c:v>601</c:v>
                </c:pt>
                <c:pt idx="14">
                  <c:v>12980</c:v>
                </c:pt>
                <c:pt idx="15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C7-49A6-B17A-1F08F2FAE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21%</c:v>
                </c:pt>
                <c:pt idx="4">
                  <c:v>17%</c:v>
                </c:pt>
                <c:pt idx="5">
                  <c:v>96%</c:v>
                </c:pt>
                <c:pt idx="6">
                  <c:v>75%</c:v>
                </c:pt>
                <c:pt idx="7">
                  <c:v>88%</c:v>
                </c:pt>
                <c:pt idx="8">
                  <c:v>0%</c:v>
                </c:pt>
                <c:pt idx="9">
                  <c:v>92%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17%</c:v>
                </c:pt>
                <c:pt idx="14">
                  <c:v>71%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CAP</c:v>
                </c:pt>
                <c:pt idx="6">
                  <c:v>BASE</c:v>
                </c:pt>
                <c:pt idx="7">
                  <c:v>BASE</c:v>
                </c:pt>
                <c:pt idx="8">
                  <c:v>Standoff</c:v>
                </c:pt>
                <c:pt idx="9">
                  <c:v>BODY</c:v>
                </c:pt>
                <c:pt idx="11">
                  <c:v>ADAPTER</c:v>
                </c:pt>
                <c:pt idx="13">
                  <c:v>STOPPER</c:v>
                </c:pt>
                <c:pt idx="14">
                  <c:v>STOPPER</c:v>
                </c:pt>
              </c:strCache>
            </c:strRef>
          </c:cat>
          <c:val>
            <c:numRef>
              <c:f>'03'!$AD$6:$AD$21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0.20833333333333334</c:v>
                </c:pt>
                <c:pt idx="4">
                  <c:v>0.16666666666666666</c:v>
                </c:pt>
                <c:pt idx="5">
                  <c:v>0.95833333333333337</c:v>
                </c:pt>
                <c:pt idx="6">
                  <c:v>0.75</c:v>
                </c:pt>
                <c:pt idx="7">
                  <c:v>0.875</c:v>
                </c:pt>
                <c:pt idx="8">
                  <c:v>0</c:v>
                </c:pt>
                <c:pt idx="9">
                  <c:v>0.91666666666666663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0.16666666666666666</c:v>
                </c:pt>
                <c:pt idx="14">
                  <c:v>0.70833333333333337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4B-4EF5-BAE0-32D141E59D4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04B-4EF5-BAE0-32D141E59D4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CAP</c:v>
                </c:pt>
                <c:pt idx="6">
                  <c:v>BASE</c:v>
                </c:pt>
                <c:pt idx="7">
                  <c:v>BASE</c:v>
                </c:pt>
                <c:pt idx="8">
                  <c:v>Standoff</c:v>
                </c:pt>
                <c:pt idx="9">
                  <c:v>BODY</c:v>
                </c:pt>
                <c:pt idx="11">
                  <c:v>ADAPTER</c:v>
                </c:pt>
                <c:pt idx="13">
                  <c:v>STOPPER</c:v>
                </c:pt>
                <c:pt idx="14">
                  <c:v>STOPPER</c:v>
                </c:pt>
              </c:strCache>
            </c:strRef>
          </c:cat>
          <c:val>
            <c:numRef>
              <c:f>'03'!$AE$6:$AE$21</c:f>
              <c:numCache>
                <c:formatCode>0%</c:formatCode>
                <c:ptCount val="16"/>
                <c:pt idx="0">
                  <c:v>0.31666666666666665</c:v>
                </c:pt>
                <c:pt idx="1">
                  <c:v>0.31666666666666665</c:v>
                </c:pt>
                <c:pt idx="2">
                  <c:v>0.31666666666666665</c:v>
                </c:pt>
                <c:pt idx="3">
                  <c:v>0.31666666666666665</c:v>
                </c:pt>
                <c:pt idx="4">
                  <c:v>0.31666666666666665</c:v>
                </c:pt>
                <c:pt idx="5">
                  <c:v>0.31666666666666665</c:v>
                </c:pt>
                <c:pt idx="6">
                  <c:v>0.31666666666666665</c:v>
                </c:pt>
                <c:pt idx="7">
                  <c:v>0.31666666666666665</c:v>
                </c:pt>
                <c:pt idx="8">
                  <c:v>0.31666666666666665</c:v>
                </c:pt>
                <c:pt idx="9">
                  <c:v>0.31666666666666665</c:v>
                </c:pt>
                <c:pt idx="10">
                  <c:v>0.31666666666666665</c:v>
                </c:pt>
                <c:pt idx="11">
                  <c:v>0.31666666666666665</c:v>
                </c:pt>
                <c:pt idx="12">
                  <c:v>0.31666666666666665</c:v>
                </c:pt>
                <c:pt idx="13">
                  <c:v>0.31666666666666665</c:v>
                </c:pt>
                <c:pt idx="14">
                  <c:v>0.31666666666666665</c:v>
                </c:pt>
                <c:pt idx="15">
                  <c:v>0.31666666666666665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4B-4EF5-BAE0-32D141E59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CAP</c:v>
                </c:pt>
                <c:pt idx="6">
                  <c:v>BASE</c:v>
                </c:pt>
                <c:pt idx="7">
                  <c:v>BASE</c:v>
                </c:pt>
                <c:pt idx="8">
                  <c:v>Standoff</c:v>
                </c:pt>
                <c:pt idx="9">
                  <c:v>BODY</c:v>
                </c:pt>
                <c:pt idx="11">
                  <c:v>ADAPTER</c:v>
                </c:pt>
                <c:pt idx="13">
                  <c:v>STOPPER</c:v>
                </c:pt>
                <c:pt idx="14">
                  <c:v>STOPPER</c:v>
                </c:pt>
              </c:strCache>
            </c:strRef>
          </c:cat>
          <c:val>
            <c:numRef>
              <c:f>'03'!$L$6:$L$21</c:f>
              <c:numCache>
                <c:formatCode>_(* #,##0_);_(* \(#,##0\);_(* "-"_);_(@_)</c:formatCode>
                <c:ptCount val="16"/>
                <c:pt idx="3">
                  <c:v>849</c:v>
                </c:pt>
                <c:pt idx="4">
                  <c:v>1676</c:v>
                </c:pt>
                <c:pt idx="5">
                  <c:v>12678</c:v>
                </c:pt>
                <c:pt idx="6">
                  <c:v>2832</c:v>
                </c:pt>
                <c:pt idx="7">
                  <c:v>18812</c:v>
                </c:pt>
                <c:pt idx="9">
                  <c:v>9554</c:v>
                </c:pt>
                <c:pt idx="13">
                  <c:v>601</c:v>
                </c:pt>
                <c:pt idx="14">
                  <c:v>12980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0C-49EB-8A5F-AD53646152E4}"/>
            </c:ext>
          </c:extLst>
        </c:ser>
        <c:ser>
          <c:idx val="1"/>
          <c:order val="1"/>
          <c:tx>
            <c:v>계획</c:v>
          </c:tx>
          <c:cat>
            <c:strRef>
              <c:f>'03'!$D$6:$D$21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CAP</c:v>
                </c:pt>
                <c:pt idx="6">
                  <c:v>BASE</c:v>
                </c:pt>
                <c:pt idx="7">
                  <c:v>BASE</c:v>
                </c:pt>
                <c:pt idx="8">
                  <c:v>Standoff</c:v>
                </c:pt>
                <c:pt idx="9">
                  <c:v>BODY</c:v>
                </c:pt>
                <c:pt idx="11">
                  <c:v>ADAPTER</c:v>
                </c:pt>
                <c:pt idx="13">
                  <c:v>STOPPER</c:v>
                </c:pt>
                <c:pt idx="14">
                  <c:v>STOPPER</c:v>
                </c:pt>
              </c:strCache>
            </c:strRef>
          </c:cat>
          <c:val>
            <c:numRef>
              <c:f>'03'!$J$6:$J$21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7228</c:v>
                </c:pt>
                <c:pt idx="3">
                  <c:v>849</c:v>
                </c:pt>
                <c:pt idx="4">
                  <c:v>1676</c:v>
                </c:pt>
                <c:pt idx="5">
                  <c:v>12678</c:v>
                </c:pt>
                <c:pt idx="6">
                  <c:v>2832</c:v>
                </c:pt>
                <c:pt idx="7">
                  <c:v>18812</c:v>
                </c:pt>
                <c:pt idx="8">
                  <c:v>1742</c:v>
                </c:pt>
                <c:pt idx="9">
                  <c:v>9554</c:v>
                </c:pt>
                <c:pt idx="10">
                  <c:v>1192</c:v>
                </c:pt>
                <c:pt idx="11">
                  <c:v>2492</c:v>
                </c:pt>
                <c:pt idx="12">
                  <c:v>3312</c:v>
                </c:pt>
                <c:pt idx="13">
                  <c:v>601</c:v>
                </c:pt>
                <c:pt idx="14">
                  <c:v>12980</c:v>
                </c:pt>
                <c:pt idx="15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0C-49EB-8A5F-AD5364615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21%</c:v>
                </c:pt>
                <c:pt idx="4">
                  <c:v>17%</c:v>
                </c:pt>
                <c:pt idx="5">
                  <c:v>96%</c:v>
                </c:pt>
                <c:pt idx="6">
                  <c:v>75%</c:v>
                </c:pt>
                <c:pt idx="7">
                  <c:v>88%</c:v>
                </c:pt>
                <c:pt idx="8">
                  <c:v>0%</c:v>
                </c:pt>
                <c:pt idx="9">
                  <c:v>92%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17%</c:v>
                </c:pt>
                <c:pt idx="14">
                  <c:v>71%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CAP</c:v>
                </c:pt>
                <c:pt idx="6">
                  <c:v>BASE</c:v>
                </c:pt>
                <c:pt idx="7">
                  <c:v>BASE</c:v>
                </c:pt>
                <c:pt idx="8">
                  <c:v>Standoff</c:v>
                </c:pt>
                <c:pt idx="9">
                  <c:v>BODY</c:v>
                </c:pt>
                <c:pt idx="11">
                  <c:v>ADAPTER</c:v>
                </c:pt>
                <c:pt idx="13">
                  <c:v>STOPPER</c:v>
                </c:pt>
                <c:pt idx="14">
                  <c:v>STOPPER</c:v>
                </c:pt>
              </c:strCache>
            </c:strRef>
          </c:cat>
          <c:val>
            <c:numRef>
              <c:f>'03'!$AD$6:$AD$21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0.20833333333333334</c:v>
                </c:pt>
                <c:pt idx="4">
                  <c:v>0.16666666666666666</c:v>
                </c:pt>
                <c:pt idx="5">
                  <c:v>0.95833333333333337</c:v>
                </c:pt>
                <c:pt idx="6">
                  <c:v>0.75</c:v>
                </c:pt>
                <c:pt idx="7">
                  <c:v>0.875</c:v>
                </c:pt>
                <c:pt idx="8">
                  <c:v>0</c:v>
                </c:pt>
                <c:pt idx="9">
                  <c:v>0.91666666666666663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0.16666666666666666</c:v>
                </c:pt>
                <c:pt idx="14">
                  <c:v>0.70833333333333337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E9-4EF5-87D1-0C217E7977C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5E9-4EF5-87D1-0C217E7977C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CAP</c:v>
                </c:pt>
                <c:pt idx="6">
                  <c:v>BASE</c:v>
                </c:pt>
                <c:pt idx="7">
                  <c:v>BASE</c:v>
                </c:pt>
                <c:pt idx="8">
                  <c:v>Standoff</c:v>
                </c:pt>
                <c:pt idx="9">
                  <c:v>BODY</c:v>
                </c:pt>
                <c:pt idx="11">
                  <c:v>ADAPTER</c:v>
                </c:pt>
                <c:pt idx="13">
                  <c:v>STOPPER</c:v>
                </c:pt>
                <c:pt idx="14">
                  <c:v>STOPPER</c:v>
                </c:pt>
              </c:strCache>
            </c:strRef>
          </c:cat>
          <c:val>
            <c:numRef>
              <c:f>'03'!$AE$6:$AE$21</c:f>
              <c:numCache>
                <c:formatCode>0%</c:formatCode>
                <c:ptCount val="16"/>
                <c:pt idx="0">
                  <c:v>0.31666666666666665</c:v>
                </c:pt>
                <c:pt idx="1">
                  <c:v>0.31666666666666665</c:v>
                </c:pt>
                <c:pt idx="2">
                  <c:v>0.31666666666666665</c:v>
                </c:pt>
                <c:pt idx="3">
                  <c:v>0.31666666666666665</c:v>
                </c:pt>
                <c:pt idx="4">
                  <c:v>0.31666666666666665</c:v>
                </c:pt>
                <c:pt idx="5">
                  <c:v>0.31666666666666665</c:v>
                </c:pt>
                <c:pt idx="6">
                  <c:v>0.31666666666666665</c:v>
                </c:pt>
                <c:pt idx="7">
                  <c:v>0.31666666666666665</c:v>
                </c:pt>
                <c:pt idx="8">
                  <c:v>0.31666666666666665</c:v>
                </c:pt>
                <c:pt idx="9">
                  <c:v>0.31666666666666665</c:v>
                </c:pt>
                <c:pt idx="10">
                  <c:v>0.31666666666666665</c:v>
                </c:pt>
                <c:pt idx="11">
                  <c:v>0.31666666666666665</c:v>
                </c:pt>
                <c:pt idx="12">
                  <c:v>0.31666666666666665</c:v>
                </c:pt>
                <c:pt idx="13">
                  <c:v>0.31666666666666665</c:v>
                </c:pt>
                <c:pt idx="14">
                  <c:v>0.31666666666666665</c:v>
                </c:pt>
                <c:pt idx="15">
                  <c:v>0.31666666666666665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E9-4EF5-87D1-0C217E797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037-4AED-A690-E356A56EA8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0.30555555555555552</c:v>
                </c:pt>
                <c:pt idx="2">
                  <c:v>0.31666666666666665</c:v>
                </c:pt>
                <c:pt idx="5">
                  <c:v>0.38611111111111113</c:v>
                </c:pt>
                <c:pt idx="6">
                  <c:v>0.4</c:v>
                </c:pt>
                <c:pt idx="7">
                  <c:v>0.46944444444444444</c:v>
                </c:pt>
                <c:pt idx="8">
                  <c:v>0.43888888888888894</c:v>
                </c:pt>
                <c:pt idx="9">
                  <c:v>0.40555555555555561</c:v>
                </c:pt>
                <c:pt idx="12">
                  <c:v>0.43888888888888894</c:v>
                </c:pt>
                <c:pt idx="13">
                  <c:v>0.39722222222222225</c:v>
                </c:pt>
                <c:pt idx="14">
                  <c:v>0.46944444444444439</c:v>
                </c:pt>
                <c:pt idx="15">
                  <c:v>0.3888888888888889</c:v>
                </c:pt>
                <c:pt idx="16">
                  <c:v>0.45833333333333326</c:v>
                </c:pt>
                <c:pt idx="19">
                  <c:v>0.38055555555555548</c:v>
                </c:pt>
                <c:pt idx="20">
                  <c:v>0.32500000000000001</c:v>
                </c:pt>
                <c:pt idx="21">
                  <c:v>0.34166666666666667</c:v>
                </c:pt>
                <c:pt idx="22">
                  <c:v>0.35833333333333334</c:v>
                </c:pt>
                <c:pt idx="27">
                  <c:v>0.28888888888888892</c:v>
                </c:pt>
                <c:pt idx="28">
                  <c:v>0.28611111111111109</c:v>
                </c:pt>
                <c:pt idx="29">
                  <c:v>0.36944444444444446</c:v>
                </c:pt>
                <c:pt idx="30">
                  <c:v>0.31944444444444448</c:v>
                </c:pt>
                <c:pt idx="31">
                  <c:v>0.24336917562724017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37-4AED-A690-E356A56EA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037-4AED-A690-E356A56EA8B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37-4AED-A690-E356A56EA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Standoff</c:v>
                </c:pt>
                <c:pt idx="9">
                  <c:v>BODY</c:v>
                </c:pt>
                <c:pt idx="10">
                  <c:v>BODY</c:v>
                </c:pt>
                <c:pt idx="12">
                  <c:v>FLOATING</c:v>
                </c:pt>
                <c:pt idx="14">
                  <c:v>STOPPER</c:v>
                </c:pt>
              </c:strCache>
            </c:strRef>
          </c:cat>
          <c:val>
            <c:numRef>
              <c:f>'06'!$L$6:$L$21</c:f>
              <c:numCache>
                <c:formatCode>_(* #,##0_);_(* \(#,##0\);_(* "-"_);_(@_)</c:formatCode>
                <c:ptCount val="16"/>
                <c:pt idx="3">
                  <c:v>652</c:v>
                </c:pt>
                <c:pt idx="4">
                  <c:v>11964</c:v>
                </c:pt>
                <c:pt idx="5">
                  <c:v>2015</c:v>
                </c:pt>
                <c:pt idx="6">
                  <c:v>3751</c:v>
                </c:pt>
                <c:pt idx="7">
                  <c:v>17048</c:v>
                </c:pt>
                <c:pt idx="9">
                  <c:v>2280</c:v>
                </c:pt>
                <c:pt idx="10">
                  <c:v>7814</c:v>
                </c:pt>
                <c:pt idx="12">
                  <c:v>2363</c:v>
                </c:pt>
                <c:pt idx="14">
                  <c:v>20160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EC-486A-84C5-0DB6A43DF231}"/>
            </c:ext>
          </c:extLst>
        </c:ser>
        <c:ser>
          <c:idx val="1"/>
          <c:order val="1"/>
          <c:tx>
            <c:v>계획</c:v>
          </c:tx>
          <c:cat>
            <c:strRef>
              <c:f>'06'!$D$6:$D$21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Standoff</c:v>
                </c:pt>
                <c:pt idx="9">
                  <c:v>BODY</c:v>
                </c:pt>
                <c:pt idx="10">
                  <c:v>BODY</c:v>
                </c:pt>
                <c:pt idx="12">
                  <c:v>FLOATING</c:v>
                </c:pt>
                <c:pt idx="14">
                  <c:v>STOPPER</c:v>
                </c:pt>
              </c:strCache>
            </c:strRef>
          </c:cat>
          <c:val>
            <c:numRef>
              <c:f>'06'!$J$6:$J$21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7228</c:v>
                </c:pt>
                <c:pt idx="3">
                  <c:v>652</c:v>
                </c:pt>
                <c:pt idx="4">
                  <c:v>11964</c:v>
                </c:pt>
                <c:pt idx="5">
                  <c:v>2015</c:v>
                </c:pt>
                <c:pt idx="6">
                  <c:v>3751</c:v>
                </c:pt>
                <c:pt idx="7">
                  <c:v>17048</c:v>
                </c:pt>
                <c:pt idx="8">
                  <c:v>1742</c:v>
                </c:pt>
                <c:pt idx="9">
                  <c:v>2280</c:v>
                </c:pt>
                <c:pt idx="10">
                  <c:v>7814</c:v>
                </c:pt>
                <c:pt idx="11">
                  <c:v>1192</c:v>
                </c:pt>
                <c:pt idx="12">
                  <c:v>2363</c:v>
                </c:pt>
                <c:pt idx="13">
                  <c:v>3312</c:v>
                </c:pt>
                <c:pt idx="14">
                  <c:v>20160</c:v>
                </c:pt>
                <c:pt idx="15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EC-486A-84C5-0DB6A43DF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17%</c:v>
                </c:pt>
                <c:pt idx="4">
                  <c:v>88%</c:v>
                </c:pt>
                <c:pt idx="5">
                  <c:v>42%</c:v>
                </c:pt>
                <c:pt idx="6">
                  <c:v>88%</c:v>
                </c:pt>
                <c:pt idx="7">
                  <c:v>92%</c:v>
                </c:pt>
                <c:pt idx="8">
                  <c:v>0%</c:v>
                </c:pt>
                <c:pt idx="9">
                  <c:v>21%</c:v>
                </c:pt>
                <c:pt idx="10">
                  <c:v>75%</c:v>
                </c:pt>
                <c:pt idx="11">
                  <c:v>0%</c:v>
                </c:pt>
                <c:pt idx="12">
                  <c:v>58%</c:v>
                </c:pt>
                <c:pt idx="13">
                  <c:v>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Standoff</c:v>
                </c:pt>
                <c:pt idx="9">
                  <c:v>BODY</c:v>
                </c:pt>
                <c:pt idx="10">
                  <c:v>BODY</c:v>
                </c:pt>
                <c:pt idx="12">
                  <c:v>FLOATING</c:v>
                </c:pt>
                <c:pt idx="14">
                  <c:v>STOPPER</c:v>
                </c:pt>
              </c:strCache>
            </c:strRef>
          </c:cat>
          <c:val>
            <c:numRef>
              <c:f>'06'!$AD$6:$AD$21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0.875</c:v>
                </c:pt>
                <c:pt idx="5">
                  <c:v>0.41666666666666669</c:v>
                </c:pt>
                <c:pt idx="6">
                  <c:v>0.875</c:v>
                </c:pt>
                <c:pt idx="7">
                  <c:v>0.91666666666666663</c:v>
                </c:pt>
                <c:pt idx="8">
                  <c:v>0</c:v>
                </c:pt>
                <c:pt idx="9">
                  <c:v>0.20833333333333334</c:v>
                </c:pt>
                <c:pt idx="10">
                  <c:v>0.75</c:v>
                </c:pt>
                <c:pt idx="11">
                  <c:v>0</c:v>
                </c:pt>
                <c:pt idx="12">
                  <c:v>0.58333333333333337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E0-4F23-B46F-85F243572F0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5E0-4F23-B46F-85F243572F0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Standoff</c:v>
                </c:pt>
                <c:pt idx="9">
                  <c:v>BODY</c:v>
                </c:pt>
                <c:pt idx="10">
                  <c:v>BODY</c:v>
                </c:pt>
                <c:pt idx="12">
                  <c:v>FLOATING</c:v>
                </c:pt>
                <c:pt idx="14">
                  <c:v>STOPPER</c:v>
                </c:pt>
              </c:strCache>
            </c:strRef>
          </c:cat>
          <c:val>
            <c:numRef>
              <c:f>'06'!$AE$6:$AE$21</c:f>
              <c:numCache>
                <c:formatCode>0%</c:formatCode>
                <c:ptCount val="16"/>
                <c:pt idx="0">
                  <c:v>0.38611111111111113</c:v>
                </c:pt>
                <c:pt idx="1">
                  <c:v>0.38611111111111113</c:v>
                </c:pt>
                <c:pt idx="2">
                  <c:v>0.38611111111111113</c:v>
                </c:pt>
                <c:pt idx="3">
                  <c:v>0.38611111111111113</c:v>
                </c:pt>
                <c:pt idx="4">
                  <c:v>0.38611111111111113</c:v>
                </c:pt>
                <c:pt idx="5">
                  <c:v>0.38611111111111113</c:v>
                </c:pt>
                <c:pt idx="6">
                  <c:v>0.38611111111111113</c:v>
                </c:pt>
                <c:pt idx="7">
                  <c:v>0.38611111111111113</c:v>
                </c:pt>
                <c:pt idx="8">
                  <c:v>0.38611111111111113</c:v>
                </c:pt>
                <c:pt idx="9">
                  <c:v>0.38611111111111113</c:v>
                </c:pt>
                <c:pt idx="10">
                  <c:v>0.38611111111111113</c:v>
                </c:pt>
                <c:pt idx="11">
                  <c:v>0.38611111111111113</c:v>
                </c:pt>
                <c:pt idx="12">
                  <c:v>0.38611111111111113</c:v>
                </c:pt>
                <c:pt idx="13">
                  <c:v>0.38611111111111113</c:v>
                </c:pt>
                <c:pt idx="14">
                  <c:v>0.38611111111111113</c:v>
                </c:pt>
                <c:pt idx="15">
                  <c:v>0.38611111111111113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E0-4F23-B46F-85F243572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Standoff</c:v>
                </c:pt>
                <c:pt idx="9">
                  <c:v>BODY</c:v>
                </c:pt>
                <c:pt idx="10">
                  <c:v>BODY</c:v>
                </c:pt>
                <c:pt idx="12">
                  <c:v>FLOATING</c:v>
                </c:pt>
                <c:pt idx="14">
                  <c:v>STOPPER</c:v>
                </c:pt>
              </c:strCache>
            </c:strRef>
          </c:cat>
          <c:val>
            <c:numRef>
              <c:f>'06'!$L$6:$L$21</c:f>
              <c:numCache>
                <c:formatCode>_(* #,##0_);_(* \(#,##0\);_(* "-"_);_(@_)</c:formatCode>
                <c:ptCount val="16"/>
                <c:pt idx="3">
                  <c:v>652</c:v>
                </c:pt>
                <c:pt idx="4">
                  <c:v>11964</c:v>
                </c:pt>
                <c:pt idx="5">
                  <c:v>2015</c:v>
                </c:pt>
                <c:pt idx="6">
                  <c:v>3751</c:v>
                </c:pt>
                <c:pt idx="7">
                  <c:v>17048</c:v>
                </c:pt>
                <c:pt idx="9">
                  <c:v>2280</c:v>
                </c:pt>
                <c:pt idx="10">
                  <c:v>7814</c:v>
                </c:pt>
                <c:pt idx="12">
                  <c:v>2363</c:v>
                </c:pt>
                <c:pt idx="14">
                  <c:v>20160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89-4DF9-9BFF-4B9F2A40BE7E}"/>
            </c:ext>
          </c:extLst>
        </c:ser>
        <c:ser>
          <c:idx val="1"/>
          <c:order val="1"/>
          <c:tx>
            <c:v>계획</c:v>
          </c:tx>
          <c:cat>
            <c:strRef>
              <c:f>'06'!$D$6:$D$21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Standoff</c:v>
                </c:pt>
                <c:pt idx="9">
                  <c:v>BODY</c:v>
                </c:pt>
                <c:pt idx="10">
                  <c:v>BODY</c:v>
                </c:pt>
                <c:pt idx="12">
                  <c:v>FLOATING</c:v>
                </c:pt>
                <c:pt idx="14">
                  <c:v>STOPPER</c:v>
                </c:pt>
              </c:strCache>
            </c:strRef>
          </c:cat>
          <c:val>
            <c:numRef>
              <c:f>'06'!$J$6:$J$21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7228</c:v>
                </c:pt>
                <c:pt idx="3">
                  <c:v>652</c:v>
                </c:pt>
                <c:pt idx="4">
                  <c:v>11964</c:v>
                </c:pt>
                <c:pt idx="5">
                  <c:v>2015</c:v>
                </c:pt>
                <c:pt idx="6">
                  <c:v>3751</c:v>
                </c:pt>
                <c:pt idx="7">
                  <c:v>17048</c:v>
                </c:pt>
                <c:pt idx="8">
                  <c:v>1742</c:v>
                </c:pt>
                <c:pt idx="9">
                  <c:v>2280</c:v>
                </c:pt>
                <c:pt idx="10">
                  <c:v>7814</c:v>
                </c:pt>
                <c:pt idx="11">
                  <c:v>1192</c:v>
                </c:pt>
                <c:pt idx="12">
                  <c:v>2363</c:v>
                </c:pt>
                <c:pt idx="13">
                  <c:v>3312</c:v>
                </c:pt>
                <c:pt idx="14">
                  <c:v>20160</c:v>
                </c:pt>
                <c:pt idx="15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89-4DF9-9BFF-4B9F2A40B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17%</c:v>
                </c:pt>
                <c:pt idx="4">
                  <c:v>88%</c:v>
                </c:pt>
                <c:pt idx="5">
                  <c:v>42%</c:v>
                </c:pt>
                <c:pt idx="6">
                  <c:v>88%</c:v>
                </c:pt>
                <c:pt idx="7">
                  <c:v>92%</c:v>
                </c:pt>
                <c:pt idx="8">
                  <c:v>0%</c:v>
                </c:pt>
                <c:pt idx="9">
                  <c:v>21%</c:v>
                </c:pt>
                <c:pt idx="10">
                  <c:v>75%</c:v>
                </c:pt>
                <c:pt idx="11">
                  <c:v>0%</c:v>
                </c:pt>
                <c:pt idx="12">
                  <c:v>58%</c:v>
                </c:pt>
                <c:pt idx="13">
                  <c:v>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Standoff</c:v>
                </c:pt>
                <c:pt idx="9">
                  <c:v>BODY</c:v>
                </c:pt>
                <c:pt idx="10">
                  <c:v>BODY</c:v>
                </c:pt>
                <c:pt idx="12">
                  <c:v>FLOATING</c:v>
                </c:pt>
                <c:pt idx="14">
                  <c:v>STOPPER</c:v>
                </c:pt>
              </c:strCache>
            </c:strRef>
          </c:cat>
          <c:val>
            <c:numRef>
              <c:f>'06'!$AD$6:$AD$21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0.875</c:v>
                </c:pt>
                <c:pt idx="5">
                  <c:v>0.41666666666666669</c:v>
                </c:pt>
                <c:pt idx="6">
                  <c:v>0.875</c:v>
                </c:pt>
                <c:pt idx="7">
                  <c:v>0.91666666666666663</c:v>
                </c:pt>
                <c:pt idx="8">
                  <c:v>0</c:v>
                </c:pt>
                <c:pt idx="9">
                  <c:v>0.20833333333333334</c:v>
                </c:pt>
                <c:pt idx="10">
                  <c:v>0.75</c:v>
                </c:pt>
                <c:pt idx="11">
                  <c:v>0</c:v>
                </c:pt>
                <c:pt idx="12">
                  <c:v>0.58333333333333337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D1-40AF-ACEF-3026A0FDA1E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0D1-40AF-ACEF-3026A0FDA1E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Standoff</c:v>
                </c:pt>
                <c:pt idx="9">
                  <c:v>BODY</c:v>
                </c:pt>
                <c:pt idx="10">
                  <c:v>BODY</c:v>
                </c:pt>
                <c:pt idx="12">
                  <c:v>FLOATING</c:v>
                </c:pt>
                <c:pt idx="14">
                  <c:v>STOPPER</c:v>
                </c:pt>
              </c:strCache>
            </c:strRef>
          </c:cat>
          <c:val>
            <c:numRef>
              <c:f>'06'!$AE$6:$AE$21</c:f>
              <c:numCache>
                <c:formatCode>0%</c:formatCode>
                <c:ptCount val="16"/>
                <c:pt idx="0">
                  <c:v>0.38611111111111113</c:v>
                </c:pt>
                <c:pt idx="1">
                  <c:v>0.38611111111111113</c:v>
                </c:pt>
                <c:pt idx="2">
                  <c:v>0.38611111111111113</c:v>
                </c:pt>
                <c:pt idx="3">
                  <c:v>0.38611111111111113</c:v>
                </c:pt>
                <c:pt idx="4">
                  <c:v>0.38611111111111113</c:v>
                </c:pt>
                <c:pt idx="5">
                  <c:v>0.38611111111111113</c:v>
                </c:pt>
                <c:pt idx="6">
                  <c:v>0.38611111111111113</c:v>
                </c:pt>
                <c:pt idx="7">
                  <c:v>0.38611111111111113</c:v>
                </c:pt>
                <c:pt idx="8">
                  <c:v>0.38611111111111113</c:v>
                </c:pt>
                <c:pt idx="9">
                  <c:v>0.38611111111111113</c:v>
                </c:pt>
                <c:pt idx="10">
                  <c:v>0.38611111111111113</c:v>
                </c:pt>
                <c:pt idx="11">
                  <c:v>0.38611111111111113</c:v>
                </c:pt>
                <c:pt idx="12">
                  <c:v>0.38611111111111113</c:v>
                </c:pt>
                <c:pt idx="13">
                  <c:v>0.38611111111111113</c:v>
                </c:pt>
                <c:pt idx="14">
                  <c:v>0.38611111111111113</c:v>
                </c:pt>
                <c:pt idx="15">
                  <c:v>0.38611111111111113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D1-40AF-ACEF-3026A0FDA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DC5-43C7-A5E2-CF9C10557E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0.30555555555555552</c:v>
                </c:pt>
                <c:pt idx="2">
                  <c:v>0.31666666666666665</c:v>
                </c:pt>
                <c:pt idx="5">
                  <c:v>0.38611111111111113</c:v>
                </c:pt>
                <c:pt idx="6">
                  <c:v>0.4</c:v>
                </c:pt>
                <c:pt idx="7">
                  <c:v>0.46944444444444444</c:v>
                </c:pt>
                <c:pt idx="8">
                  <c:v>0.43888888888888894</c:v>
                </c:pt>
                <c:pt idx="9">
                  <c:v>0.40555555555555561</c:v>
                </c:pt>
                <c:pt idx="12">
                  <c:v>0.43888888888888894</c:v>
                </c:pt>
                <c:pt idx="13">
                  <c:v>0.39722222222222225</c:v>
                </c:pt>
                <c:pt idx="14">
                  <c:v>0.46944444444444439</c:v>
                </c:pt>
                <c:pt idx="15">
                  <c:v>0.3888888888888889</c:v>
                </c:pt>
                <c:pt idx="16">
                  <c:v>0.45833333333333326</c:v>
                </c:pt>
                <c:pt idx="19">
                  <c:v>0.38055555555555548</c:v>
                </c:pt>
                <c:pt idx="20">
                  <c:v>0.32500000000000001</c:v>
                </c:pt>
                <c:pt idx="21">
                  <c:v>0.34166666666666667</c:v>
                </c:pt>
                <c:pt idx="22">
                  <c:v>0.35833333333333334</c:v>
                </c:pt>
                <c:pt idx="27">
                  <c:v>0.28888888888888892</c:v>
                </c:pt>
                <c:pt idx="28">
                  <c:v>0.28611111111111109</c:v>
                </c:pt>
                <c:pt idx="29">
                  <c:v>0.36944444444444446</c:v>
                </c:pt>
                <c:pt idx="30">
                  <c:v>0.31944444444444448</c:v>
                </c:pt>
                <c:pt idx="31">
                  <c:v>0.24336917562724017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C5-43C7-A5E2-CF9C10557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DC5-43C7-A5E2-CF9C10557EE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C5-43C7-A5E2-CF9C10557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1">
                  <c:v>FLOATING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'07'!$L$6:$L$20</c:f>
              <c:numCache>
                <c:formatCode>_(* #,##0_);_(* \(#,##0\);_(* "-"_);_(@_)</c:formatCode>
                <c:ptCount val="15"/>
                <c:pt idx="3">
                  <c:v>3194</c:v>
                </c:pt>
                <c:pt idx="4">
                  <c:v>11004</c:v>
                </c:pt>
                <c:pt idx="7">
                  <c:v>21840</c:v>
                </c:pt>
                <c:pt idx="8">
                  <c:v>689</c:v>
                </c:pt>
                <c:pt idx="9">
                  <c:v>12372</c:v>
                </c:pt>
                <c:pt idx="12">
                  <c:v>4459</c:v>
                </c:pt>
                <c:pt idx="13">
                  <c:v>21332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2F-4EFB-9A19-808C393B7D8A}"/>
            </c:ext>
          </c:extLst>
        </c:ser>
        <c:ser>
          <c:idx val="1"/>
          <c:order val="1"/>
          <c:tx>
            <c:v>계획</c:v>
          </c:tx>
          <c:cat>
            <c:strRef>
              <c:f>'07'!$D$6:$D$20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1">
                  <c:v>FLOATING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'07'!$J$6:$J$20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7228</c:v>
                </c:pt>
                <c:pt idx="3">
                  <c:v>3194</c:v>
                </c:pt>
                <c:pt idx="4">
                  <c:v>11004</c:v>
                </c:pt>
                <c:pt idx="5">
                  <c:v>2015</c:v>
                </c:pt>
                <c:pt idx="6">
                  <c:v>3751</c:v>
                </c:pt>
                <c:pt idx="7">
                  <c:v>21840</c:v>
                </c:pt>
                <c:pt idx="8">
                  <c:v>689</c:v>
                </c:pt>
                <c:pt idx="9">
                  <c:v>12372</c:v>
                </c:pt>
                <c:pt idx="10">
                  <c:v>1192</c:v>
                </c:pt>
                <c:pt idx="11">
                  <c:v>2363</c:v>
                </c:pt>
                <c:pt idx="12">
                  <c:v>4459</c:v>
                </c:pt>
                <c:pt idx="13">
                  <c:v>21332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2F-4EFB-9A19-808C393B7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75%</c:v>
                </c:pt>
                <c:pt idx="4">
                  <c:v>88%</c:v>
                </c:pt>
                <c:pt idx="5">
                  <c:v>0%</c:v>
                </c:pt>
                <c:pt idx="6">
                  <c:v>0%</c:v>
                </c:pt>
                <c:pt idx="7">
                  <c:v>100%</c:v>
                </c:pt>
                <c:pt idx="8">
                  <c:v>38%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1">
                  <c:v>FLOATING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'07'!$AD$6:$AD$20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</c:v>
                </c:pt>
                <c:pt idx="4">
                  <c:v>0.875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0.375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76-4BED-BB1D-4E6BF26BD74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576-4BED-BB1D-4E6BF26BD74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1">
                  <c:v>FLOATING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'07'!$AE$6:$AE$20</c:f>
              <c:numCache>
                <c:formatCode>0%</c:formatCode>
                <c:ptCount val="15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76-4BED-BB1D-4E6BF26BD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1">
                  <c:v>FLOATING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'07'!$L$6:$L$20</c:f>
              <c:numCache>
                <c:formatCode>_(* #,##0_);_(* \(#,##0\);_(* "-"_);_(@_)</c:formatCode>
                <c:ptCount val="15"/>
                <c:pt idx="3">
                  <c:v>3194</c:v>
                </c:pt>
                <c:pt idx="4">
                  <c:v>11004</c:v>
                </c:pt>
                <c:pt idx="7">
                  <c:v>21840</c:v>
                </c:pt>
                <c:pt idx="8">
                  <c:v>689</c:v>
                </c:pt>
                <c:pt idx="9">
                  <c:v>12372</c:v>
                </c:pt>
                <c:pt idx="12">
                  <c:v>4459</c:v>
                </c:pt>
                <c:pt idx="13">
                  <c:v>21332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08-4088-9AC7-70B8B0A1F5D4}"/>
            </c:ext>
          </c:extLst>
        </c:ser>
        <c:ser>
          <c:idx val="1"/>
          <c:order val="1"/>
          <c:tx>
            <c:v>계획</c:v>
          </c:tx>
          <c:cat>
            <c:strRef>
              <c:f>'07'!$D$6:$D$20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1">
                  <c:v>FLOATING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'07'!$J$6:$J$20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7228</c:v>
                </c:pt>
                <c:pt idx="3">
                  <c:v>3194</c:v>
                </c:pt>
                <c:pt idx="4">
                  <c:v>11004</c:v>
                </c:pt>
                <c:pt idx="5">
                  <c:v>2015</c:v>
                </c:pt>
                <c:pt idx="6">
                  <c:v>3751</c:v>
                </c:pt>
                <c:pt idx="7">
                  <c:v>21840</c:v>
                </c:pt>
                <c:pt idx="8">
                  <c:v>689</c:v>
                </c:pt>
                <c:pt idx="9">
                  <c:v>12372</c:v>
                </c:pt>
                <c:pt idx="10">
                  <c:v>1192</c:v>
                </c:pt>
                <c:pt idx="11">
                  <c:v>2363</c:v>
                </c:pt>
                <c:pt idx="12">
                  <c:v>4459</c:v>
                </c:pt>
                <c:pt idx="13">
                  <c:v>21332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08-4088-9AC7-70B8B0A1F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75%</c:v>
                </c:pt>
                <c:pt idx="4">
                  <c:v>88%</c:v>
                </c:pt>
                <c:pt idx="5">
                  <c:v>0%</c:v>
                </c:pt>
                <c:pt idx="6">
                  <c:v>0%</c:v>
                </c:pt>
                <c:pt idx="7">
                  <c:v>100%</c:v>
                </c:pt>
                <c:pt idx="8">
                  <c:v>38%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1">
                  <c:v>FLOATING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'07'!$AD$6:$AD$20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</c:v>
                </c:pt>
                <c:pt idx="4">
                  <c:v>0.875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0.375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A1-48E0-A485-599E223C61A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CA1-48E0-A485-599E223C61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1">
                  <c:v>FLOATING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'07'!$AE$6:$AE$20</c:f>
              <c:numCache>
                <c:formatCode>0%</c:formatCode>
                <c:ptCount val="15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A1-48E0-A485-599E223C6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F15-45F5-8401-D9D6647DAD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0.30555555555555552</c:v>
                </c:pt>
                <c:pt idx="2">
                  <c:v>0.31666666666666665</c:v>
                </c:pt>
                <c:pt idx="5">
                  <c:v>0.38611111111111113</c:v>
                </c:pt>
                <c:pt idx="6">
                  <c:v>0.4</c:v>
                </c:pt>
                <c:pt idx="7">
                  <c:v>0.46944444444444444</c:v>
                </c:pt>
                <c:pt idx="8">
                  <c:v>0.43888888888888894</c:v>
                </c:pt>
                <c:pt idx="9">
                  <c:v>0.40555555555555561</c:v>
                </c:pt>
                <c:pt idx="12">
                  <c:v>0.43888888888888894</c:v>
                </c:pt>
                <c:pt idx="13">
                  <c:v>0.39722222222222225</c:v>
                </c:pt>
                <c:pt idx="14">
                  <c:v>0.46944444444444439</c:v>
                </c:pt>
                <c:pt idx="15">
                  <c:v>0.3888888888888889</c:v>
                </c:pt>
                <c:pt idx="16">
                  <c:v>0.45833333333333326</c:v>
                </c:pt>
                <c:pt idx="19">
                  <c:v>0.38055555555555548</c:v>
                </c:pt>
                <c:pt idx="20">
                  <c:v>0.32500000000000001</c:v>
                </c:pt>
                <c:pt idx="21">
                  <c:v>0.34166666666666667</c:v>
                </c:pt>
                <c:pt idx="22">
                  <c:v>0.35833333333333334</c:v>
                </c:pt>
                <c:pt idx="27">
                  <c:v>0.28888888888888892</c:v>
                </c:pt>
                <c:pt idx="28">
                  <c:v>0.28611111111111109</c:v>
                </c:pt>
                <c:pt idx="29">
                  <c:v>0.36944444444444446</c:v>
                </c:pt>
                <c:pt idx="30">
                  <c:v>0.31944444444444448</c:v>
                </c:pt>
                <c:pt idx="31">
                  <c:v>0.24336917562724017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15-45F5-8401-D9D6647DA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F15-45F5-8401-D9D6647DAD0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15-45F5-8401-D9D6647DA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SLIDER</c:v>
                </c:pt>
                <c:pt idx="4">
                  <c:v>SP</c:v>
                </c:pt>
                <c:pt idx="5">
                  <c:v>CAP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ADAPTER</c:v>
                </c:pt>
                <c:pt idx="11">
                  <c:v>FLOATING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3">
                  <c:v>304</c:v>
                </c:pt>
                <c:pt idx="4">
                  <c:v>13758</c:v>
                </c:pt>
                <c:pt idx="5">
                  <c:v>12678</c:v>
                </c:pt>
                <c:pt idx="6">
                  <c:v>2118</c:v>
                </c:pt>
                <c:pt idx="7">
                  <c:v>19920</c:v>
                </c:pt>
                <c:pt idx="8">
                  <c:v>367</c:v>
                </c:pt>
                <c:pt idx="9">
                  <c:v>12448</c:v>
                </c:pt>
                <c:pt idx="10">
                  <c:v>2113</c:v>
                </c:pt>
                <c:pt idx="12">
                  <c:v>4279</c:v>
                </c:pt>
                <c:pt idx="13">
                  <c:v>21348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CC-40FF-9AC0-A872A7737487}"/>
            </c:ext>
          </c:extLst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SLIDER</c:v>
                </c:pt>
                <c:pt idx="4">
                  <c:v>SP</c:v>
                </c:pt>
                <c:pt idx="5">
                  <c:v>CAP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ADAPTER</c:v>
                </c:pt>
                <c:pt idx="11">
                  <c:v>FLOATING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7228</c:v>
                </c:pt>
                <c:pt idx="3">
                  <c:v>304</c:v>
                </c:pt>
                <c:pt idx="4">
                  <c:v>13758</c:v>
                </c:pt>
                <c:pt idx="5">
                  <c:v>12678</c:v>
                </c:pt>
                <c:pt idx="6">
                  <c:v>2118</c:v>
                </c:pt>
                <c:pt idx="7">
                  <c:v>19920</c:v>
                </c:pt>
                <c:pt idx="8">
                  <c:v>367</c:v>
                </c:pt>
                <c:pt idx="9">
                  <c:v>12448</c:v>
                </c:pt>
                <c:pt idx="10">
                  <c:v>2113</c:v>
                </c:pt>
                <c:pt idx="11">
                  <c:v>2363</c:v>
                </c:pt>
                <c:pt idx="12">
                  <c:v>4279</c:v>
                </c:pt>
                <c:pt idx="13">
                  <c:v>21348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CC-40FF-9AC0-A872A7737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8%</c:v>
                </c:pt>
                <c:pt idx="4">
                  <c:v>92%</c:v>
                </c:pt>
                <c:pt idx="5">
                  <c:v>96%</c:v>
                </c:pt>
                <c:pt idx="6">
                  <c:v>46%</c:v>
                </c:pt>
                <c:pt idx="7">
                  <c:v>92%</c:v>
                </c:pt>
                <c:pt idx="8">
                  <c:v>29%</c:v>
                </c:pt>
                <c:pt idx="9">
                  <c:v>100%</c:v>
                </c:pt>
                <c:pt idx="10">
                  <c:v>50%</c:v>
                </c:pt>
                <c:pt idx="11">
                  <c:v>0%</c:v>
                </c:pt>
                <c:pt idx="12">
                  <c:v>92%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SLIDER</c:v>
                </c:pt>
                <c:pt idx="4">
                  <c:v>SP</c:v>
                </c:pt>
                <c:pt idx="5">
                  <c:v>CAP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ADAPTER</c:v>
                </c:pt>
                <c:pt idx="11">
                  <c:v>FLOATING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8.3333333333333329E-2</c:v>
                </c:pt>
                <c:pt idx="4">
                  <c:v>0.91666666666666663</c:v>
                </c:pt>
                <c:pt idx="5">
                  <c:v>0.95833333333333337</c:v>
                </c:pt>
                <c:pt idx="6">
                  <c:v>0.45833333333333331</c:v>
                </c:pt>
                <c:pt idx="7">
                  <c:v>0.91666666666666663</c:v>
                </c:pt>
                <c:pt idx="8">
                  <c:v>0.29166666666666669</c:v>
                </c:pt>
                <c:pt idx="9">
                  <c:v>1</c:v>
                </c:pt>
                <c:pt idx="10">
                  <c:v>0.5</c:v>
                </c:pt>
                <c:pt idx="11">
                  <c:v>0</c:v>
                </c:pt>
                <c:pt idx="12">
                  <c:v>0.91666666666666663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7A-4B55-859C-4D81191C947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57A-4B55-859C-4D81191C947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SLIDER</c:v>
                </c:pt>
                <c:pt idx="4">
                  <c:v>SP</c:v>
                </c:pt>
                <c:pt idx="5">
                  <c:v>CAP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ADAPTER</c:v>
                </c:pt>
                <c:pt idx="11">
                  <c:v>FLOATING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0.46944444444444444</c:v>
                </c:pt>
                <c:pt idx="1">
                  <c:v>0.46944444444444444</c:v>
                </c:pt>
                <c:pt idx="2">
                  <c:v>0.46944444444444444</c:v>
                </c:pt>
                <c:pt idx="3">
                  <c:v>0.46944444444444444</c:v>
                </c:pt>
                <c:pt idx="4">
                  <c:v>0.46944444444444444</c:v>
                </c:pt>
                <c:pt idx="5">
                  <c:v>0.46944444444444444</c:v>
                </c:pt>
                <c:pt idx="6">
                  <c:v>0.46944444444444444</c:v>
                </c:pt>
                <c:pt idx="7">
                  <c:v>0.46944444444444444</c:v>
                </c:pt>
                <c:pt idx="8">
                  <c:v>0.46944444444444444</c:v>
                </c:pt>
                <c:pt idx="9">
                  <c:v>0.46944444444444444</c:v>
                </c:pt>
                <c:pt idx="10">
                  <c:v>0.46944444444444444</c:v>
                </c:pt>
                <c:pt idx="11">
                  <c:v>0.46944444444444444</c:v>
                </c:pt>
                <c:pt idx="12">
                  <c:v>0.46944444444444444</c:v>
                </c:pt>
                <c:pt idx="13">
                  <c:v>0.46944444444444444</c:v>
                </c:pt>
                <c:pt idx="14">
                  <c:v>0.46944444444444444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7A-4B55-859C-4D81191C9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SLIDER</c:v>
                </c:pt>
                <c:pt idx="4">
                  <c:v>SP</c:v>
                </c:pt>
                <c:pt idx="5">
                  <c:v>CAP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ADAPTER</c:v>
                </c:pt>
                <c:pt idx="11">
                  <c:v>FLOATING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3">
                  <c:v>304</c:v>
                </c:pt>
                <c:pt idx="4">
                  <c:v>13758</c:v>
                </c:pt>
                <c:pt idx="5">
                  <c:v>12678</c:v>
                </c:pt>
                <c:pt idx="6">
                  <c:v>2118</c:v>
                </c:pt>
                <c:pt idx="7">
                  <c:v>19920</c:v>
                </c:pt>
                <c:pt idx="8">
                  <c:v>367</c:v>
                </c:pt>
                <c:pt idx="9">
                  <c:v>12448</c:v>
                </c:pt>
                <c:pt idx="10">
                  <c:v>2113</c:v>
                </c:pt>
                <c:pt idx="12">
                  <c:v>4279</c:v>
                </c:pt>
                <c:pt idx="13">
                  <c:v>21348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17-4B04-8D27-3B215011F577}"/>
            </c:ext>
          </c:extLst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SLIDER</c:v>
                </c:pt>
                <c:pt idx="4">
                  <c:v>SP</c:v>
                </c:pt>
                <c:pt idx="5">
                  <c:v>CAP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ADAPTER</c:v>
                </c:pt>
                <c:pt idx="11">
                  <c:v>FLOATING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7228</c:v>
                </c:pt>
                <c:pt idx="3">
                  <c:v>304</c:v>
                </c:pt>
                <c:pt idx="4">
                  <c:v>13758</c:v>
                </c:pt>
                <c:pt idx="5">
                  <c:v>12678</c:v>
                </c:pt>
                <c:pt idx="6">
                  <c:v>2118</c:v>
                </c:pt>
                <c:pt idx="7">
                  <c:v>19920</c:v>
                </c:pt>
                <c:pt idx="8">
                  <c:v>367</c:v>
                </c:pt>
                <c:pt idx="9">
                  <c:v>12448</c:v>
                </c:pt>
                <c:pt idx="10">
                  <c:v>2113</c:v>
                </c:pt>
                <c:pt idx="11">
                  <c:v>2363</c:v>
                </c:pt>
                <c:pt idx="12">
                  <c:v>4279</c:v>
                </c:pt>
                <c:pt idx="13">
                  <c:v>21348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17-4B04-8D27-3B215011F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8%</c:v>
                </c:pt>
                <c:pt idx="4">
                  <c:v>92%</c:v>
                </c:pt>
                <c:pt idx="5">
                  <c:v>96%</c:v>
                </c:pt>
                <c:pt idx="6">
                  <c:v>46%</c:v>
                </c:pt>
                <c:pt idx="7">
                  <c:v>92%</c:v>
                </c:pt>
                <c:pt idx="8">
                  <c:v>29%</c:v>
                </c:pt>
                <c:pt idx="9">
                  <c:v>100%</c:v>
                </c:pt>
                <c:pt idx="10">
                  <c:v>50%</c:v>
                </c:pt>
                <c:pt idx="11">
                  <c:v>0%</c:v>
                </c:pt>
                <c:pt idx="12">
                  <c:v>92%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SLIDER</c:v>
                </c:pt>
                <c:pt idx="4">
                  <c:v>SP</c:v>
                </c:pt>
                <c:pt idx="5">
                  <c:v>CAP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ADAPTER</c:v>
                </c:pt>
                <c:pt idx="11">
                  <c:v>FLOATING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8.3333333333333329E-2</c:v>
                </c:pt>
                <c:pt idx="4">
                  <c:v>0.91666666666666663</c:v>
                </c:pt>
                <c:pt idx="5">
                  <c:v>0.95833333333333337</c:v>
                </c:pt>
                <c:pt idx="6">
                  <c:v>0.45833333333333331</c:v>
                </c:pt>
                <c:pt idx="7">
                  <c:v>0.91666666666666663</c:v>
                </c:pt>
                <c:pt idx="8">
                  <c:v>0.29166666666666669</c:v>
                </c:pt>
                <c:pt idx="9">
                  <c:v>1</c:v>
                </c:pt>
                <c:pt idx="10">
                  <c:v>0.5</c:v>
                </c:pt>
                <c:pt idx="11">
                  <c:v>0</c:v>
                </c:pt>
                <c:pt idx="12">
                  <c:v>0.91666666666666663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2E-43F5-8CED-9945C2E61F6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42E-43F5-8CED-9945C2E61F6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SLIDER</c:v>
                </c:pt>
                <c:pt idx="4">
                  <c:v>SP</c:v>
                </c:pt>
                <c:pt idx="5">
                  <c:v>CAP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ADAPTER</c:v>
                </c:pt>
                <c:pt idx="11">
                  <c:v>FLOATING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0.46944444444444444</c:v>
                </c:pt>
                <c:pt idx="1">
                  <c:v>0.46944444444444444</c:v>
                </c:pt>
                <c:pt idx="2">
                  <c:v>0.46944444444444444</c:v>
                </c:pt>
                <c:pt idx="3">
                  <c:v>0.46944444444444444</c:v>
                </c:pt>
                <c:pt idx="4">
                  <c:v>0.46944444444444444</c:v>
                </c:pt>
                <c:pt idx="5">
                  <c:v>0.46944444444444444</c:v>
                </c:pt>
                <c:pt idx="6">
                  <c:v>0.46944444444444444</c:v>
                </c:pt>
                <c:pt idx="7">
                  <c:v>0.46944444444444444</c:v>
                </c:pt>
                <c:pt idx="8">
                  <c:v>0.46944444444444444</c:v>
                </c:pt>
                <c:pt idx="9">
                  <c:v>0.46944444444444444</c:v>
                </c:pt>
                <c:pt idx="10">
                  <c:v>0.46944444444444444</c:v>
                </c:pt>
                <c:pt idx="11">
                  <c:v>0.46944444444444444</c:v>
                </c:pt>
                <c:pt idx="12">
                  <c:v>0.46944444444444444</c:v>
                </c:pt>
                <c:pt idx="13">
                  <c:v>0.46944444444444444</c:v>
                </c:pt>
                <c:pt idx="14">
                  <c:v>0.46944444444444444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2E-43F5-8CED-9945C2E61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1B5-44C7-96F2-CE1BC2C77C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0.30555555555555552</c:v>
                </c:pt>
                <c:pt idx="2">
                  <c:v>0.31666666666666665</c:v>
                </c:pt>
                <c:pt idx="5">
                  <c:v>0.38611111111111113</c:v>
                </c:pt>
                <c:pt idx="6">
                  <c:v>0.4</c:v>
                </c:pt>
                <c:pt idx="7">
                  <c:v>0.46944444444444444</c:v>
                </c:pt>
                <c:pt idx="8">
                  <c:v>0.43888888888888894</c:v>
                </c:pt>
                <c:pt idx="9">
                  <c:v>0.40555555555555561</c:v>
                </c:pt>
                <c:pt idx="12">
                  <c:v>0.43888888888888894</c:v>
                </c:pt>
                <c:pt idx="13">
                  <c:v>0.39722222222222225</c:v>
                </c:pt>
                <c:pt idx="14">
                  <c:v>0.46944444444444439</c:v>
                </c:pt>
                <c:pt idx="15">
                  <c:v>0.3888888888888889</c:v>
                </c:pt>
                <c:pt idx="16">
                  <c:v>0.45833333333333326</c:v>
                </c:pt>
                <c:pt idx="19">
                  <c:v>0.38055555555555548</c:v>
                </c:pt>
                <c:pt idx="20">
                  <c:v>0.32500000000000001</c:v>
                </c:pt>
                <c:pt idx="21">
                  <c:v>0.34166666666666667</c:v>
                </c:pt>
                <c:pt idx="22">
                  <c:v>0.35833333333333334</c:v>
                </c:pt>
                <c:pt idx="27">
                  <c:v>0.28888888888888892</c:v>
                </c:pt>
                <c:pt idx="28">
                  <c:v>0.28611111111111109</c:v>
                </c:pt>
                <c:pt idx="29">
                  <c:v>0.36944444444444446</c:v>
                </c:pt>
                <c:pt idx="30">
                  <c:v>0.31944444444444448</c:v>
                </c:pt>
                <c:pt idx="31">
                  <c:v>0.24336917562724017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B5-44C7-96F2-CE1BC2C77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1B5-44C7-96F2-CE1BC2C77C8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B5-44C7-96F2-CE1BC2C77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SLIDER</c:v>
                </c:pt>
                <c:pt idx="4">
                  <c:v>SP</c:v>
                </c:pt>
                <c:pt idx="5">
                  <c:v>CAP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ADAPTER</c:v>
                </c:pt>
                <c:pt idx="11">
                  <c:v>FLOATING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'09'!$L$6:$L$20</c:f>
              <c:numCache>
                <c:formatCode>_(* #,##0_);_(* \(#,##0\);_(* "-"_);_(@_)</c:formatCode>
                <c:ptCount val="15"/>
                <c:pt idx="3">
                  <c:v>2020</c:v>
                </c:pt>
                <c:pt idx="4">
                  <c:v>11480</c:v>
                </c:pt>
                <c:pt idx="5">
                  <c:v>14268</c:v>
                </c:pt>
                <c:pt idx="6">
                  <c:v>1201</c:v>
                </c:pt>
                <c:pt idx="7">
                  <c:v>21784</c:v>
                </c:pt>
                <c:pt idx="9">
                  <c:v>11936</c:v>
                </c:pt>
                <c:pt idx="12">
                  <c:v>4640</c:v>
                </c:pt>
                <c:pt idx="13">
                  <c:v>21424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DA-4655-BBE8-2C83B35A9E36}"/>
            </c:ext>
          </c:extLst>
        </c:ser>
        <c:ser>
          <c:idx val="1"/>
          <c:order val="1"/>
          <c:tx>
            <c:v>계획</c:v>
          </c:tx>
          <c:cat>
            <c:strRef>
              <c:f>'09'!$D$6:$D$20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SLIDER</c:v>
                </c:pt>
                <c:pt idx="4">
                  <c:v>SP</c:v>
                </c:pt>
                <c:pt idx="5">
                  <c:v>CAP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ADAPTER</c:v>
                </c:pt>
                <c:pt idx="11">
                  <c:v>FLOATING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'09'!$J$6:$J$20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7228</c:v>
                </c:pt>
                <c:pt idx="3">
                  <c:v>2020</c:v>
                </c:pt>
                <c:pt idx="4">
                  <c:v>11480</c:v>
                </c:pt>
                <c:pt idx="5">
                  <c:v>14268</c:v>
                </c:pt>
                <c:pt idx="6">
                  <c:v>1201</c:v>
                </c:pt>
                <c:pt idx="7">
                  <c:v>21784</c:v>
                </c:pt>
                <c:pt idx="8">
                  <c:v>367</c:v>
                </c:pt>
                <c:pt idx="9">
                  <c:v>11936</c:v>
                </c:pt>
                <c:pt idx="10">
                  <c:v>2113</c:v>
                </c:pt>
                <c:pt idx="11">
                  <c:v>2363</c:v>
                </c:pt>
                <c:pt idx="12">
                  <c:v>4640</c:v>
                </c:pt>
                <c:pt idx="13">
                  <c:v>21424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DA-4655-BBE8-2C83B35A9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42%</c:v>
                </c:pt>
                <c:pt idx="4">
                  <c:v>88%</c:v>
                </c:pt>
                <c:pt idx="5">
                  <c:v>100%</c:v>
                </c:pt>
                <c:pt idx="6">
                  <c:v>29%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SLIDER</c:v>
                </c:pt>
                <c:pt idx="4">
                  <c:v>SP</c:v>
                </c:pt>
                <c:pt idx="5">
                  <c:v>CAP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ADAPTER</c:v>
                </c:pt>
                <c:pt idx="11">
                  <c:v>FLOATING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'09'!$AD$6:$AD$20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0.41666666666666669</c:v>
                </c:pt>
                <c:pt idx="4">
                  <c:v>0.875</c:v>
                </c:pt>
                <c:pt idx="5">
                  <c:v>1</c:v>
                </c:pt>
                <c:pt idx="6">
                  <c:v>0.29166666666666669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C0-4FAF-8D2B-5C7462B0D02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C0-4FAF-8D2B-5C7462B0D02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SLIDER</c:v>
                </c:pt>
                <c:pt idx="4">
                  <c:v>SP</c:v>
                </c:pt>
                <c:pt idx="5">
                  <c:v>CAP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ADAPTER</c:v>
                </c:pt>
                <c:pt idx="11">
                  <c:v>FLOATING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'09'!$AE$6:$AE$20</c:f>
              <c:numCache>
                <c:formatCode>0%</c:formatCode>
                <c:ptCount val="15"/>
                <c:pt idx="0">
                  <c:v>0.43888888888888894</c:v>
                </c:pt>
                <c:pt idx="1">
                  <c:v>0.43888888888888894</c:v>
                </c:pt>
                <c:pt idx="2">
                  <c:v>0.43888888888888894</c:v>
                </c:pt>
                <c:pt idx="3">
                  <c:v>0.43888888888888894</c:v>
                </c:pt>
                <c:pt idx="4">
                  <c:v>0.43888888888888894</c:v>
                </c:pt>
                <c:pt idx="5">
                  <c:v>0.43888888888888894</c:v>
                </c:pt>
                <c:pt idx="6">
                  <c:v>0.43888888888888894</c:v>
                </c:pt>
                <c:pt idx="7">
                  <c:v>0.43888888888888894</c:v>
                </c:pt>
                <c:pt idx="8">
                  <c:v>0.43888888888888894</c:v>
                </c:pt>
                <c:pt idx="9">
                  <c:v>0.43888888888888894</c:v>
                </c:pt>
                <c:pt idx="10">
                  <c:v>0.43888888888888894</c:v>
                </c:pt>
                <c:pt idx="11">
                  <c:v>0.43888888888888894</c:v>
                </c:pt>
                <c:pt idx="12">
                  <c:v>0.43888888888888894</c:v>
                </c:pt>
                <c:pt idx="13">
                  <c:v>0.43888888888888894</c:v>
                </c:pt>
                <c:pt idx="14">
                  <c:v>0.43888888888888894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C0-4FAF-8D2B-5C7462B0D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SLIDER</c:v>
                </c:pt>
                <c:pt idx="4">
                  <c:v>SP</c:v>
                </c:pt>
                <c:pt idx="5">
                  <c:v>CAP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ADAPTER</c:v>
                </c:pt>
                <c:pt idx="11">
                  <c:v>FLOATING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'09'!$L$6:$L$20</c:f>
              <c:numCache>
                <c:formatCode>_(* #,##0_);_(* \(#,##0\);_(* "-"_);_(@_)</c:formatCode>
                <c:ptCount val="15"/>
                <c:pt idx="3">
                  <c:v>2020</c:v>
                </c:pt>
                <c:pt idx="4">
                  <c:v>11480</c:v>
                </c:pt>
                <c:pt idx="5">
                  <c:v>14268</c:v>
                </c:pt>
                <c:pt idx="6">
                  <c:v>1201</c:v>
                </c:pt>
                <c:pt idx="7">
                  <c:v>21784</c:v>
                </c:pt>
                <c:pt idx="9">
                  <c:v>11936</c:v>
                </c:pt>
                <c:pt idx="12">
                  <c:v>4640</c:v>
                </c:pt>
                <c:pt idx="13">
                  <c:v>21424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87-469C-BADF-BFEBE9A9F9BB}"/>
            </c:ext>
          </c:extLst>
        </c:ser>
        <c:ser>
          <c:idx val="1"/>
          <c:order val="1"/>
          <c:tx>
            <c:v>계획</c:v>
          </c:tx>
          <c:cat>
            <c:strRef>
              <c:f>'09'!$D$6:$D$20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SLIDER</c:v>
                </c:pt>
                <c:pt idx="4">
                  <c:v>SP</c:v>
                </c:pt>
                <c:pt idx="5">
                  <c:v>CAP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ADAPTER</c:v>
                </c:pt>
                <c:pt idx="11">
                  <c:v>FLOATING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'09'!$J$6:$J$20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7228</c:v>
                </c:pt>
                <c:pt idx="3">
                  <c:v>2020</c:v>
                </c:pt>
                <c:pt idx="4">
                  <c:v>11480</c:v>
                </c:pt>
                <c:pt idx="5">
                  <c:v>14268</c:v>
                </c:pt>
                <c:pt idx="6">
                  <c:v>1201</c:v>
                </c:pt>
                <c:pt idx="7">
                  <c:v>21784</c:v>
                </c:pt>
                <c:pt idx="8">
                  <c:v>367</c:v>
                </c:pt>
                <c:pt idx="9">
                  <c:v>11936</c:v>
                </c:pt>
                <c:pt idx="10">
                  <c:v>2113</c:v>
                </c:pt>
                <c:pt idx="11">
                  <c:v>2363</c:v>
                </c:pt>
                <c:pt idx="12">
                  <c:v>4640</c:v>
                </c:pt>
                <c:pt idx="13">
                  <c:v>21424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87-469C-BADF-BFEBE9A9F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42%</c:v>
                </c:pt>
                <c:pt idx="4">
                  <c:v>88%</c:v>
                </c:pt>
                <c:pt idx="5">
                  <c:v>100%</c:v>
                </c:pt>
                <c:pt idx="6">
                  <c:v>29%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SLIDER</c:v>
                </c:pt>
                <c:pt idx="4">
                  <c:v>SP</c:v>
                </c:pt>
                <c:pt idx="5">
                  <c:v>CAP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ADAPTER</c:v>
                </c:pt>
                <c:pt idx="11">
                  <c:v>FLOATING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'09'!$AD$6:$AD$20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0.41666666666666669</c:v>
                </c:pt>
                <c:pt idx="4">
                  <c:v>0.875</c:v>
                </c:pt>
                <c:pt idx="5">
                  <c:v>1</c:v>
                </c:pt>
                <c:pt idx="6">
                  <c:v>0.29166666666666669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36-4B0E-8CFF-19C9F0DA6B9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36-4B0E-8CFF-19C9F0DA6B9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SLIDER</c:v>
                </c:pt>
                <c:pt idx="4">
                  <c:v>SP</c:v>
                </c:pt>
                <c:pt idx="5">
                  <c:v>CAP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ADAPTER</c:v>
                </c:pt>
                <c:pt idx="11">
                  <c:v>FLOATING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'09'!$AE$6:$AE$20</c:f>
              <c:numCache>
                <c:formatCode>0%</c:formatCode>
                <c:ptCount val="15"/>
                <c:pt idx="0">
                  <c:v>0.43888888888888894</c:v>
                </c:pt>
                <c:pt idx="1">
                  <c:v>0.43888888888888894</c:v>
                </c:pt>
                <c:pt idx="2">
                  <c:v>0.43888888888888894</c:v>
                </c:pt>
                <c:pt idx="3">
                  <c:v>0.43888888888888894</c:v>
                </c:pt>
                <c:pt idx="4">
                  <c:v>0.43888888888888894</c:v>
                </c:pt>
                <c:pt idx="5">
                  <c:v>0.43888888888888894</c:v>
                </c:pt>
                <c:pt idx="6">
                  <c:v>0.43888888888888894</c:v>
                </c:pt>
                <c:pt idx="7">
                  <c:v>0.43888888888888894</c:v>
                </c:pt>
                <c:pt idx="8">
                  <c:v>0.43888888888888894</c:v>
                </c:pt>
                <c:pt idx="9">
                  <c:v>0.43888888888888894</c:v>
                </c:pt>
                <c:pt idx="10">
                  <c:v>0.43888888888888894</c:v>
                </c:pt>
                <c:pt idx="11">
                  <c:v>0.43888888888888894</c:v>
                </c:pt>
                <c:pt idx="12">
                  <c:v>0.43888888888888894</c:v>
                </c:pt>
                <c:pt idx="13">
                  <c:v>0.43888888888888894</c:v>
                </c:pt>
                <c:pt idx="14">
                  <c:v>0.43888888888888894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36-4B0E-8CFF-19C9F0DA6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65C-47F1-8823-F09CFCE9A5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0.30555555555555552</c:v>
                </c:pt>
                <c:pt idx="2">
                  <c:v>0.31666666666666665</c:v>
                </c:pt>
                <c:pt idx="5">
                  <c:v>0.38611111111111113</c:v>
                </c:pt>
                <c:pt idx="6">
                  <c:v>0.4</c:v>
                </c:pt>
                <c:pt idx="7">
                  <c:v>0.46944444444444444</c:v>
                </c:pt>
                <c:pt idx="8">
                  <c:v>0.43888888888888894</c:v>
                </c:pt>
                <c:pt idx="9">
                  <c:v>0.40555555555555561</c:v>
                </c:pt>
                <c:pt idx="12">
                  <c:v>0.43888888888888894</c:v>
                </c:pt>
                <c:pt idx="13">
                  <c:v>0.39722222222222225</c:v>
                </c:pt>
                <c:pt idx="14">
                  <c:v>0.46944444444444439</c:v>
                </c:pt>
                <c:pt idx="15">
                  <c:v>0.3888888888888889</c:v>
                </c:pt>
                <c:pt idx="16">
                  <c:v>0.45833333333333326</c:v>
                </c:pt>
                <c:pt idx="19">
                  <c:v>0.38055555555555548</c:v>
                </c:pt>
                <c:pt idx="20">
                  <c:v>0.32500000000000001</c:v>
                </c:pt>
                <c:pt idx="21">
                  <c:v>0.34166666666666667</c:v>
                </c:pt>
                <c:pt idx="22">
                  <c:v>0.35833333333333334</c:v>
                </c:pt>
                <c:pt idx="27">
                  <c:v>0.28888888888888892</c:v>
                </c:pt>
                <c:pt idx="28">
                  <c:v>0.28611111111111109</c:v>
                </c:pt>
                <c:pt idx="29">
                  <c:v>0.36944444444444446</c:v>
                </c:pt>
                <c:pt idx="30">
                  <c:v>0.31944444444444448</c:v>
                </c:pt>
                <c:pt idx="31">
                  <c:v>0.24336917562724017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5C-47F1-8823-F09CFCE9A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65C-47F1-8823-F09CFCE9A56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5C-47F1-8823-F09CFCE9A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22P</c:v>
                </c:pt>
                <c:pt idx="4">
                  <c:v>SP</c:v>
                </c:pt>
                <c:pt idx="5">
                  <c:v>CAP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BODY</c:v>
                </c:pt>
                <c:pt idx="11">
                  <c:v>ADAPTER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4">
                  <c:v>4868</c:v>
                </c:pt>
                <c:pt idx="5">
                  <c:v>13998</c:v>
                </c:pt>
                <c:pt idx="6">
                  <c:v>581</c:v>
                </c:pt>
                <c:pt idx="7">
                  <c:v>15116</c:v>
                </c:pt>
                <c:pt idx="9">
                  <c:v>21980</c:v>
                </c:pt>
                <c:pt idx="10">
                  <c:v>1053</c:v>
                </c:pt>
                <c:pt idx="11">
                  <c:v>3042</c:v>
                </c:pt>
                <c:pt idx="12">
                  <c:v>4807</c:v>
                </c:pt>
                <c:pt idx="13">
                  <c:v>21388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AD-42D4-8AF8-D37BD5301DFE}"/>
            </c:ext>
          </c:extLst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22P</c:v>
                </c:pt>
                <c:pt idx="4">
                  <c:v>SP</c:v>
                </c:pt>
                <c:pt idx="5">
                  <c:v>CAP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BODY</c:v>
                </c:pt>
                <c:pt idx="11">
                  <c:v>ADAPTER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7228</c:v>
                </c:pt>
                <c:pt idx="3">
                  <c:v>2020</c:v>
                </c:pt>
                <c:pt idx="4">
                  <c:v>4868</c:v>
                </c:pt>
                <c:pt idx="5">
                  <c:v>13998</c:v>
                </c:pt>
                <c:pt idx="6">
                  <c:v>581</c:v>
                </c:pt>
                <c:pt idx="7">
                  <c:v>15116</c:v>
                </c:pt>
                <c:pt idx="8">
                  <c:v>367</c:v>
                </c:pt>
                <c:pt idx="9">
                  <c:v>21980</c:v>
                </c:pt>
                <c:pt idx="10">
                  <c:v>1053</c:v>
                </c:pt>
                <c:pt idx="11">
                  <c:v>3042</c:v>
                </c:pt>
                <c:pt idx="12">
                  <c:v>4807</c:v>
                </c:pt>
                <c:pt idx="13">
                  <c:v>21388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AD-42D4-8AF8-D37BD5301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38%</c:v>
                </c:pt>
                <c:pt idx="5">
                  <c:v>100%</c:v>
                </c:pt>
                <c:pt idx="6">
                  <c:v>17%</c:v>
                </c:pt>
                <c:pt idx="7">
                  <c:v>71%</c:v>
                </c:pt>
                <c:pt idx="8">
                  <c:v>0%</c:v>
                </c:pt>
                <c:pt idx="9">
                  <c:v>96%</c:v>
                </c:pt>
                <c:pt idx="10">
                  <c:v>25%</c:v>
                </c:pt>
                <c:pt idx="11">
                  <c:v>63%</c:v>
                </c:pt>
                <c:pt idx="12">
                  <c:v>100%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22P</c:v>
                </c:pt>
                <c:pt idx="4">
                  <c:v>SP</c:v>
                </c:pt>
                <c:pt idx="5">
                  <c:v>CAP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BODY</c:v>
                </c:pt>
                <c:pt idx="11">
                  <c:v>ADAPTER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0.375</c:v>
                </c:pt>
                <c:pt idx="5">
                  <c:v>1</c:v>
                </c:pt>
                <c:pt idx="6">
                  <c:v>0.16666666666666666</c:v>
                </c:pt>
                <c:pt idx="7">
                  <c:v>0.70833333333333337</c:v>
                </c:pt>
                <c:pt idx="8">
                  <c:v>0</c:v>
                </c:pt>
                <c:pt idx="9">
                  <c:v>0.95833333333333337</c:v>
                </c:pt>
                <c:pt idx="10">
                  <c:v>0.25</c:v>
                </c:pt>
                <c:pt idx="11">
                  <c:v>0.625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B1-4A26-A014-FC8BE1309C7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5B1-4A26-A014-FC8BE1309C7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22P</c:v>
                </c:pt>
                <c:pt idx="4">
                  <c:v>SP</c:v>
                </c:pt>
                <c:pt idx="5">
                  <c:v>CAP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BODY</c:v>
                </c:pt>
                <c:pt idx="11">
                  <c:v>ADAPTER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0.40555555555555561</c:v>
                </c:pt>
                <c:pt idx="1">
                  <c:v>0.40555555555555561</c:v>
                </c:pt>
                <c:pt idx="2">
                  <c:v>0.40555555555555561</c:v>
                </c:pt>
                <c:pt idx="3">
                  <c:v>0.40555555555555561</c:v>
                </c:pt>
                <c:pt idx="4">
                  <c:v>0.40555555555555561</c:v>
                </c:pt>
                <c:pt idx="5">
                  <c:v>0.40555555555555561</c:v>
                </c:pt>
                <c:pt idx="6">
                  <c:v>0.40555555555555561</c:v>
                </c:pt>
                <c:pt idx="7">
                  <c:v>0.40555555555555561</c:v>
                </c:pt>
                <c:pt idx="8">
                  <c:v>0.40555555555555561</c:v>
                </c:pt>
                <c:pt idx="9">
                  <c:v>0.40555555555555561</c:v>
                </c:pt>
                <c:pt idx="10">
                  <c:v>0.40555555555555561</c:v>
                </c:pt>
                <c:pt idx="11">
                  <c:v>0.40555555555555561</c:v>
                </c:pt>
                <c:pt idx="12">
                  <c:v>0.40555555555555561</c:v>
                </c:pt>
                <c:pt idx="13">
                  <c:v>0.40555555555555561</c:v>
                </c:pt>
                <c:pt idx="14">
                  <c:v>0.40555555555555561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B1-4A26-A014-FC8BE1309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22P</c:v>
                </c:pt>
                <c:pt idx="4">
                  <c:v>SP</c:v>
                </c:pt>
                <c:pt idx="5">
                  <c:v>CAP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BODY</c:v>
                </c:pt>
                <c:pt idx="11">
                  <c:v>ADAPTER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4">
                  <c:v>4868</c:v>
                </c:pt>
                <c:pt idx="5">
                  <c:v>13998</c:v>
                </c:pt>
                <c:pt idx="6">
                  <c:v>581</c:v>
                </c:pt>
                <c:pt idx="7">
                  <c:v>15116</c:v>
                </c:pt>
                <c:pt idx="9">
                  <c:v>21980</c:v>
                </c:pt>
                <c:pt idx="10">
                  <c:v>1053</c:v>
                </c:pt>
                <c:pt idx="11">
                  <c:v>3042</c:v>
                </c:pt>
                <c:pt idx="12">
                  <c:v>4807</c:v>
                </c:pt>
                <c:pt idx="13">
                  <c:v>21388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A5-4FFC-ACBA-0B959B8310BD}"/>
            </c:ext>
          </c:extLst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22P</c:v>
                </c:pt>
                <c:pt idx="4">
                  <c:v>SP</c:v>
                </c:pt>
                <c:pt idx="5">
                  <c:v>CAP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BODY</c:v>
                </c:pt>
                <c:pt idx="11">
                  <c:v>ADAPTER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7228</c:v>
                </c:pt>
                <c:pt idx="3">
                  <c:v>2020</c:v>
                </c:pt>
                <c:pt idx="4">
                  <c:v>4868</c:v>
                </c:pt>
                <c:pt idx="5">
                  <c:v>13998</c:v>
                </c:pt>
                <c:pt idx="6">
                  <c:v>581</c:v>
                </c:pt>
                <c:pt idx="7">
                  <c:v>15116</c:v>
                </c:pt>
                <c:pt idx="8">
                  <c:v>367</c:v>
                </c:pt>
                <c:pt idx="9">
                  <c:v>21980</c:v>
                </c:pt>
                <c:pt idx="10">
                  <c:v>1053</c:v>
                </c:pt>
                <c:pt idx="11">
                  <c:v>3042</c:v>
                </c:pt>
                <c:pt idx="12">
                  <c:v>4807</c:v>
                </c:pt>
                <c:pt idx="13">
                  <c:v>21388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A5-4FFC-ACBA-0B959B831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38%</c:v>
                </c:pt>
                <c:pt idx="5">
                  <c:v>100%</c:v>
                </c:pt>
                <c:pt idx="6">
                  <c:v>17%</c:v>
                </c:pt>
                <c:pt idx="7">
                  <c:v>71%</c:v>
                </c:pt>
                <c:pt idx="8">
                  <c:v>0%</c:v>
                </c:pt>
                <c:pt idx="9">
                  <c:v>96%</c:v>
                </c:pt>
                <c:pt idx="10">
                  <c:v>25%</c:v>
                </c:pt>
                <c:pt idx="11">
                  <c:v>63%</c:v>
                </c:pt>
                <c:pt idx="12">
                  <c:v>100%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22P</c:v>
                </c:pt>
                <c:pt idx="4">
                  <c:v>SP</c:v>
                </c:pt>
                <c:pt idx="5">
                  <c:v>CAP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BODY</c:v>
                </c:pt>
                <c:pt idx="11">
                  <c:v>ADAPTER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0.375</c:v>
                </c:pt>
                <c:pt idx="5">
                  <c:v>1</c:v>
                </c:pt>
                <c:pt idx="6">
                  <c:v>0.16666666666666666</c:v>
                </c:pt>
                <c:pt idx="7">
                  <c:v>0.70833333333333337</c:v>
                </c:pt>
                <c:pt idx="8">
                  <c:v>0</c:v>
                </c:pt>
                <c:pt idx="9">
                  <c:v>0.95833333333333337</c:v>
                </c:pt>
                <c:pt idx="10">
                  <c:v>0.25</c:v>
                </c:pt>
                <c:pt idx="11">
                  <c:v>0.625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EC-4106-97AC-4EE4441BBD2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4EC-4106-97AC-4EE4441BBD2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22P</c:v>
                </c:pt>
                <c:pt idx="4">
                  <c:v>SP</c:v>
                </c:pt>
                <c:pt idx="5">
                  <c:v>CAP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BODY</c:v>
                </c:pt>
                <c:pt idx="11">
                  <c:v>ADAPTER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0.40555555555555561</c:v>
                </c:pt>
                <c:pt idx="1">
                  <c:v>0.40555555555555561</c:v>
                </c:pt>
                <c:pt idx="2">
                  <c:v>0.40555555555555561</c:v>
                </c:pt>
                <c:pt idx="3">
                  <c:v>0.40555555555555561</c:v>
                </c:pt>
                <c:pt idx="4">
                  <c:v>0.40555555555555561</c:v>
                </c:pt>
                <c:pt idx="5">
                  <c:v>0.40555555555555561</c:v>
                </c:pt>
                <c:pt idx="6">
                  <c:v>0.40555555555555561</c:v>
                </c:pt>
                <c:pt idx="7">
                  <c:v>0.40555555555555561</c:v>
                </c:pt>
                <c:pt idx="8">
                  <c:v>0.40555555555555561</c:v>
                </c:pt>
                <c:pt idx="9">
                  <c:v>0.40555555555555561</c:v>
                </c:pt>
                <c:pt idx="10">
                  <c:v>0.40555555555555561</c:v>
                </c:pt>
                <c:pt idx="11">
                  <c:v>0.40555555555555561</c:v>
                </c:pt>
                <c:pt idx="12">
                  <c:v>0.40555555555555561</c:v>
                </c:pt>
                <c:pt idx="13">
                  <c:v>0.40555555555555561</c:v>
                </c:pt>
                <c:pt idx="14">
                  <c:v>0.40555555555555561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EC-4106-97AC-4EE4441BB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5CA-4A35-B754-B7937AA466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0.30555555555555552</c:v>
                </c:pt>
                <c:pt idx="2">
                  <c:v>0.31666666666666665</c:v>
                </c:pt>
                <c:pt idx="5">
                  <c:v>0.38611111111111113</c:v>
                </c:pt>
                <c:pt idx="6">
                  <c:v>0.4</c:v>
                </c:pt>
                <c:pt idx="7">
                  <c:v>0.46944444444444444</c:v>
                </c:pt>
                <c:pt idx="8">
                  <c:v>0.43888888888888894</c:v>
                </c:pt>
                <c:pt idx="9">
                  <c:v>0.40555555555555561</c:v>
                </c:pt>
                <c:pt idx="12">
                  <c:v>0.43888888888888894</c:v>
                </c:pt>
                <c:pt idx="13">
                  <c:v>0.39722222222222225</c:v>
                </c:pt>
                <c:pt idx="14">
                  <c:v>0.46944444444444439</c:v>
                </c:pt>
                <c:pt idx="15">
                  <c:v>0.3888888888888889</c:v>
                </c:pt>
                <c:pt idx="16">
                  <c:v>0.45833333333333326</c:v>
                </c:pt>
                <c:pt idx="19">
                  <c:v>0.38055555555555548</c:v>
                </c:pt>
                <c:pt idx="20">
                  <c:v>0.32500000000000001</c:v>
                </c:pt>
                <c:pt idx="21">
                  <c:v>0.34166666666666667</c:v>
                </c:pt>
                <c:pt idx="22">
                  <c:v>0.35833333333333334</c:v>
                </c:pt>
                <c:pt idx="27">
                  <c:v>0.28888888888888892</c:v>
                </c:pt>
                <c:pt idx="28">
                  <c:v>0.28611111111111109</c:v>
                </c:pt>
                <c:pt idx="29">
                  <c:v>0.36944444444444446</c:v>
                </c:pt>
                <c:pt idx="30">
                  <c:v>0.31944444444444448</c:v>
                </c:pt>
                <c:pt idx="31">
                  <c:v>0.24336917562724017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CA-4A35-B754-B7937AA46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5CA-4A35-B754-B7937AA4663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CA-4A35-B754-B7937AA46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22P</c:v>
                </c:pt>
                <c:pt idx="4">
                  <c:v>SP</c:v>
                </c:pt>
                <c:pt idx="5">
                  <c:v>CAP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'13'!$L$6:$L$20</c:f>
              <c:numCache>
                <c:formatCode>_(* #,##0_);_(* \(#,##0\);_(* "-"_);_(@_)</c:formatCode>
                <c:ptCount val="15"/>
                <c:pt idx="2">
                  <c:v>3396</c:v>
                </c:pt>
                <c:pt idx="3">
                  <c:v>14524</c:v>
                </c:pt>
                <c:pt idx="4">
                  <c:v>7902</c:v>
                </c:pt>
                <c:pt idx="5">
                  <c:v>6212</c:v>
                </c:pt>
                <c:pt idx="6">
                  <c:v>2000</c:v>
                </c:pt>
                <c:pt idx="7">
                  <c:v>10164</c:v>
                </c:pt>
                <c:pt idx="8">
                  <c:v>267</c:v>
                </c:pt>
                <c:pt idx="9">
                  <c:v>22464</c:v>
                </c:pt>
                <c:pt idx="10">
                  <c:v>1191</c:v>
                </c:pt>
                <c:pt idx="12">
                  <c:v>4197</c:v>
                </c:pt>
                <c:pt idx="13">
                  <c:v>19544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68-4371-BBBB-2E37BD88D2FE}"/>
            </c:ext>
          </c:extLst>
        </c:ser>
        <c:ser>
          <c:idx val="1"/>
          <c:order val="1"/>
          <c:tx>
            <c:v>계획</c:v>
          </c:tx>
          <c:cat>
            <c:strRef>
              <c:f>'13'!$D$6:$D$20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22P</c:v>
                </c:pt>
                <c:pt idx="4">
                  <c:v>SP</c:v>
                </c:pt>
                <c:pt idx="5">
                  <c:v>CAP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'13'!$J$6:$J$20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3396</c:v>
                </c:pt>
                <c:pt idx="3">
                  <c:v>14524</c:v>
                </c:pt>
                <c:pt idx="4">
                  <c:v>7902</c:v>
                </c:pt>
                <c:pt idx="5">
                  <c:v>6212</c:v>
                </c:pt>
                <c:pt idx="6">
                  <c:v>2000</c:v>
                </c:pt>
                <c:pt idx="7">
                  <c:v>10164</c:v>
                </c:pt>
                <c:pt idx="8">
                  <c:v>267</c:v>
                </c:pt>
                <c:pt idx="9">
                  <c:v>22464</c:v>
                </c:pt>
                <c:pt idx="10">
                  <c:v>1191</c:v>
                </c:pt>
                <c:pt idx="11">
                  <c:v>3042</c:v>
                </c:pt>
                <c:pt idx="12">
                  <c:v>4197</c:v>
                </c:pt>
                <c:pt idx="13">
                  <c:v>19544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68-4371-BBBB-2E37BD88D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33%</c:v>
                </c:pt>
                <c:pt idx="3">
                  <c:v>67%</c:v>
                </c:pt>
                <c:pt idx="4">
                  <c:v>71%</c:v>
                </c:pt>
                <c:pt idx="5">
                  <c:v>58%</c:v>
                </c:pt>
                <c:pt idx="6">
                  <c:v>25%</c:v>
                </c:pt>
                <c:pt idx="7">
                  <c:v>58%</c:v>
                </c:pt>
                <c:pt idx="8">
                  <c:v>21%</c:v>
                </c:pt>
                <c:pt idx="9">
                  <c:v>100%</c:v>
                </c:pt>
                <c:pt idx="10">
                  <c:v>25%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22P</c:v>
                </c:pt>
                <c:pt idx="4">
                  <c:v>SP</c:v>
                </c:pt>
                <c:pt idx="5">
                  <c:v>CAP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'13'!$AD$6:$AD$20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0.66666666666666663</c:v>
                </c:pt>
                <c:pt idx="4">
                  <c:v>0.70833333333333337</c:v>
                </c:pt>
                <c:pt idx="5">
                  <c:v>0.58333333333333337</c:v>
                </c:pt>
                <c:pt idx="6">
                  <c:v>0.25</c:v>
                </c:pt>
                <c:pt idx="7">
                  <c:v>0.58333333333333337</c:v>
                </c:pt>
                <c:pt idx="8">
                  <c:v>0.20833333333333334</c:v>
                </c:pt>
                <c:pt idx="9">
                  <c:v>1</c:v>
                </c:pt>
                <c:pt idx="10">
                  <c:v>0.25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56-43FA-BB9D-6DA9C5A22EF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556-43FA-BB9D-6DA9C5A22EF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22P</c:v>
                </c:pt>
                <c:pt idx="4">
                  <c:v>SP</c:v>
                </c:pt>
                <c:pt idx="5">
                  <c:v>CAP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'13'!$AE$6:$AE$20</c:f>
              <c:numCache>
                <c:formatCode>0%</c:formatCode>
                <c:ptCount val="15"/>
                <c:pt idx="0">
                  <c:v>0.43888888888888894</c:v>
                </c:pt>
                <c:pt idx="1">
                  <c:v>0.43888888888888894</c:v>
                </c:pt>
                <c:pt idx="2">
                  <c:v>0.43888888888888894</c:v>
                </c:pt>
                <c:pt idx="3">
                  <c:v>0.43888888888888894</c:v>
                </c:pt>
                <c:pt idx="4">
                  <c:v>0.43888888888888894</c:v>
                </c:pt>
                <c:pt idx="5">
                  <c:v>0.43888888888888894</c:v>
                </c:pt>
                <c:pt idx="6">
                  <c:v>0.43888888888888894</c:v>
                </c:pt>
                <c:pt idx="7">
                  <c:v>0.43888888888888894</c:v>
                </c:pt>
                <c:pt idx="8">
                  <c:v>0.43888888888888894</c:v>
                </c:pt>
                <c:pt idx="9">
                  <c:v>0.43888888888888894</c:v>
                </c:pt>
                <c:pt idx="10">
                  <c:v>0.43888888888888894</c:v>
                </c:pt>
                <c:pt idx="11">
                  <c:v>0.43888888888888894</c:v>
                </c:pt>
                <c:pt idx="12">
                  <c:v>0.43888888888888894</c:v>
                </c:pt>
                <c:pt idx="13">
                  <c:v>0.43888888888888894</c:v>
                </c:pt>
                <c:pt idx="14">
                  <c:v>0.43888888888888894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56-43FA-BB9D-6DA9C5A22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22P</c:v>
                </c:pt>
                <c:pt idx="4">
                  <c:v>SP</c:v>
                </c:pt>
                <c:pt idx="5">
                  <c:v>CAP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'13'!$L$6:$L$20</c:f>
              <c:numCache>
                <c:formatCode>_(* #,##0_);_(* \(#,##0\);_(* "-"_);_(@_)</c:formatCode>
                <c:ptCount val="15"/>
                <c:pt idx="2">
                  <c:v>3396</c:v>
                </c:pt>
                <c:pt idx="3">
                  <c:v>14524</c:v>
                </c:pt>
                <c:pt idx="4">
                  <c:v>7902</c:v>
                </c:pt>
                <c:pt idx="5">
                  <c:v>6212</c:v>
                </c:pt>
                <c:pt idx="6">
                  <c:v>2000</c:v>
                </c:pt>
                <c:pt idx="7">
                  <c:v>10164</c:v>
                </c:pt>
                <c:pt idx="8">
                  <c:v>267</c:v>
                </c:pt>
                <c:pt idx="9">
                  <c:v>22464</c:v>
                </c:pt>
                <c:pt idx="10">
                  <c:v>1191</c:v>
                </c:pt>
                <c:pt idx="12">
                  <c:v>4197</c:v>
                </c:pt>
                <c:pt idx="13">
                  <c:v>19544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17-48CA-B820-9BD1C6819D60}"/>
            </c:ext>
          </c:extLst>
        </c:ser>
        <c:ser>
          <c:idx val="1"/>
          <c:order val="1"/>
          <c:tx>
            <c:v>계획</c:v>
          </c:tx>
          <c:cat>
            <c:strRef>
              <c:f>'13'!$D$6:$D$20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22P</c:v>
                </c:pt>
                <c:pt idx="4">
                  <c:v>SP</c:v>
                </c:pt>
                <c:pt idx="5">
                  <c:v>CAP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'13'!$J$6:$J$20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3396</c:v>
                </c:pt>
                <c:pt idx="3">
                  <c:v>14524</c:v>
                </c:pt>
                <c:pt idx="4">
                  <c:v>7902</c:v>
                </c:pt>
                <c:pt idx="5">
                  <c:v>6212</c:v>
                </c:pt>
                <c:pt idx="6">
                  <c:v>2000</c:v>
                </c:pt>
                <c:pt idx="7">
                  <c:v>10164</c:v>
                </c:pt>
                <c:pt idx="8">
                  <c:v>267</c:v>
                </c:pt>
                <c:pt idx="9">
                  <c:v>22464</c:v>
                </c:pt>
                <c:pt idx="10">
                  <c:v>1191</c:v>
                </c:pt>
                <c:pt idx="11">
                  <c:v>3042</c:v>
                </c:pt>
                <c:pt idx="12">
                  <c:v>4197</c:v>
                </c:pt>
                <c:pt idx="13">
                  <c:v>19544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17-48CA-B820-9BD1C6819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33%</c:v>
                </c:pt>
                <c:pt idx="3">
                  <c:v>67%</c:v>
                </c:pt>
                <c:pt idx="4">
                  <c:v>71%</c:v>
                </c:pt>
                <c:pt idx="5">
                  <c:v>58%</c:v>
                </c:pt>
                <c:pt idx="6">
                  <c:v>25%</c:v>
                </c:pt>
                <c:pt idx="7">
                  <c:v>58%</c:v>
                </c:pt>
                <c:pt idx="8">
                  <c:v>21%</c:v>
                </c:pt>
                <c:pt idx="9">
                  <c:v>100%</c:v>
                </c:pt>
                <c:pt idx="10">
                  <c:v>25%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22P</c:v>
                </c:pt>
                <c:pt idx="4">
                  <c:v>SP</c:v>
                </c:pt>
                <c:pt idx="5">
                  <c:v>CAP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'13'!$AD$6:$AD$20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0.66666666666666663</c:v>
                </c:pt>
                <c:pt idx="4">
                  <c:v>0.70833333333333337</c:v>
                </c:pt>
                <c:pt idx="5">
                  <c:v>0.58333333333333337</c:v>
                </c:pt>
                <c:pt idx="6">
                  <c:v>0.25</c:v>
                </c:pt>
                <c:pt idx="7">
                  <c:v>0.58333333333333337</c:v>
                </c:pt>
                <c:pt idx="8">
                  <c:v>0.20833333333333334</c:v>
                </c:pt>
                <c:pt idx="9">
                  <c:v>1</c:v>
                </c:pt>
                <c:pt idx="10">
                  <c:v>0.25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A3-4723-8636-B7375B6ABC1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2A3-4723-8636-B7375B6ABC1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22P</c:v>
                </c:pt>
                <c:pt idx="4">
                  <c:v>SP</c:v>
                </c:pt>
                <c:pt idx="5">
                  <c:v>CAP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ST/HO</c:v>
                </c:pt>
                <c:pt idx="13">
                  <c:v>STOPPER</c:v>
                </c:pt>
              </c:strCache>
            </c:strRef>
          </c:cat>
          <c:val>
            <c:numRef>
              <c:f>'13'!$AE$6:$AE$20</c:f>
              <c:numCache>
                <c:formatCode>0%</c:formatCode>
                <c:ptCount val="15"/>
                <c:pt idx="0">
                  <c:v>0.43888888888888894</c:v>
                </c:pt>
                <c:pt idx="1">
                  <c:v>0.43888888888888894</c:v>
                </c:pt>
                <c:pt idx="2">
                  <c:v>0.43888888888888894</c:v>
                </c:pt>
                <c:pt idx="3">
                  <c:v>0.43888888888888894</c:v>
                </c:pt>
                <c:pt idx="4">
                  <c:v>0.43888888888888894</c:v>
                </c:pt>
                <c:pt idx="5">
                  <c:v>0.43888888888888894</c:v>
                </c:pt>
                <c:pt idx="6">
                  <c:v>0.43888888888888894</c:v>
                </c:pt>
                <c:pt idx="7">
                  <c:v>0.43888888888888894</c:v>
                </c:pt>
                <c:pt idx="8">
                  <c:v>0.43888888888888894</c:v>
                </c:pt>
                <c:pt idx="9">
                  <c:v>0.43888888888888894</c:v>
                </c:pt>
                <c:pt idx="10">
                  <c:v>0.43888888888888894</c:v>
                </c:pt>
                <c:pt idx="11">
                  <c:v>0.43888888888888894</c:v>
                </c:pt>
                <c:pt idx="12">
                  <c:v>0.43888888888888894</c:v>
                </c:pt>
                <c:pt idx="13">
                  <c:v>0.43888888888888894</c:v>
                </c:pt>
                <c:pt idx="14">
                  <c:v>0.43888888888888894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A3-4723-8636-B7375B6AB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8A9-4617-9A83-045AA683B6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0.30555555555555552</c:v>
                </c:pt>
                <c:pt idx="2">
                  <c:v>0.31666666666666665</c:v>
                </c:pt>
                <c:pt idx="5">
                  <c:v>0.38611111111111113</c:v>
                </c:pt>
                <c:pt idx="6">
                  <c:v>0.4</c:v>
                </c:pt>
                <c:pt idx="7">
                  <c:v>0.46944444444444444</c:v>
                </c:pt>
                <c:pt idx="8">
                  <c:v>0.43888888888888894</c:v>
                </c:pt>
                <c:pt idx="9">
                  <c:v>0.40555555555555561</c:v>
                </c:pt>
                <c:pt idx="12">
                  <c:v>0.43888888888888894</c:v>
                </c:pt>
                <c:pt idx="13">
                  <c:v>0.39722222222222225</c:v>
                </c:pt>
                <c:pt idx="14">
                  <c:v>0.46944444444444439</c:v>
                </c:pt>
                <c:pt idx="15">
                  <c:v>0.3888888888888889</c:v>
                </c:pt>
                <c:pt idx="16">
                  <c:v>0.45833333333333326</c:v>
                </c:pt>
                <c:pt idx="19">
                  <c:v>0.38055555555555548</c:v>
                </c:pt>
                <c:pt idx="20">
                  <c:v>0.32500000000000001</c:v>
                </c:pt>
                <c:pt idx="21">
                  <c:v>0.34166666666666667</c:v>
                </c:pt>
                <c:pt idx="22">
                  <c:v>0.35833333333333334</c:v>
                </c:pt>
                <c:pt idx="27">
                  <c:v>0.28888888888888892</c:v>
                </c:pt>
                <c:pt idx="28">
                  <c:v>0.28611111111111109</c:v>
                </c:pt>
                <c:pt idx="29">
                  <c:v>0.36944444444444446</c:v>
                </c:pt>
                <c:pt idx="30">
                  <c:v>0.31944444444444448</c:v>
                </c:pt>
                <c:pt idx="31">
                  <c:v>0.24336917562724017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A9-4617-9A83-045AA683B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8A9-4617-9A83-045AA683B61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A9-4617-9A83-045AA683B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22P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LATCH PLATE</c:v>
                </c:pt>
                <c:pt idx="11">
                  <c:v>FLOATING</c:v>
                </c:pt>
                <c:pt idx="12">
                  <c:v>BOTTOM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'14'!$L$6:$L$21</c:f>
              <c:numCache>
                <c:formatCode>_(* #,##0_);_(* \(#,##0\);_(* "-"_);_(@_)</c:formatCode>
                <c:ptCount val="16"/>
                <c:pt idx="3">
                  <c:v>30712</c:v>
                </c:pt>
                <c:pt idx="5">
                  <c:v>4004</c:v>
                </c:pt>
                <c:pt idx="6">
                  <c:v>2000</c:v>
                </c:pt>
                <c:pt idx="7">
                  <c:v>22344</c:v>
                </c:pt>
                <c:pt idx="9">
                  <c:v>23732</c:v>
                </c:pt>
                <c:pt idx="10">
                  <c:v>1346</c:v>
                </c:pt>
                <c:pt idx="11">
                  <c:v>1107</c:v>
                </c:pt>
                <c:pt idx="12">
                  <c:v>1300</c:v>
                </c:pt>
                <c:pt idx="13">
                  <c:v>1100</c:v>
                </c:pt>
                <c:pt idx="14">
                  <c:v>8924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AF-4356-BEDD-FA350D524453}"/>
            </c:ext>
          </c:extLst>
        </c:ser>
        <c:ser>
          <c:idx val="1"/>
          <c:order val="1"/>
          <c:tx>
            <c:v>계획</c:v>
          </c:tx>
          <c:cat>
            <c:strRef>
              <c:f>'14'!$D$6:$D$21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22P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LATCH PLATE</c:v>
                </c:pt>
                <c:pt idx="11">
                  <c:v>FLOATING</c:v>
                </c:pt>
                <c:pt idx="12">
                  <c:v>BOTTOM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'14'!$J$6:$J$21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3396</c:v>
                </c:pt>
                <c:pt idx="3">
                  <c:v>30712</c:v>
                </c:pt>
                <c:pt idx="4">
                  <c:v>7902</c:v>
                </c:pt>
                <c:pt idx="5">
                  <c:v>4004</c:v>
                </c:pt>
                <c:pt idx="6">
                  <c:v>2000</c:v>
                </c:pt>
                <c:pt idx="7">
                  <c:v>22344</c:v>
                </c:pt>
                <c:pt idx="8">
                  <c:v>267</c:v>
                </c:pt>
                <c:pt idx="9">
                  <c:v>23732</c:v>
                </c:pt>
                <c:pt idx="10">
                  <c:v>1346</c:v>
                </c:pt>
                <c:pt idx="11">
                  <c:v>1107</c:v>
                </c:pt>
                <c:pt idx="12">
                  <c:v>1300</c:v>
                </c:pt>
                <c:pt idx="13">
                  <c:v>1100</c:v>
                </c:pt>
                <c:pt idx="14">
                  <c:v>8924</c:v>
                </c:pt>
                <c:pt idx="15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AF-4356-BEDD-FA350D524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0%</c:v>
                </c:pt>
                <c:pt idx="5">
                  <c:v>50%</c:v>
                </c:pt>
                <c:pt idx="6">
                  <c:v>75%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29%</c:v>
                </c:pt>
                <c:pt idx="11">
                  <c:v>29%</c:v>
                </c:pt>
                <c:pt idx="12">
                  <c:v>33%</c:v>
                </c:pt>
                <c:pt idx="13">
                  <c:v>29%</c:v>
                </c:pt>
                <c:pt idx="14">
                  <c:v>50%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22P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LATCH PLATE</c:v>
                </c:pt>
                <c:pt idx="11">
                  <c:v>FLOATING</c:v>
                </c:pt>
                <c:pt idx="12">
                  <c:v>BOTTOM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'14'!$AD$6:$AD$21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0.29166666666666669</c:v>
                </c:pt>
                <c:pt idx="11">
                  <c:v>0.29166666666666669</c:v>
                </c:pt>
                <c:pt idx="12">
                  <c:v>0.33333333333333331</c:v>
                </c:pt>
                <c:pt idx="13">
                  <c:v>0.29166666666666669</c:v>
                </c:pt>
                <c:pt idx="14">
                  <c:v>0.5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9-4C81-94B4-93FA6E6C87C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EE9-4C81-94B4-93FA6E6C87C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22P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LATCH PLATE</c:v>
                </c:pt>
                <c:pt idx="11">
                  <c:v>FLOATING</c:v>
                </c:pt>
                <c:pt idx="12">
                  <c:v>BOTTOM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'14'!$AE$6:$AE$21</c:f>
              <c:numCache>
                <c:formatCode>0%</c:formatCode>
                <c:ptCount val="16"/>
                <c:pt idx="0">
                  <c:v>0.39722222222222225</c:v>
                </c:pt>
                <c:pt idx="1">
                  <c:v>0.39722222222222225</c:v>
                </c:pt>
                <c:pt idx="2">
                  <c:v>0.39722222222222225</c:v>
                </c:pt>
                <c:pt idx="3">
                  <c:v>0.39722222222222225</c:v>
                </c:pt>
                <c:pt idx="4">
                  <c:v>0.39722222222222225</c:v>
                </c:pt>
                <c:pt idx="5">
                  <c:v>0.39722222222222225</c:v>
                </c:pt>
                <c:pt idx="6">
                  <c:v>0.39722222222222225</c:v>
                </c:pt>
                <c:pt idx="7">
                  <c:v>0.39722222222222225</c:v>
                </c:pt>
                <c:pt idx="8">
                  <c:v>0.39722222222222225</c:v>
                </c:pt>
                <c:pt idx="9">
                  <c:v>0.39722222222222225</c:v>
                </c:pt>
                <c:pt idx="10">
                  <c:v>0.39722222222222225</c:v>
                </c:pt>
                <c:pt idx="11">
                  <c:v>0.39722222222222225</c:v>
                </c:pt>
                <c:pt idx="12">
                  <c:v>0.39722222222222225</c:v>
                </c:pt>
                <c:pt idx="13">
                  <c:v>0.39722222222222225</c:v>
                </c:pt>
                <c:pt idx="14">
                  <c:v>0.39722222222222225</c:v>
                </c:pt>
                <c:pt idx="15">
                  <c:v>0.39722222222222225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9-4C81-94B4-93FA6E6C8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22P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LATCH PLATE</c:v>
                </c:pt>
                <c:pt idx="11">
                  <c:v>FLOATING</c:v>
                </c:pt>
                <c:pt idx="12">
                  <c:v>BOTTOM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'14'!$L$6:$L$21</c:f>
              <c:numCache>
                <c:formatCode>_(* #,##0_);_(* \(#,##0\);_(* "-"_);_(@_)</c:formatCode>
                <c:ptCount val="16"/>
                <c:pt idx="3">
                  <c:v>30712</c:v>
                </c:pt>
                <c:pt idx="5">
                  <c:v>4004</c:v>
                </c:pt>
                <c:pt idx="6">
                  <c:v>2000</c:v>
                </c:pt>
                <c:pt idx="7">
                  <c:v>22344</c:v>
                </c:pt>
                <c:pt idx="9">
                  <c:v>23732</c:v>
                </c:pt>
                <c:pt idx="10">
                  <c:v>1346</c:v>
                </c:pt>
                <c:pt idx="11">
                  <c:v>1107</c:v>
                </c:pt>
                <c:pt idx="12">
                  <c:v>1300</c:v>
                </c:pt>
                <c:pt idx="13">
                  <c:v>1100</c:v>
                </c:pt>
                <c:pt idx="14">
                  <c:v>8924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B9-4F03-A713-E41D85BF0C6E}"/>
            </c:ext>
          </c:extLst>
        </c:ser>
        <c:ser>
          <c:idx val="1"/>
          <c:order val="1"/>
          <c:tx>
            <c:v>계획</c:v>
          </c:tx>
          <c:cat>
            <c:strRef>
              <c:f>'14'!$D$6:$D$21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22P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LATCH PLATE</c:v>
                </c:pt>
                <c:pt idx="11">
                  <c:v>FLOATING</c:v>
                </c:pt>
                <c:pt idx="12">
                  <c:v>BOTTOM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'14'!$J$6:$J$21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3396</c:v>
                </c:pt>
                <c:pt idx="3">
                  <c:v>30712</c:v>
                </c:pt>
                <c:pt idx="4">
                  <c:v>7902</c:v>
                </c:pt>
                <c:pt idx="5">
                  <c:v>4004</c:v>
                </c:pt>
                <c:pt idx="6">
                  <c:v>2000</c:v>
                </c:pt>
                <c:pt idx="7">
                  <c:v>22344</c:v>
                </c:pt>
                <c:pt idx="8">
                  <c:v>267</c:v>
                </c:pt>
                <c:pt idx="9">
                  <c:v>23732</c:v>
                </c:pt>
                <c:pt idx="10">
                  <c:v>1346</c:v>
                </c:pt>
                <c:pt idx="11">
                  <c:v>1107</c:v>
                </c:pt>
                <c:pt idx="12">
                  <c:v>1300</c:v>
                </c:pt>
                <c:pt idx="13">
                  <c:v>1100</c:v>
                </c:pt>
                <c:pt idx="14">
                  <c:v>8924</c:v>
                </c:pt>
                <c:pt idx="15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B9-4F03-A713-E41D85BF0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0%</c:v>
                </c:pt>
                <c:pt idx="5">
                  <c:v>50%</c:v>
                </c:pt>
                <c:pt idx="6">
                  <c:v>75%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29%</c:v>
                </c:pt>
                <c:pt idx="11">
                  <c:v>29%</c:v>
                </c:pt>
                <c:pt idx="12">
                  <c:v>33%</c:v>
                </c:pt>
                <c:pt idx="13">
                  <c:v>29%</c:v>
                </c:pt>
                <c:pt idx="14">
                  <c:v>50%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22P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LATCH PLATE</c:v>
                </c:pt>
                <c:pt idx="11">
                  <c:v>FLOATING</c:v>
                </c:pt>
                <c:pt idx="12">
                  <c:v>BOTTOM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'14'!$AD$6:$AD$21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0.29166666666666669</c:v>
                </c:pt>
                <c:pt idx="11">
                  <c:v>0.29166666666666669</c:v>
                </c:pt>
                <c:pt idx="12">
                  <c:v>0.33333333333333331</c:v>
                </c:pt>
                <c:pt idx="13">
                  <c:v>0.29166666666666669</c:v>
                </c:pt>
                <c:pt idx="14">
                  <c:v>0.5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F7-4010-A7D4-6019ADBDE47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DF7-4010-A7D4-6019ADBDE47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22P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LATCH PLATE</c:v>
                </c:pt>
                <c:pt idx="11">
                  <c:v>FLOATING</c:v>
                </c:pt>
                <c:pt idx="12">
                  <c:v>BOTTOM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'14'!$AE$6:$AE$21</c:f>
              <c:numCache>
                <c:formatCode>0%</c:formatCode>
                <c:ptCount val="16"/>
                <c:pt idx="0">
                  <c:v>0.39722222222222225</c:v>
                </c:pt>
                <c:pt idx="1">
                  <c:v>0.39722222222222225</c:v>
                </c:pt>
                <c:pt idx="2">
                  <c:v>0.39722222222222225</c:v>
                </c:pt>
                <c:pt idx="3">
                  <c:v>0.39722222222222225</c:v>
                </c:pt>
                <c:pt idx="4">
                  <c:v>0.39722222222222225</c:v>
                </c:pt>
                <c:pt idx="5">
                  <c:v>0.39722222222222225</c:v>
                </c:pt>
                <c:pt idx="6">
                  <c:v>0.39722222222222225</c:v>
                </c:pt>
                <c:pt idx="7">
                  <c:v>0.39722222222222225</c:v>
                </c:pt>
                <c:pt idx="8">
                  <c:v>0.39722222222222225</c:v>
                </c:pt>
                <c:pt idx="9">
                  <c:v>0.39722222222222225</c:v>
                </c:pt>
                <c:pt idx="10">
                  <c:v>0.39722222222222225</c:v>
                </c:pt>
                <c:pt idx="11">
                  <c:v>0.39722222222222225</c:v>
                </c:pt>
                <c:pt idx="12">
                  <c:v>0.39722222222222225</c:v>
                </c:pt>
                <c:pt idx="13">
                  <c:v>0.39722222222222225</c:v>
                </c:pt>
                <c:pt idx="14">
                  <c:v>0.39722222222222225</c:v>
                </c:pt>
                <c:pt idx="15">
                  <c:v>0.39722222222222225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F7-4010-A7D4-6019ADBDE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DB2-41F0-8051-BD92B06BE9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0.30555555555555552</c:v>
                </c:pt>
                <c:pt idx="2">
                  <c:v>0.31666666666666665</c:v>
                </c:pt>
                <c:pt idx="5">
                  <c:v>0.38611111111111113</c:v>
                </c:pt>
                <c:pt idx="6">
                  <c:v>0.4</c:v>
                </c:pt>
                <c:pt idx="7">
                  <c:v>0.46944444444444444</c:v>
                </c:pt>
                <c:pt idx="8">
                  <c:v>0.43888888888888894</c:v>
                </c:pt>
                <c:pt idx="9">
                  <c:v>0.40555555555555561</c:v>
                </c:pt>
                <c:pt idx="12">
                  <c:v>0.43888888888888894</c:v>
                </c:pt>
                <c:pt idx="13">
                  <c:v>0.39722222222222225</c:v>
                </c:pt>
                <c:pt idx="14">
                  <c:v>0.46944444444444439</c:v>
                </c:pt>
                <c:pt idx="15">
                  <c:v>0.3888888888888889</c:v>
                </c:pt>
                <c:pt idx="16">
                  <c:v>0.45833333333333326</c:v>
                </c:pt>
                <c:pt idx="19">
                  <c:v>0.38055555555555548</c:v>
                </c:pt>
                <c:pt idx="20">
                  <c:v>0.32500000000000001</c:v>
                </c:pt>
                <c:pt idx="21">
                  <c:v>0.34166666666666667</c:v>
                </c:pt>
                <c:pt idx="22">
                  <c:v>0.35833333333333334</c:v>
                </c:pt>
                <c:pt idx="27">
                  <c:v>0.28888888888888892</c:v>
                </c:pt>
                <c:pt idx="28">
                  <c:v>0.28611111111111109</c:v>
                </c:pt>
                <c:pt idx="29">
                  <c:v>0.36944444444444446</c:v>
                </c:pt>
                <c:pt idx="30">
                  <c:v>0.31944444444444448</c:v>
                </c:pt>
                <c:pt idx="31">
                  <c:v>0.24336917562724017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B2-41F0-8051-BD92B06BE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DB2-41F0-8051-BD92B06BE98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B2-41F0-8051-BD92B06BE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LATCH</c:v>
                </c:pt>
                <c:pt idx="11">
                  <c:v>SLIDER</c:v>
                </c:pt>
                <c:pt idx="12">
                  <c:v>LEAD GUIDE</c:v>
                </c:pt>
                <c:pt idx="13">
                  <c:v>STOPPER</c:v>
                </c:pt>
              </c:strCache>
            </c:strRef>
          </c:cat>
          <c:val>
            <c:numRef>
              <c:f>'15'!$L$6:$L$20</c:f>
              <c:numCache>
                <c:formatCode>_(* #,##0_);_(* \(#,##0\);_(* "-"_);_(@_)</c:formatCode>
                <c:ptCount val="15"/>
                <c:pt idx="2">
                  <c:v>3138</c:v>
                </c:pt>
                <c:pt idx="3">
                  <c:v>10416</c:v>
                </c:pt>
                <c:pt idx="4">
                  <c:v>3480</c:v>
                </c:pt>
                <c:pt idx="5">
                  <c:v>7736</c:v>
                </c:pt>
                <c:pt idx="7">
                  <c:v>20496</c:v>
                </c:pt>
                <c:pt idx="8">
                  <c:v>55</c:v>
                </c:pt>
                <c:pt idx="9">
                  <c:v>19732</c:v>
                </c:pt>
                <c:pt idx="10">
                  <c:v>2182</c:v>
                </c:pt>
                <c:pt idx="11">
                  <c:v>16156</c:v>
                </c:pt>
                <c:pt idx="12">
                  <c:v>1630</c:v>
                </c:pt>
                <c:pt idx="13">
                  <c:v>20020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63-4F6E-8C2D-DB15F904A36B}"/>
            </c:ext>
          </c:extLst>
        </c:ser>
        <c:ser>
          <c:idx val="1"/>
          <c:order val="1"/>
          <c:tx>
            <c:v>계획</c:v>
          </c:tx>
          <c:cat>
            <c:strRef>
              <c:f>'15'!$D$6:$D$20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LATCH</c:v>
                </c:pt>
                <c:pt idx="11">
                  <c:v>SLIDER</c:v>
                </c:pt>
                <c:pt idx="12">
                  <c:v>LEAD GUIDE</c:v>
                </c:pt>
                <c:pt idx="13">
                  <c:v>STOPPER</c:v>
                </c:pt>
              </c:strCache>
            </c:strRef>
          </c:cat>
          <c:val>
            <c:numRef>
              <c:f>'15'!$J$6:$J$20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3138</c:v>
                </c:pt>
                <c:pt idx="3">
                  <c:v>10416</c:v>
                </c:pt>
                <c:pt idx="4">
                  <c:v>3480</c:v>
                </c:pt>
                <c:pt idx="5">
                  <c:v>7736</c:v>
                </c:pt>
                <c:pt idx="6">
                  <c:v>2000</c:v>
                </c:pt>
                <c:pt idx="7">
                  <c:v>20496</c:v>
                </c:pt>
                <c:pt idx="8">
                  <c:v>55</c:v>
                </c:pt>
                <c:pt idx="9">
                  <c:v>19732</c:v>
                </c:pt>
                <c:pt idx="10">
                  <c:v>2182</c:v>
                </c:pt>
                <c:pt idx="11">
                  <c:v>16156</c:v>
                </c:pt>
                <c:pt idx="12">
                  <c:v>1630</c:v>
                </c:pt>
                <c:pt idx="13">
                  <c:v>20020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63-4F6E-8C2D-DB15F904A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33%</c:v>
                </c:pt>
                <c:pt idx="4">
                  <c:v>29%</c:v>
                </c:pt>
                <c:pt idx="5">
                  <c:v>100%</c:v>
                </c:pt>
                <c:pt idx="6">
                  <c:v>0%</c:v>
                </c:pt>
                <c:pt idx="7">
                  <c:v>92%</c:v>
                </c:pt>
                <c:pt idx="8">
                  <c:v>17%</c:v>
                </c:pt>
                <c:pt idx="9">
                  <c:v>96%</c:v>
                </c:pt>
                <c:pt idx="10">
                  <c:v>25%</c:v>
                </c:pt>
                <c:pt idx="11">
                  <c:v>88%</c:v>
                </c:pt>
                <c:pt idx="12">
                  <c:v>46%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LATCH</c:v>
                </c:pt>
                <c:pt idx="11">
                  <c:v>SLIDER</c:v>
                </c:pt>
                <c:pt idx="12">
                  <c:v>LEAD GUIDE</c:v>
                </c:pt>
                <c:pt idx="13">
                  <c:v>STOPPER</c:v>
                </c:pt>
              </c:strCache>
            </c:strRef>
          </c:cat>
          <c:val>
            <c:numRef>
              <c:f>'15'!$AD$6:$AD$20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0.33333333333333331</c:v>
                </c:pt>
                <c:pt idx="4">
                  <c:v>0.29166666666666669</c:v>
                </c:pt>
                <c:pt idx="5">
                  <c:v>1</c:v>
                </c:pt>
                <c:pt idx="6">
                  <c:v>0</c:v>
                </c:pt>
                <c:pt idx="7">
                  <c:v>0.91666666666666663</c:v>
                </c:pt>
                <c:pt idx="8">
                  <c:v>0.16666666666666666</c:v>
                </c:pt>
                <c:pt idx="9">
                  <c:v>0.95833333333333337</c:v>
                </c:pt>
                <c:pt idx="10">
                  <c:v>0.25</c:v>
                </c:pt>
                <c:pt idx="11">
                  <c:v>0.875</c:v>
                </c:pt>
                <c:pt idx="12">
                  <c:v>0.45833333333333331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E0-4455-BDAF-B4CBCCF5D23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0E0-4455-BDAF-B4CBCCF5D23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LATCH</c:v>
                </c:pt>
                <c:pt idx="11">
                  <c:v>SLIDER</c:v>
                </c:pt>
                <c:pt idx="12">
                  <c:v>LEAD GUIDE</c:v>
                </c:pt>
                <c:pt idx="13">
                  <c:v>STOPPER</c:v>
                </c:pt>
              </c:strCache>
            </c:strRef>
          </c:cat>
          <c:val>
            <c:numRef>
              <c:f>'15'!$AE$6:$AE$20</c:f>
              <c:numCache>
                <c:formatCode>0%</c:formatCode>
                <c:ptCount val="15"/>
                <c:pt idx="0">
                  <c:v>0.46944444444444439</c:v>
                </c:pt>
                <c:pt idx="1">
                  <c:v>0.46944444444444439</c:v>
                </c:pt>
                <c:pt idx="2">
                  <c:v>0.46944444444444439</c:v>
                </c:pt>
                <c:pt idx="3">
                  <c:v>0.46944444444444439</c:v>
                </c:pt>
                <c:pt idx="4">
                  <c:v>0.46944444444444439</c:v>
                </c:pt>
                <c:pt idx="5">
                  <c:v>0.46944444444444439</c:v>
                </c:pt>
                <c:pt idx="6">
                  <c:v>0.46944444444444439</c:v>
                </c:pt>
                <c:pt idx="7">
                  <c:v>0.46944444444444439</c:v>
                </c:pt>
                <c:pt idx="8">
                  <c:v>0.46944444444444439</c:v>
                </c:pt>
                <c:pt idx="9">
                  <c:v>0.46944444444444439</c:v>
                </c:pt>
                <c:pt idx="10">
                  <c:v>0.46944444444444439</c:v>
                </c:pt>
                <c:pt idx="11">
                  <c:v>0.46944444444444439</c:v>
                </c:pt>
                <c:pt idx="12">
                  <c:v>0.46944444444444439</c:v>
                </c:pt>
                <c:pt idx="13">
                  <c:v>0.46944444444444439</c:v>
                </c:pt>
                <c:pt idx="14">
                  <c:v>0.46944444444444439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E0-4455-BDAF-B4CBCCF5D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LATCH</c:v>
                </c:pt>
                <c:pt idx="11">
                  <c:v>SLIDER</c:v>
                </c:pt>
                <c:pt idx="12">
                  <c:v>LEAD GUIDE</c:v>
                </c:pt>
                <c:pt idx="13">
                  <c:v>STOPPER</c:v>
                </c:pt>
              </c:strCache>
            </c:strRef>
          </c:cat>
          <c:val>
            <c:numRef>
              <c:f>'15'!$L$6:$L$20</c:f>
              <c:numCache>
                <c:formatCode>_(* #,##0_);_(* \(#,##0\);_(* "-"_);_(@_)</c:formatCode>
                <c:ptCount val="15"/>
                <c:pt idx="2">
                  <c:v>3138</c:v>
                </c:pt>
                <c:pt idx="3">
                  <c:v>10416</c:v>
                </c:pt>
                <c:pt idx="4">
                  <c:v>3480</c:v>
                </c:pt>
                <c:pt idx="5">
                  <c:v>7736</c:v>
                </c:pt>
                <c:pt idx="7">
                  <c:v>20496</c:v>
                </c:pt>
                <c:pt idx="8">
                  <c:v>55</c:v>
                </c:pt>
                <c:pt idx="9">
                  <c:v>19732</c:v>
                </c:pt>
                <c:pt idx="10">
                  <c:v>2182</c:v>
                </c:pt>
                <c:pt idx="11">
                  <c:v>16156</c:v>
                </c:pt>
                <c:pt idx="12">
                  <c:v>1630</c:v>
                </c:pt>
                <c:pt idx="13">
                  <c:v>20020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A4-46EC-B12C-403D07A152C5}"/>
            </c:ext>
          </c:extLst>
        </c:ser>
        <c:ser>
          <c:idx val="1"/>
          <c:order val="1"/>
          <c:tx>
            <c:v>계획</c:v>
          </c:tx>
          <c:cat>
            <c:strRef>
              <c:f>'15'!$D$6:$D$20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LATCH</c:v>
                </c:pt>
                <c:pt idx="11">
                  <c:v>SLIDER</c:v>
                </c:pt>
                <c:pt idx="12">
                  <c:v>LEAD GUIDE</c:v>
                </c:pt>
                <c:pt idx="13">
                  <c:v>STOPPER</c:v>
                </c:pt>
              </c:strCache>
            </c:strRef>
          </c:cat>
          <c:val>
            <c:numRef>
              <c:f>'15'!$J$6:$J$20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3138</c:v>
                </c:pt>
                <c:pt idx="3">
                  <c:v>10416</c:v>
                </c:pt>
                <c:pt idx="4">
                  <c:v>3480</c:v>
                </c:pt>
                <c:pt idx="5">
                  <c:v>7736</c:v>
                </c:pt>
                <c:pt idx="6">
                  <c:v>2000</c:v>
                </c:pt>
                <c:pt idx="7">
                  <c:v>20496</c:v>
                </c:pt>
                <c:pt idx="8">
                  <c:v>55</c:v>
                </c:pt>
                <c:pt idx="9">
                  <c:v>19732</c:v>
                </c:pt>
                <c:pt idx="10">
                  <c:v>2182</c:v>
                </c:pt>
                <c:pt idx="11">
                  <c:v>16156</c:v>
                </c:pt>
                <c:pt idx="12">
                  <c:v>1630</c:v>
                </c:pt>
                <c:pt idx="13">
                  <c:v>20020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A4-46EC-B12C-403D07A15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33%</c:v>
                </c:pt>
                <c:pt idx="4">
                  <c:v>29%</c:v>
                </c:pt>
                <c:pt idx="5">
                  <c:v>100%</c:v>
                </c:pt>
                <c:pt idx="6">
                  <c:v>0%</c:v>
                </c:pt>
                <c:pt idx="7">
                  <c:v>92%</c:v>
                </c:pt>
                <c:pt idx="8">
                  <c:v>17%</c:v>
                </c:pt>
                <c:pt idx="9">
                  <c:v>96%</c:v>
                </c:pt>
                <c:pt idx="10">
                  <c:v>25%</c:v>
                </c:pt>
                <c:pt idx="11">
                  <c:v>88%</c:v>
                </c:pt>
                <c:pt idx="12">
                  <c:v>46%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LATCH</c:v>
                </c:pt>
                <c:pt idx="11">
                  <c:v>SLIDER</c:v>
                </c:pt>
                <c:pt idx="12">
                  <c:v>LEAD GUIDE</c:v>
                </c:pt>
                <c:pt idx="13">
                  <c:v>STOPPER</c:v>
                </c:pt>
              </c:strCache>
            </c:strRef>
          </c:cat>
          <c:val>
            <c:numRef>
              <c:f>'15'!$AD$6:$AD$20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0.33333333333333331</c:v>
                </c:pt>
                <c:pt idx="4">
                  <c:v>0.29166666666666669</c:v>
                </c:pt>
                <c:pt idx="5">
                  <c:v>1</c:v>
                </c:pt>
                <c:pt idx="6">
                  <c:v>0</c:v>
                </c:pt>
                <c:pt idx="7">
                  <c:v>0.91666666666666663</c:v>
                </c:pt>
                <c:pt idx="8">
                  <c:v>0.16666666666666666</c:v>
                </c:pt>
                <c:pt idx="9">
                  <c:v>0.95833333333333337</c:v>
                </c:pt>
                <c:pt idx="10">
                  <c:v>0.25</c:v>
                </c:pt>
                <c:pt idx="11">
                  <c:v>0.875</c:v>
                </c:pt>
                <c:pt idx="12">
                  <c:v>0.45833333333333331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AD-4D67-9DCD-12E68E37052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CAD-4D67-9DCD-12E68E37052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LATCH</c:v>
                </c:pt>
                <c:pt idx="11">
                  <c:v>SLIDER</c:v>
                </c:pt>
                <c:pt idx="12">
                  <c:v>LEAD GUIDE</c:v>
                </c:pt>
                <c:pt idx="13">
                  <c:v>STOPPER</c:v>
                </c:pt>
              </c:strCache>
            </c:strRef>
          </c:cat>
          <c:val>
            <c:numRef>
              <c:f>'15'!$AE$6:$AE$20</c:f>
              <c:numCache>
                <c:formatCode>0%</c:formatCode>
                <c:ptCount val="15"/>
                <c:pt idx="0">
                  <c:v>0.46944444444444439</c:v>
                </c:pt>
                <c:pt idx="1">
                  <c:v>0.46944444444444439</c:v>
                </c:pt>
                <c:pt idx="2">
                  <c:v>0.46944444444444439</c:v>
                </c:pt>
                <c:pt idx="3">
                  <c:v>0.46944444444444439</c:v>
                </c:pt>
                <c:pt idx="4">
                  <c:v>0.46944444444444439</c:v>
                </c:pt>
                <c:pt idx="5">
                  <c:v>0.46944444444444439</c:v>
                </c:pt>
                <c:pt idx="6">
                  <c:v>0.46944444444444439</c:v>
                </c:pt>
                <c:pt idx="7">
                  <c:v>0.46944444444444439</c:v>
                </c:pt>
                <c:pt idx="8">
                  <c:v>0.46944444444444439</c:v>
                </c:pt>
                <c:pt idx="9">
                  <c:v>0.46944444444444439</c:v>
                </c:pt>
                <c:pt idx="10">
                  <c:v>0.46944444444444439</c:v>
                </c:pt>
                <c:pt idx="11">
                  <c:v>0.46944444444444439</c:v>
                </c:pt>
                <c:pt idx="12">
                  <c:v>0.46944444444444439</c:v>
                </c:pt>
                <c:pt idx="13">
                  <c:v>0.46944444444444439</c:v>
                </c:pt>
                <c:pt idx="14">
                  <c:v>0.46944444444444439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AD-4D67-9DCD-12E68E370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F19-44C8-9EFA-399FBCE53F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0.30555555555555552</c:v>
                </c:pt>
                <c:pt idx="2">
                  <c:v>0.31666666666666665</c:v>
                </c:pt>
                <c:pt idx="5">
                  <c:v>0.38611111111111113</c:v>
                </c:pt>
                <c:pt idx="6">
                  <c:v>0.4</c:v>
                </c:pt>
                <c:pt idx="7">
                  <c:v>0.46944444444444444</c:v>
                </c:pt>
                <c:pt idx="8">
                  <c:v>0.43888888888888894</c:v>
                </c:pt>
                <c:pt idx="9">
                  <c:v>0.40555555555555561</c:v>
                </c:pt>
                <c:pt idx="12">
                  <c:v>0.43888888888888894</c:v>
                </c:pt>
                <c:pt idx="13">
                  <c:v>0.39722222222222225</c:v>
                </c:pt>
                <c:pt idx="14">
                  <c:v>0.46944444444444439</c:v>
                </c:pt>
                <c:pt idx="15">
                  <c:v>0.3888888888888889</c:v>
                </c:pt>
                <c:pt idx="16">
                  <c:v>0.45833333333333326</c:v>
                </c:pt>
                <c:pt idx="19">
                  <c:v>0.38055555555555548</c:v>
                </c:pt>
                <c:pt idx="20">
                  <c:v>0.32500000000000001</c:v>
                </c:pt>
                <c:pt idx="21">
                  <c:v>0.34166666666666667</c:v>
                </c:pt>
                <c:pt idx="22">
                  <c:v>0.35833333333333334</c:v>
                </c:pt>
                <c:pt idx="27">
                  <c:v>0.28888888888888892</c:v>
                </c:pt>
                <c:pt idx="28">
                  <c:v>0.28611111111111109</c:v>
                </c:pt>
                <c:pt idx="29">
                  <c:v>0.36944444444444446</c:v>
                </c:pt>
                <c:pt idx="30">
                  <c:v>0.31944444444444448</c:v>
                </c:pt>
                <c:pt idx="31">
                  <c:v>0.24336917562724017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19-44C8-9EFA-399FBCE53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F19-44C8-9EFA-399FBCE53FB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19-44C8-9EFA-399FBCE53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24V</c:v>
                </c:pt>
                <c:pt idx="10">
                  <c:v>LATCH</c:v>
                </c:pt>
                <c:pt idx="11">
                  <c:v>COVER</c:v>
                </c:pt>
                <c:pt idx="12">
                  <c:v>TOP</c:v>
                </c:pt>
                <c:pt idx="13">
                  <c:v>STOPPER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4">
                  <c:v>4200</c:v>
                </c:pt>
                <c:pt idx="5">
                  <c:v>4520</c:v>
                </c:pt>
                <c:pt idx="6">
                  <c:v>6201</c:v>
                </c:pt>
                <c:pt idx="7">
                  <c:v>22064</c:v>
                </c:pt>
                <c:pt idx="9">
                  <c:v>21256</c:v>
                </c:pt>
                <c:pt idx="11">
                  <c:v>20368</c:v>
                </c:pt>
                <c:pt idx="12">
                  <c:v>2082</c:v>
                </c:pt>
                <c:pt idx="13">
                  <c:v>20460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C2-4571-8298-274198BD7761}"/>
            </c:ext>
          </c:extLst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24V</c:v>
                </c:pt>
                <c:pt idx="10">
                  <c:v>LATCH</c:v>
                </c:pt>
                <c:pt idx="11">
                  <c:v>COVER</c:v>
                </c:pt>
                <c:pt idx="12">
                  <c:v>TOP</c:v>
                </c:pt>
                <c:pt idx="13">
                  <c:v>STOPPER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3138</c:v>
                </c:pt>
                <c:pt idx="3">
                  <c:v>10416</c:v>
                </c:pt>
                <c:pt idx="4">
                  <c:v>4200</c:v>
                </c:pt>
                <c:pt idx="5">
                  <c:v>4520</c:v>
                </c:pt>
                <c:pt idx="6">
                  <c:v>6201</c:v>
                </c:pt>
                <c:pt idx="7">
                  <c:v>22064</c:v>
                </c:pt>
                <c:pt idx="8">
                  <c:v>55</c:v>
                </c:pt>
                <c:pt idx="9">
                  <c:v>21256</c:v>
                </c:pt>
                <c:pt idx="10">
                  <c:v>2182</c:v>
                </c:pt>
                <c:pt idx="11">
                  <c:v>20368</c:v>
                </c:pt>
                <c:pt idx="12">
                  <c:v>2082</c:v>
                </c:pt>
                <c:pt idx="13">
                  <c:v>20460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C2-4571-8298-274198BD7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25%</c:v>
                </c:pt>
                <c:pt idx="5">
                  <c:v>50%</c:v>
                </c:pt>
                <c:pt idx="6">
                  <c:v>50%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100%</c:v>
                </c:pt>
                <c:pt idx="12">
                  <c:v>58%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24V</c:v>
                </c:pt>
                <c:pt idx="10">
                  <c:v>LATCH</c:v>
                </c:pt>
                <c:pt idx="11">
                  <c:v>COVER</c:v>
                </c:pt>
                <c:pt idx="12">
                  <c:v>TOP</c:v>
                </c:pt>
                <c:pt idx="13">
                  <c:v>STOPPER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0.25</c:v>
                </c:pt>
                <c:pt idx="5">
                  <c:v>0.5</c:v>
                </c:pt>
                <c:pt idx="6">
                  <c:v>0.5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0.58333333333333337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8-4540-BE7C-A31C187003B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4A8-4540-BE7C-A31C187003B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24V</c:v>
                </c:pt>
                <c:pt idx="10">
                  <c:v>LATCH</c:v>
                </c:pt>
                <c:pt idx="11">
                  <c:v>COVER</c:v>
                </c:pt>
                <c:pt idx="12">
                  <c:v>TOP</c:v>
                </c:pt>
                <c:pt idx="13">
                  <c:v>STOPPER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0.3888888888888889</c:v>
                </c:pt>
                <c:pt idx="1">
                  <c:v>0.3888888888888889</c:v>
                </c:pt>
                <c:pt idx="2">
                  <c:v>0.3888888888888889</c:v>
                </c:pt>
                <c:pt idx="3">
                  <c:v>0.3888888888888889</c:v>
                </c:pt>
                <c:pt idx="4">
                  <c:v>0.3888888888888889</c:v>
                </c:pt>
                <c:pt idx="5">
                  <c:v>0.3888888888888889</c:v>
                </c:pt>
                <c:pt idx="6">
                  <c:v>0.3888888888888889</c:v>
                </c:pt>
                <c:pt idx="7">
                  <c:v>0.3888888888888889</c:v>
                </c:pt>
                <c:pt idx="8">
                  <c:v>0.3888888888888889</c:v>
                </c:pt>
                <c:pt idx="9">
                  <c:v>0.3888888888888889</c:v>
                </c:pt>
                <c:pt idx="10">
                  <c:v>0.3888888888888889</c:v>
                </c:pt>
                <c:pt idx="11">
                  <c:v>0.3888888888888889</c:v>
                </c:pt>
                <c:pt idx="12">
                  <c:v>0.3888888888888889</c:v>
                </c:pt>
                <c:pt idx="13">
                  <c:v>0.3888888888888889</c:v>
                </c:pt>
                <c:pt idx="14">
                  <c:v>0.3888888888888889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8-4540-BE7C-A31C18700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24V</c:v>
                </c:pt>
                <c:pt idx="10">
                  <c:v>LATCH</c:v>
                </c:pt>
                <c:pt idx="11">
                  <c:v>COVER</c:v>
                </c:pt>
                <c:pt idx="12">
                  <c:v>TOP</c:v>
                </c:pt>
                <c:pt idx="13">
                  <c:v>STOPPER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4">
                  <c:v>4200</c:v>
                </c:pt>
                <c:pt idx="5">
                  <c:v>4520</c:v>
                </c:pt>
                <c:pt idx="6">
                  <c:v>6201</c:v>
                </c:pt>
                <c:pt idx="7">
                  <c:v>22064</c:v>
                </c:pt>
                <c:pt idx="9">
                  <c:v>21256</c:v>
                </c:pt>
                <c:pt idx="11">
                  <c:v>20368</c:v>
                </c:pt>
                <c:pt idx="12">
                  <c:v>2082</c:v>
                </c:pt>
                <c:pt idx="13">
                  <c:v>20460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4B-40AE-B19B-7E345ED2ECF3}"/>
            </c:ext>
          </c:extLst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24V</c:v>
                </c:pt>
                <c:pt idx="10">
                  <c:v>LATCH</c:v>
                </c:pt>
                <c:pt idx="11">
                  <c:v>COVER</c:v>
                </c:pt>
                <c:pt idx="12">
                  <c:v>TOP</c:v>
                </c:pt>
                <c:pt idx="13">
                  <c:v>STOPPER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3138</c:v>
                </c:pt>
                <c:pt idx="3">
                  <c:v>10416</c:v>
                </c:pt>
                <c:pt idx="4">
                  <c:v>4200</c:v>
                </c:pt>
                <c:pt idx="5">
                  <c:v>4520</c:v>
                </c:pt>
                <c:pt idx="6">
                  <c:v>6201</c:v>
                </c:pt>
                <c:pt idx="7">
                  <c:v>22064</c:v>
                </c:pt>
                <c:pt idx="8">
                  <c:v>55</c:v>
                </c:pt>
                <c:pt idx="9">
                  <c:v>21256</c:v>
                </c:pt>
                <c:pt idx="10">
                  <c:v>2182</c:v>
                </c:pt>
                <c:pt idx="11">
                  <c:v>20368</c:v>
                </c:pt>
                <c:pt idx="12">
                  <c:v>2082</c:v>
                </c:pt>
                <c:pt idx="13">
                  <c:v>20460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4B-40AE-B19B-7E345ED2E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25%</c:v>
                </c:pt>
                <c:pt idx="5">
                  <c:v>50%</c:v>
                </c:pt>
                <c:pt idx="6">
                  <c:v>50%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100%</c:v>
                </c:pt>
                <c:pt idx="12">
                  <c:v>58%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24V</c:v>
                </c:pt>
                <c:pt idx="10">
                  <c:v>LATCH</c:v>
                </c:pt>
                <c:pt idx="11">
                  <c:v>COVER</c:v>
                </c:pt>
                <c:pt idx="12">
                  <c:v>TOP</c:v>
                </c:pt>
                <c:pt idx="13">
                  <c:v>STOPPER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0.25</c:v>
                </c:pt>
                <c:pt idx="5">
                  <c:v>0.5</c:v>
                </c:pt>
                <c:pt idx="6">
                  <c:v>0.5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0.58333333333333337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AF-42A4-B3B6-EDF7463D9C7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2AF-42A4-B3B6-EDF7463D9C7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24V</c:v>
                </c:pt>
                <c:pt idx="10">
                  <c:v>LATCH</c:v>
                </c:pt>
                <c:pt idx="11">
                  <c:v>COVER</c:v>
                </c:pt>
                <c:pt idx="12">
                  <c:v>TOP</c:v>
                </c:pt>
                <c:pt idx="13">
                  <c:v>STOPPER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0.3888888888888889</c:v>
                </c:pt>
                <c:pt idx="1">
                  <c:v>0.3888888888888889</c:v>
                </c:pt>
                <c:pt idx="2">
                  <c:v>0.3888888888888889</c:v>
                </c:pt>
                <c:pt idx="3">
                  <c:v>0.3888888888888889</c:v>
                </c:pt>
                <c:pt idx="4">
                  <c:v>0.3888888888888889</c:v>
                </c:pt>
                <c:pt idx="5">
                  <c:v>0.3888888888888889</c:v>
                </c:pt>
                <c:pt idx="6">
                  <c:v>0.3888888888888889</c:v>
                </c:pt>
                <c:pt idx="7">
                  <c:v>0.3888888888888889</c:v>
                </c:pt>
                <c:pt idx="8">
                  <c:v>0.3888888888888889</c:v>
                </c:pt>
                <c:pt idx="9">
                  <c:v>0.3888888888888889</c:v>
                </c:pt>
                <c:pt idx="10">
                  <c:v>0.3888888888888889</c:v>
                </c:pt>
                <c:pt idx="11">
                  <c:v>0.3888888888888889</c:v>
                </c:pt>
                <c:pt idx="12">
                  <c:v>0.3888888888888889</c:v>
                </c:pt>
                <c:pt idx="13">
                  <c:v>0.3888888888888889</c:v>
                </c:pt>
                <c:pt idx="14">
                  <c:v>0.3888888888888889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AF-42A4-B3B6-EDF7463D9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FCE-4021-B8E7-96F8163130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0.30555555555555552</c:v>
                </c:pt>
                <c:pt idx="2">
                  <c:v>0.31666666666666665</c:v>
                </c:pt>
                <c:pt idx="5">
                  <c:v>0.38611111111111113</c:v>
                </c:pt>
                <c:pt idx="6">
                  <c:v>0.4</c:v>
                </c:pt>
                <c:pt idx="7">
                  <c:v>0.46944444444444444</c:v>
                </c:pt>
                <c:pt idx="8">
                  <c:v>0.43888888888888894</c:v>
                </c:pt>
                <c:pt idx="9">
                  <c:v>0.40555555555555561</c:v>
                </c:pt>
                <c:pt idx="12">
                  <c:v>0.43888888888888894</c:v>
                </c:pt>
                <c:pt idx="13">
                  <c:v>0.39722222222222225</c:v>
                </c:pt>
                <c:pt idx="14">
                  <c:v>0.46944444444444439</c:v>
                </c:pt>
                <c:pt idx="15">
                  <c:v>0.3888888888888889</c:v>
                </c:pt>
                <c:pt idx="16">
                  <c:v>0.45833333333333326</c:v>
                </c:pt>
                <c:pt idx="19">
                  <c:v>0.38055555555555548</c:v>
                </c:pt>
                <c:pt idx="20">
                  <c:v>0.32500000000000001</c:v>
                </c:pt>
                <c:pt idx="21">
                  <c:v>0.34166666666666667</c:v>
                </c:pt>
                <c:pt idx="22">
                  <c:v>0.35833333333333334</c:v>
                </c:pt>
                <c:pt idx="27">
                  <c:v>0.28888888888888892</c:v>
                </c:pt>
                <c:pt idx="28">
                  <c:v>0.28611111111111109</c:v>
                </c:pt>
                <c:pt idx="29">
                  <c:v>0.36944444444444446</c:v>
                </c:pt>
                <c:pt idx="30">
                  <c:v>0.31944444444444448</c:v>
                </c:pt>
                <c:pt idx="31">
                  <c:v>0.24336917562724017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CE-4021-B8E7-96F816313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FCE-4021-B8E7-96F81631300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CE-4021-B8E7-96F816313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24V</c:v>
                </c:pt>
                <c:pt idx="10">
                  <c:v>LATCH</c:v>
                </c:pt>
                <c:pt idx="11">
                  <c:v>COVER</c:v>
                </c:pt>
                <c:pt idx="12">
                  <c:v>BOTTOM</c:v>
                </c:pt>
                <c:pt idx="13">
                  <c:v>STOPPER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3">
                  <c:v>14284</c:v>
                </c:pt>
                <c:pt idx="4">
                  <c:v>8468</c:v>
                </c:pt>
                <c:pt idx="5">
                  <c:v>10494</c:v>
                </c:pt>
                <c:pt idx="6">
                  <c:v>6952</c:v>
                </c:pt>
                <c:pt idx="7">
                  <c:v>21048</c:v>
                </c:pt>
                <c:pt idx="9">
                  <c:v>21596</c:v>
                </c:pt>
                <c:pt idx="12">
                  <c:v>3382</c:v>
                </c:pt>
                <c:pt idx="13">
                  <c:v>20164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AE-451F-8D6C-D0259E59AC07}"/>
            </c:ext>
          </c:extLst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24V</c:v>
                </c:pt>
                <c:pt idx="10">
                  <c:v>LATCH</c:v>
                </c:pt>
                <c:pt idx="11">
                  <c:v>COVER</c:v>
                </c:pt>
                <c:pt idx="12">
                  <c:v>BOTTOM</c:v>
                </c:pt>
                <c:pt idx="13">
                  <c:v>STOPPER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3138</c:v>
                </c:pt>
                <c:pt idx="3">
                  <c:v>14284</c:v>
                </c:pt>
                <c:pt idx="4">
                  <c:v>8468</c:v>
                </c:pt>
                <c:pt idx="5">
                  <c:v>10494</c:v>
                </c:pt>
                <c:pt idx="6">
                  <c:v>6952</c:v>
                </c:pt>
                <c:pt idx="7">
                  <c:v>21048</c:v>
                </c:pt>
                <c:pt idx="8">
                  <c:v>55</c:v>
                </c:pt>
                <c:pt idx="9">
                  <c:v>21596</c:v>
                </c:pt>
                <c:pt idx="10">
                  <c:v>2182</c:v>
                </c:pt>
                <c:pt idx="11">
                  <c:v>20368</c:v>
                </c:pt>
                <c:pt idx="12">
                  <c:v>3382</c:v>
                </c:pt>
                <c:pt idx="13">
                  <c:v>20164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AE-451F-8D6C-D0259E59A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75%</c:v>
                </c:pt>
                <c:pt idx="4">
                  <c:v>63%</c:v>
                </c:pt>
                <c:pt idx="5">
                  <c:v>100%</c:v>
                </c:pt>
                <c:pt idx="6">
                  <c:v>79%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71%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24V</c:v>
                </c:pt>
                <c:pt idx="10">
                  <c:v>LATCH</c:v>
                </c:pt>
                <c:pt idx="11">
                  <c:v>COVER</c:v>
                </c:pt>
                <c:pt idx="12">
                  <c:v>BOTTOM</c:v>
                </c:pt>
                <c:pt idx="13">
                  <c:v>STOPPER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</c:v>
                </c:pt>
                <c:pt idx="4">
                  <c:v>0.625</c:v>
                </c:pt>
                <c:pt idx="5">
                  <c:v>1</c:v>
                </c:pt>
                <c:pt idx="6">
                  <c:v>0.79166666666666663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0.70833333333333337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2B-4548-AE18-3E1505AAD7F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12B-4548-AE18-3E1505AAD7F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24V</c:v>
                </c:pt>
                <c:pt idx="10">
                  <c:v>LATCH</c:v>
                </c:pt>
                <c:pt idx="11">
                  <c:v>COVER</c:v>
                </c:pt>
                <c:pt idx="12">
                  <c:v>BOTTOM</c:v>
                </c:pt>
                <c:pt idx="13">
                  <c:v>STOPPER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0.45833333333333326</c:v>
                </c:pt>
                <c:pt idx="1">
                  <c:v>0.45833333333333326</c:v>
                </c:pt>
                <c:pt idx="2">
                  <c:v>0.45833333333333326</c:v>
                </c:pt>
                <c:pt idx="3">
                  <c:v>0.45833333333333326</c:v>
                </c:pt>
                <c:pt idx="4">
                  <c:v>0.45833333333333326</c:v>
                </c:pt>
                <c:pt idx="5">
                  <c:v>0.45833333333333326</c:v>
                </c:pt>
                <c:pt idx="6">
                  <c:v>0.45833333333333326</c:v>
                </c:pt>
                <c:pt idx="7">
                  <c:v>0.45833333333333326</c:v>
                </c:pt>
                <c:pt idx="8">
                  <c:v>0.45833333333333326</c:v>
                </c:pt>
                <c:pt idx="9">
                  <c:v>0.45833333333333326</c:v>
                </c:pt>
                <c:pt idx="10">
                  <c:v>0.45833333333333326</c:v>
                </c:pt>
                <c:pt idx="11">
                  <c:v>0.45833333333333326</c:v>
                </c:pt>
                <c:pt idx="12">
                  <c:v>0.45833333333333326</c:v>
                </c:pt>
                <c:pt idx="13">
                  <c:v>0.45833333333333326</c:v>
                </c:pt>
                <c:pt idx="14">
                  <c:v>0.45833333333333326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2B-4548-AE18-3E1505AAD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24V</c:v>
                </c:pt>
                <c:pt idx="10">
                  <c:v>LATCH</c:v>
                </c:pt>
                <c:pt idx="11">
                  <c:v>COVER</c:v>
                </c:pt>
                <c:pt idx="12">
                  <c:v>BOTTOM</c:v>
                </c:pt>
                <c:pt idx="13">
                  <c:v>STOPPER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3">
                  <c:v>14284</c:v>
                </c:pt>
                <c:pt idx="4">
                  <c:v>8468</c:v>
                </c:pt>
                <c:pt idx="5">
                  <c:v>10494</c:v>
                </c:pt>
                <c:pt idx="6">
                  <c:v>6952</c:v>
                </c:pt>
                <c:pt idx="7">
                  <c:v>21048</c:v>
                </c:pt>
                <c:pt idx="9">
                  <c:v>21596</c:v>
                </c:pt>
                <c:pt idx="12">
                  <c:v>3382</c:v>
                </c:pt>
                <c:pt idx="13">
                  <c:v>20164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79-4470-91F7-979228528595}"/>
            </c:ext>
          </c:extLst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24V</c:v>
                </c:pt>
                <c:pt idx="10">
                  <c:v>LATCH</c:v>
                </c:pt>
                <c:pt idx="11">
                  <c:v>COVER</c:v>
                </c:pt>
                <c:pt idx="12">
                  <c:v>BOTTOM</c:v>
                </c:pt>
                <c:pt idx="13">
                  <c:v>STOPPER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3138</c:v>
                </c:pt>
                <c:pt idx="3">
                  <c:v>14284</c:v>
                </c:pt>
                <c:pt idx="4">
                  <c:v>8468</c:v>
                </c:pt>
                <c:pt idx="5">
                  <c:v>10494</c:v>
                </c:pt>
                <c:pt idx="6">
                  <c:v>6952</c:v>
                </c:pt>
                <c:pt idx="7">
                  <c:v>21048</c:v>
                </c:pt>
                <c:pt idx="8">
                  <c:v>55</c:v>
                </c:pt>
                <c:pt idx="9">
                  <c:v>21596</c:v>
                </c:pt>
                <c:pt idx="10">
                  <c:v>2182</c:v>
                </c:pt>
                <c:pt idx="11">
                  <c:v>20368</c:v>
                </c:pt>
                <c:pt idx="12">
                  <c:v>3382</c:v>
                </c:pt>
                <c:pt idx="13">
                  <c:v>20164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79-4470-91F7-979228528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75%</c:v>
                </c:pt>
                <c:pt idx="4">
                  <c:v>63%</c:v>
                </c:pt>
                <c:pt idx="5">
                  <c:v>100%</c:v>
                </c:pt>
                <c:pt idx="6">
                  <c:v>79%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71%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24V</c:v>
                </c:pt>
                <c:pt idx="10">
                  <c:v>LATCH</c:v>
                </c:pt>
                <c:pt idx="11">
                  <c:v>COVER</c:v>
                </c:pt>
                <c:pt idx="12">
                  <c:v>BOTTOM</c:v>
                </c:pt>
                <c:pt idx="13">
                  <c:v>STOPPER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</c:v>
                </c:pt>
                <c:pt idx="4">
                  <c:v>0.625</c:v>
                </c:pt>
                <c:pt idx="5">
                  <c:v>1</c:v>
                </c:pt>
                <c:pt idx="6">
                  <c:v>0.79166666666666663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0.70833333333333337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4C-441D-B3C8-361A1E12102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84C-441D-B3C8-361A1E12102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24V</c:v>
                </c:pt>
                <c:pt idx="10">
                  <c:v>LATCH</c:v>
                </c:pt>
                <c:pt idx="11">
                  <c:v>COVER</c:v>
                </c:pt>
                <c:pt idx="12">
                  <c:v>BOTTOM</c:v>
                </c:pt>
                <c:pt idx="13">
                  <c:v>STOPPER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0.45833333333333326</c:v>
                </c:pt>
                <c:pt idx="1">
                  <c:v>0.45833333333333326</c:v>
                </c:pt>
                <c:pt idx="2">
                  <c:v>0.45833333333333326</c:v>
                </c:pt>
                <c:pt idx="3">
                  <c:v>0.45833333333333326</c:v>
                </c:pt>
                <c:pt idx="4">
                  <c:v>0.45833333333333326</c:v>
                </c:pt>
                <c:pt idx="5">
                  <c:v>0.45833333333333326</c:v>
                </c:pt>
                <c:pt idx="6">
                  <c:v>0.45833333333333326</c:v>
                </c:pt>
                <c:pt idx="7">
                  <c:v>0.45833333333333326</c:v>
                </c:pt>
                <c:pt idx="8">
                  <c:v>0.45833333333333326</c:v>
                </c:pt>
                <c:pt idx="9">
                  <c:v>0.45833333333333326</c:v>
                </c:pt>
                <c:pt idx="10">
                  <c:v>0.45833333333333326</c:v>
                </c:pt>
                <c:pt idx="11">
                  <c:v>0.45833333333333326</c:v>
                </c:pt>
                <c:pt idx="12">
                  <c:v>0.45833333333333326</c:v>
                </c:pt>
                <c:pt idx="13">
                  <c:v>0.45833333333333326</c:v>
                </c:pt>
                <c:pt idx="14">
                  <c:v>0.45833333333333326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4C-441D-B3C8-361A1E121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E0F-436A-992E-1FFF195DF5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0.30555555555555552</c:v>
                </c:pt>
                <c:pt idx="2">
                  <c:v>0.31666666666666665</c:v>
                </c:pt>
                <c:pt idx="5">
                  <c:v>0.38611111111111113</c:v>
                </c:pt>
                <c:pt idx="6">
                  <c:v>0.4</c:v>
                </c:pt>
                <c:pt idx="7">
                  <c:v>0.46944444444444444</c:v>
                </c:pt>
                <c:pt idx="8">
                  <c:v>0.43888888888888894</c:v>
                </c:pt>
                <c:pt idx="9">
                  <c:v>0.40555555555555561</c:v>
                </c:pt>
                <c:pt idx="12">
                  <c:v>0.43888888888888894</c:v>
                </c:pt>
                <c:pt idx="13">
                  <c:v>0.39722222222222225</c:v>
                </c:pt>
                <c:pt idx="14">
                  <c:v>0.46944444444444439</c:v>
                </c:pt>
                <c:pt idx="15">
                  <c:v>0.3888888888888889</c:v>
                </c:pt>
                <c:pt idx="16">
                  <c:v>0.45833333333333326</c:v>
                </c:pt>
                <c:pt idx="19">
                  <c:v>0.38055555555555548</c:v>
                </c:pt>
                <c:pt idx="20">
                  <c:v>0.32500000000000001</c:v>
                </c:pt>
                <c:pt idx="21">
                  <c:v>0.34166666666666667</c:v>
                </c:pt>
                <c:pt idx="22">
                  <c:v>0.35833333333333334</c:v>
                </c:pt>
                <c:pt idx="27">
                  <c:v>0.28888888888888892</c:v>
                </c:pt>
                <c:pt idx="28">
                  <c:v>0.28611111111111109</c:v>
                </c:pt>
                <c:pt idx="29">
                  <c:v>0.36944444444444446</c:v>
                </c:pt>
                <c:pt idx="30">
                  <c:v>0.31944444444444448</c:v>
                </c:pt>
                <c:pt idx="31">
                  <c:v>0.24336917562724017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0F-436A-992E-1FFF195DF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E0F-436A-992E-1FFF195DF54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0F-436A-992E-1FFF195DF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9">
                  <c:v>LED 24V</c:v>
                </c:pt>
                <c:pt idx="10">
                  <c:v>LATCH</c:v>
                </c:pt>
                <c:pt idx="11">
                  <c:v>LEAD IN</c:v>
                </c:pt>
                <c:pt idx="12">
                  <c:v>BOTTOM</c:v>
                </c:pt>
                <c:pt idx="13">
                  <c:v>LEAD GUIDE</c:v>
                </c:pt>
                <c:pt idx="14">
                  <c:v>STOPPER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3">
                  <c:v>17836</c:v>
                </c:pt>
                <c:pt idx="4">
                  <c:v>9396</c:v>
                </c:pt>
                <c:pt idx="5">
                  <c:v>3986</c:v>
                </c:pt>
                <c:pt idx="6">
                  <c:v>6108</c:v>
                </c:pt>
                <c:pt idx="7">
                  <c:v>11316</c:v>
                </c:pt>
                <c:pt idx="8">
                  <c:v>1474</c:v>
                </c:pt>
                <c:pt idx="9">
                  <c:v>13236</c:v>
                </c:pt>
                <c:pt idx="11">
                  <c:v>1309</c:v>
                </c:pt>
                <c:pt idx="12">
                  <c:v>449</c:v>
                </c:pt>
                <c:pt idx="13">
                  <c:v>1347</c:v>
                </c:pt>
                <c:pt idx="14">
                  <c:v>15216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3A-4C60-A69C-E24F41C87E75}"/>
            </c:ext>
          </c:extLst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9">
                  <c:v>LED 24V</c:v>
                </c:pt>
                <c:pt idx="10">
                  <c:v>LATCH</c:v>
                </c:pt>
                <c:pt idx="11">
                  <c:v>LEAD IN</c:v>
                </c:pt>
                <c:pt idx="12">
                  <c:v>BOTTOM</c:v>
                </c:pt>
                <c:pt idx="13">
                  <c:v>LEAD GUIDE</c:v>
                </c:pt>
                <c:pt idx="14">
                  <c:v>STOPPER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3138</c:v>
                </c:pt>
                <c:pt idx="3">
                  <c:v>17836</c:v>
                </c:pt>
                <c:pt idx="4">
                  <c:v>9396</c:v>
                </c:pt>
                <c:pt idx="5">
                  <c:v>3986</c:v>
                </c:pt>
                <c:pt idx="6">
                  <c:v>6108</c:v>
                </c:pt>
                <c:pt idx="7">
                  <c:v>11316</c:v>
                </c:pt>
                <c:pt idx="8">
                  <c:v>1474</c:v>
                </c:pt>
                <c:pt idx="9">
                  <c:v>13236</c:v>
                </c:pt>
                <c:pt idx="10">
                  <c:v>2182</c:v>
                </c:pt>
                <c:pt idx="11">
                  <c:v>1309</c:v>
                </c:pt>
                <c:pt idx="12">
                  <c:v>449</c:v>
                </c:pt>
                <c:pt idx="13">
                  <c:v>1347</c:v>
                </c:pt>
                <c:pt idx="14">
                  <c:v>15216</c:v>
                </c:pt>
                <c:pt idx="15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3A-4C60-A69C-E24F41C87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79%</c:v>
                </c:pt>
                <c:pt idx="4">
                  <c:v>75%</c:v>
                </c:pt>
                <c:pt idx="5">
                  <c:v>42%</c:v>
                </c:pt>
                <c:pt idx="6">
                  <c:v>33%</c:v>
                </c:pt>
                <c:pt idx="7">
                  <c:v>58%</c:v>
                </c:pt>
                <c:pt idx="8">
                  <c:v>42%</c:v>
                </c:pt>
                <c:pt idx="9">
                  <c:v>75%</c:v>
                </c:pt>
                <c:pt idx="10">
                  <c:v>0%</c:v>
                </c:pt>
                <c:pt idx="11">
                  <c:v>33%</c:v>
                </c:pt>
                <c:pt idx="12">
                  <c:v>13%</c:v>
                </c:pt>
                <c:pt idx="13">
                  <c:v>38%</c:v>
                </c:pt>
                <c:pt idx="14">
                  <c:v>83%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9">
                  <c:v>LED 24V</c:v>
                </c:pt>
                <c:pt idx="10">
                  <c:v>LATCH</c:v>
                </c:pt>
                <c:pt idx="11">
                  <c:v>LEAD IN</c:v>
                </c:pt>
                <c:pt idx="12">
                  <c:v>BOTTOM</c:v>
                </c:pt>
                <c:pt idx="13">
                  <c:v>LEAD GUIDE</c:v>
                </c:pt>
                <c:pt idx="14">
                  <c:v>STOPPER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0.79166666666666663</c:v>
                </c:pt>
                <c:pt idx="4">
                  <c:v>0.75</c:v>
                </c:pt>
                <c:pt idx="5">
                  <c:v>0.41666666666666669</c:v>
                </c:pt>
                <c:pt idx="6">
                  <c:v>0.33333333333333331</c:v>
                </c:pt>
                <c:pt idx="7">
                  <c:v>0.58333333333333337</c:v>
                </c:pt>
                <c:pt idx="8">
                  <c:v>0.41666666666666669</c:v>
                </c:pt>
                <c:pt idx="9">
                  <c:v>0.75</c:v>
                </c:pt>
                <c:pt idx="10">
                  <c:v>0</c:v>
                </c:pt>
                <c:pt idx="11">
                  <c:v>0.33333333333333331</c:v>
                </c:pt>
                <c:pt idx="12">
                  <c:v>0.125</c:v>
                </c:pt>
                <c:pt idx="13">
                  <c:v>0.375</c:v>
                </c:pt>
                <c:pt idx="14">
                  <c:v>0.83333333333333337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EC-416D-A409-2F1E7044D4F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EC-416D-A409-2F1E7044D4F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9">
                  <c:v>LED 24V</c:v>
                </c:pt>
                <c:pt idx="10">
                  <c:v>LATCH</c:v>
                </c:pt>
                <c:pt idx="11">
                  <c:v>LEAD IN</c:v>
                </c:pt>
                <c:pt idx="12">
                  <c:v>BOTTOM</c:v>
                </c:pt>
                <c:pt idx="13">
                  <c:v>LEAD GUIDE</c:v>
                </c:pt>
                <c:pt idx="14">
                  <c:v>STOPPER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0.38055555555555548</c:v>
                </c:pt>
                <c:pt idx="1">
                  <c:v>0.38055555555555548</c:v>
                </c:pt>
                <c:pt idx="2">
                  <c:v>0.38055555555555548</c:v>
                </c:pt>
                <c:pt idx="3">
                  <c:v>0.38055555555555548</c:v>
                </c:pt>
                <c:pt idx="4">
                  <c:v>0.38055555555555548</c:v>
                </c:pt>
                <c:pt idx="5">
                  <c:v>0.38055555555555548</c:v>
                </c:pt>
                <c:pt idx="6">
                  <c:v>0.38055555555555548</c:v>
                </c:pt>
                <c:pt idx="7">
                  <c:v>0.38055555555555548</c:v>
                </c:pt>
                <c:pt idx="8">
                  <c:v>0.38055555555555548</c:v>
                </c:pt>
                <c:pt idx="9">
                  <c:v>0.38055555555555548</c:v>
                </c:pt>
                <c:pt idx="10">
                  <c:v>0.38055555555555548</c:v>
                </c:pt>
                <c:pt idx="11">
                  <c:v>0.38055555555555548</c:v>
                </c:pt>
                <c:pt idx="12">
                  <c:v>0.38055555555555548</c:v>
                </c:pt>
                <c:pt idx="13">
                  <c:v>0.38055555555555548</c:v>
                </c:pt>
                <c:pt idx="14">
                  <c:v>0.38055555555555548</c:v>
                </c:pt>
                <c:pt idx="15">
                  <c:v>0.38055555555555548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EC-416D-A409-2F1E7044D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9">
                  <c:v>LED 24V</c:v>
                </c:pt>
                <c:pt idx="10">
                  <c:v>LATCH</c:v>
                </c:pt>
                <c:pt idx="11">
                  <c:v>LEAD IN</c:v>
                </c:pt>
                <c:pt idx="12">
                  <c:v>BOTTOM</c:v>
                </c:pt>
                <c:pt idx="13">
                  <c:v>LEAD GUIDE</c:v>
                </c:pt>
                <c:pt idx="14">
                  <c:v>STOPPER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3">
                  <c:v>17836</c:v>
                </c:pt>
                <c:pt idx="4">
                  <c:v>9396</c:v>
                </c:pt>
                <c:pt idx="5">
                  <c:v>3986</c:v>
                </c:pt>
                <c:pt idx="6">
                  <c:v>6108</c:v>
                </c:pt>
                <c:pt idx="7">
                  <c:v>11316</c:v>
                </c:pt>
                <c:pt idx="8">
                  <c:v>1474</c:v>
                </c:pt>
                <c:pt idx="9">
                  <c:v>13236</c:v>
                </c:pt>
                <c:pt idx="11">
                  <c:v>1309</c:v>
                </c:pt>
                <c:pt idx="12">
                  <c:v>449</c:v>
                </c:pt>
                <c:pt idx="13">
                  <c:v>1347</c:v>
                </c:pt>
                <c:pt idx="14">
                  <c:v>15216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7C-4175-9E04-F5F8F77204B9}"/>
            </c:ext>
          </c:extLst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9">
                  <c:v>LED 24V</c:v>
                </c:pt>
                <c:pt idx="10">
                  <c:v>LATCH</c:v>
                </c:pt>
                <c:pt idx="11">
                  <c:v>LEAD IN</c:v>
                </c:pt>
                <c:pt idx="12">
                  <c:v>BOTTOM</c:v>
                </c:pt>
                <c:pt idx="13">
                  <c:v>LEAD GUIDE</c:v>
                </c:pt>
                <c:pt idx="14">
                  <c:v>STOPPER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3138</c:v>
                </c:pt>
                <c:pt idx="3">
                  <c:v>17836</c:v>
                </c:pt>
                <c:pt idx="4">
                  <c:v>9396</c:v>
                </c:pt>
                <c:pt idx="5">
                  <c:v>3986</c:v>
                </c:pt>
                <c:pt idx="6">
                  <c:v>6108</c:v>
                </c:pt>
                <c:pt idx="7">
                  <c:v>11316</c:v>
                </c:pt>
                <c:pt idx="8">
                  <c:v>1474</c:v>
                </c:pt>
                <c:pt idx="9">
                  <c:v>13236</c:v>
                </c:pt>
                <c:pt idx="10">
                  <c:v>2182</c:v>
                </c:pt>
                <c:pt idx="11">
                  <c:v>1309</c:v>
                </c:pt>
                <c:pt idx="12">
                  <c:v>449</c:v>
                </c:pt>
                <c:pt idx="13">
                  <c:v>1347</c:v>
                </c:pt>
                <c:pt idx="14">
                  <c:v>15216</c:v>
                </c:pt>
                <c:pt idx="15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7C-4175-9E04-F5F8F7720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79%</c:v>
                </c:pt>
                <c:pt idx="4">
                  <c:v>75%</c:v>
                </c:pt>
                <c:pt idx="5">
                  <c:v>42%</c:v>
                </c:pt>
                <c:pt idx="6">
                  <c:v>33%</c:v>
                </c:pt>
                <c:pt idx="7">
                  <c:v>58%</c:v>
                </c:pt>
                <c:pt idx="8">
                  <c:v>42%</c:v>
                </c:pt>
                <c:pt idx="9">
                  <c:v>75%</c:v>
                </c:pt>
                <c:pt idx="10">
                  <c:v>0%</c:v>
                </c:pt>
                <c:pt idx="11">
                  <c:v>33%</c:v>
                </c:pt>
                <c:pt idx="12">
                  <c:v>13%</c:v>
                </c:pt>
                <c:pt idx="13">
                  <c:v>38%</c:v>
                </c:pt>
                <c:pt idx="14">
                  <c:v>83%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9">
                  <c:v>LED 24V</c:v>
                </c:pt>
                <c:pt idx="10">
                  <c:v>LATCH</c:v>
                </c:pt>
                <c:pt idx="11">
                  <c:v>LEAD IN</c:v>
                </c:pt>
                <c:pt idx="12">
                  <c:v>BOTTOM</c:v>
                </c:pt>
                <c:pt idx="13">
                  <c:v>LEAD GUIDE</c:v>
                </c:pt>
                <c:pt idx="14">
                  <c:v>STOPPER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0.79166666666666663</c:v>
                </c:pt>
                <c:pt idx="4">
                  <c:v>0.75</c:v>
                </c:pt>
                <c:pt idx="5">
                  <c:v>0.41666666666666669</c:v>
                </c:pt>
                <c:pt idx="6">
                  <c:v>0.33333333333333331</c:v>
                </c:pt>
                <c:pt idx="7">
                  <c:v>0.58333333333333337</c:v>
                </c:pt>
                <c:pt idx="8">
                  <c:v>0.41666666666666669</c:v>
                </c:pt>
                <c:pt idx="9">
                  <c:v>0.75</c:v>
                </c:pt>
                <c:pt idx="10">
                  <c:v>0</c:v>
                </c:pt>
                <c:pt idx="11">
                  <c:v>0.33333333333333331</c:v>
                </c:pt>
                <c:pt idx="12">
                  <c:v>0.125</c:v>
                </c:pt>
                <c:pt idx="13">
                  <c:v>0.375</c:v>
                </c:pt>
                <c:pt idx="14">
                  <c:v>0.83333333333333337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86-4ABD-9F0D-DAB4EC7EDB5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786-4ABD-9F0D-DAB4EC7EDB5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9">
                  <c:v>LED 24V</c:v>
                </c:pt>
                <c:pt idx="10">
                  <c:v>LATCH</c:v>
                </c:pt>
                <c:pt idx="11">
                  <c:v>LEAD IN</c:v>
                </c:pt>
                <c:pt idx="12">
                  <c:v>BOTTOM</c:v>
                </c:pt>
                <c:pt idx="13">
                  <c:v>LEAD GUIDE</c:v>
                </c:pt>
                <c:pt idx="14">
                  <c:v>STOPPER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0.38055555555555548</c:v>
                </c:pt>
                <c:pt idx="1">
                  <c:v>0.38055555555555548</c:v>
                </c:pt>
                <c:pt idx="2">
                  <c:v>0.38055555555555548</c:v>
                </c:pt>
                <c:pt idx="3">
                  <c:v>0.38055555555555548</c:v>
                </c:pt>
                <c:pt idx="4">
                  <c:v>0.38055555555555548</c:v>
                </c:pt>
                <c:pt idx="5">
                  <c:v>0.38055555555555548</c:v>
                </c:pt>
                <c:pt idx="6">
                  <c:v>0.38055555555555548</c:v>
                </c:pt>
                <c:pt idx="7">
                  <c:v>0.38055555555555548</c:v>
                </c:pt>
                <c:pt idx="8">
                  <c:v>0.38055555555555548</c:v>
                </c:pt>
                <c:pt idx="9">
                  <c:v>0.38055555555555548</c:v>
                </c:pt>
                <c:pt idx="10">
                  <c:v>0.38055555555555548</c:v>
                </c:pt>
                <c:pt idx="11">
                  <c:v>0.38055555555555548</c:v>
                </c:pt>
                <c:pt idx="12">
                  <c:v>0.38055555555555548</c:v>
                </c:pt>
                <c:pt idx="13">
                  <c:v>0.38055555555555548</c:v>
                </c:pt>
                <c:pt idx="14">
                  <c:v>0.38055555555555548</c:v>
                </c:pt>
                <c:pt idx="15">
                  <c:v>0.38055555555555548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86-4ABD-9F0D-DAB4EC7ED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4C5-47A6-999E-D0A3C623F2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0.30555555555555552</c:v>
                </c:pt>
                <c:pt idx="2">
                  <c:v>0.31666666666666665</c:v>
                </c:pt>
                <c:pt idx="5">
                  <c:v>0.38611111111111113</c:v>
                </c:pt>
                <c:pt idx="6">
                  <c:v>0.4</c:v>
                </c:pt>
                <c:pt idx="7">
                  <c:v>0.46944444444444444</c:v>
                </c:pt>
                <c:pt idx="8">
                  <c:v>0.43888888888888894</c:v>
                </c:pt>
                <c:pt idx="9">
                  <c:v>0.40555555555555561</c:v>
                </c:pt>
                <c:pt idx="12">
                  <c:v>0.43888888888888894</c:v>
                </c:pt>
                <c:pt idx="13">
                  <c:v>0.39722222222222225</c:v>
                </c:pt>
                <c:pt idx="14">
                  <c:v>0.46944444444444439</c:v>
                </c:pt>
                <c:pt idx="15">
                  <c:v>0.3888888888888889</c:v>
                </c:pt>
                <c:pt idx="16">
                  <c:v>0.45833333333333326</c:v>
                </c:pt>
                <c:pt idx="19">
                  <c:v>0.38055555555555548</c:v>
                </c:pt>
                <c:pt idx="20">
                  <c:v>0.32500000000000001</c:v>
                </c:pt>
                <c:pt idx="21">
                  <c:v>0.34166666666666667</c:v>
                </c:pt>
                <c:pt idx="22">
                  <c:v>0.35833333333333334</c:v>
                </c:pt>
                <c:pt idx="27">
                  <c:v>0.28888888888888892</c:v>
                </c:pt>
                <c:pt idx="28">
                  <c:v>0.28611111111111109</c:v>
                </c:pt>
                <c:pt idx="29">
                  <c:v>0.36944444444444446</c:v>
                </c:pt>
                <c:pt idx="30">
                  <c:v>0.31944444444444448</c:v>
                </c:pt>
                <c:pt idx="31">
                  <c:v>0.24336917562724017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C5-47A6-999E-D0A3C623F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4C5-47A6-999E-D0A3C623F2F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C5-47A6-999E-D0A3C623F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9">
                  <c:v>LED 24V</c:v>
                </c:pt>
                <c:pt idx="10">
                  <c:v>LATCH</c:v>
                </c:pt>
                <c:pt idx="11">
                  <c:v>LEAD IN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'21'!$L$6:$L$20</c:f>
              <c:numCache>
                <c:formatCode>_(* #,##0_);_(* \(#,##0\);_(* "-"_);_(@_)</c:formatCode>
                <c:ptCount val="15"/>
                <c:pt idx="3">
                  <c:v>29964</c:v>
                </c:pt>
                <c:pt idx="4">
                  <c:v>15232</c:v>
                </c:pt>
                <c:pt idx="6">
                  <c:v>1864</c:v>
                </c:pt>
                <c:pt idx="7">
                  <c:v>20640</c:v>
                </c:pt>
                <c:pt idx="12">
                  <c:v>2120</c:v>
                </c:pt>
                <c:pt idx="13">
                  <c:v>19816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BB-49F4-874D-047A2C1E1E58}"/>
            </c:ext>
          </c:extLst>
        </c:ser>
        <c:ser>
          <c:idx val="1"/>
          <c:order val="1"/>
          <c:tx>
            <c:v>계획</c:v>
          </c:tx>
          <c:cat>
            <c:strRef>
              <c:f>'21'!$D$6:$D$20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9">
                  <c:v>LED 24V</c:v>
                </c:pt>
                <c:pt idx="10">
                  <c:v>LATCH</c:v>
                </c:pt>
                <c:pt idx="11">
                  <c:v>LEAD IN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3138</c:v>
                </c:pt>
                <c:pt idx="3">
                  <c:v>29964</c:v>
                </c:pt>
                <c:pt idx="4">
                  <c:v>15232</c:v>
                </c:pt>
                <c:pt idx="5">
                  <c:v>1864</c:v>
                </c:pt>
                <c:pt idx="6">
                  <c:v>1864</c:v>
                </c:pt>
                <c:pt idx="7">
                  <c:v>20640</c:v>
                </c:pt>
                <c:pt idx="8">
                  <c:v>1474</c:v>
                </c:pt>
                <c:pt idx="9">
                  <c:v>13236</c:v>
                </c:pt>
                <c:pt idx="10">
                  <c:v>2182</c:v>
                </c:pt>
                <c:pt idx="11">
                  <c:v>1309</c:v>
                </c:pt>
                <c:pt idx="12">
                  <c:v>2120</c:v>
                </c:pt>
                <c:pt idx="13">
                  <c:v>19816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BB-49F4-874D-047A2C1E1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21%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67%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9">
                  <c:v>LED 24V</c:v>
                </c:pt>
                <c:pt idx="10">
                  <c:v>LATCH</c:v>
                </c:pt>
                <c:pt idx="11">
                  <c:v>LEAD IN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0.20833333333333334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0.66666666666666663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C6-41AE-A077-F1477F2BC36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0C6-41AE-A077-F1477F2BC36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9">
                  <c:v>LED 24V</c:v>
                </c:pt>
                <c:pt idx="10">
                  <c:v>LATCH</c:v>
                </c:pt>
                <c:pt idx="11">
                  <c:v>LEAD IN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'21'!$AE$6:$AE$20</c:f>
              <c:numCache>
                <c:formatCode>0%</c:formatCode>
                <c:ptCount val="15"/>
                <c:pt idx="0">
                  <c:v>0.32500000000000001</c:v>
                </c:pt>
                <c:pt idx="1">
                  <c:v>0.32500000000000001</c:v>
                </c:pt>
                <c:pt idx="2">
                  <c:v>0.32500000000000001</c:v>
                </c:pt>
                <c:pt idx="3">
                  <c:v>0.32500000000000001</c:v>
                </c:pt>
                <c:pt idx="4">
                  <c:v>0.32500000000000001</c:v>
                </c:pt>
                <c:pt idx="5">
                  <c:v>0.32500000000000001</c:v>
                </c:pt>
                <c:pt idx="6">
                  <c:v>0.32500000000000001</c:v>
                </c:pt>
                <c:pt idx="7">
                  <c:v>0.32500000000000001</c:v>
                </c:pt>
                <c:pt idx="8">
                  <c:v>0.32500000000000001</c:v>
                </c:pt>
                <c:pt idx="9">
                  <c:v>0.32500000000000001</c:v>
                </c:pt>
                <c:pt idx="10">
                  <c:v>0.32500000000000001</c:v>
                </c:pt>
                <c:pt idx="11">
                  <c:v>0.32500000000000001</c:v>
                </c:pt>
                <c:pt idx="12">
                  <c:v>0.32500000000000001</c:v>
                </c:pt>
                <c:pt idx="13">
                  <c:v>0.32500000000000001</c:v>
                </c:pt>
                <c:pt idx="14">
                  <c:v>0.32500000000000001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C6-41AE-A077-F1477F2BC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9">
                  <c:v>LED 24V</c:v>
                </c:pt>
                <c:pt idx="10">
                  <c:v>LATCH</c:v>
                </c:pt>
                <c:pt idx="11">
                  <c:v>LEAD IN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'21'!$L$6:$L$20</c:f>
              <c:numCache>
                <c:formatCode>_(* #,##0_);_(* \(#,##0\);_(* "-"_);_(@_)</c:formatCode>
                <c:ptCount val="15"/>
                <c:pt idx="3">
                  <c:v>29964</c:v>
                </c:pt>
                <c:pt idx="4">
                  <c:v>15232</c:v>
                </c:pt>
                <c:pt idx="6">
                  <c:v>1864</c:v>
                </c:pt>
                <c:pt idx="7">
                  <c:v>20640</c:v>
                </c:pt>
                <c:pt idx="12">
                  <c:v>2120</c:v>
                </c:pt>
                <c:pt idx="13">
                  <c:v>19816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E-43DA-A738-428844A554C9}"/>
            </c:ext>
          </c:extLst>
        </c:ser>
        <c:ser>
          <c:idx val="1"/>
          <c:order val="1"/>
          <c:tx>
            <c:v>계획</c:v>
          </c:tx>
          <c:cat>
            <c:strRef>
              <c:f>'21'!$D$6:$D$20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9">
                  <c:v>LED 24V</c:v>
                </c:pt>
                <c:pt idx="10">
                  <c:v>LATCH</c:v>
                </c:pt>
                <c:pt idx="11">
                  <c:v>LEAD IN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3138</c:v>
                </c:pt>
                <c:pt idx="3">
                  <c:v>29964</c:v>
                </c:pt>
                <c:pt idx="4">
                  <c:v>15232</c:v>
                </c:pt>
                <c:pt idx="5">
                  <c:v>1864</c:v>
                </c:pt>
                <c:pt idx="6">
                  <c:v>1864</c:v>
                </c:pt>
                <c:pt idx="7">
                  <c:v>20640</c:v>
                </c:pt>
                <c:pt idx="8">
                  <c:v>1474</c:v>
                </c:pt>
                <c:pt idx="9">
                  <c:v>13236</c:v>
                </c:pt>
                <c:pt idx="10">
                  <c:v>2182</c:v>
                </c:pt>
                <c:pt idx="11">
                  <c:v>1309</c:v>
                </c:pt>
                <c:pt idx="12">
                  <c:v>2120</c:v>
                </c:pt>
                <c:pt idx="13">
                  <c:v>19816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E-43DA-A738-428844A55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21%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67%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9">
                  <c:v>LED 24V</c:v>
                </c:pt>
                <c:pt idx="10">
                  <c:v>LATCH</c:v>
                </c:pt>
                <c:pt idx="11">
                  <c:v>LEAD IN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0.20833333333333334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0.66666666666666663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EF-499F-AC49-1647FC13D59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FEF-499F-AC49-1647FC13D59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9">
                  <c:v>LED 24V</c:v>
                </c:pt>
                <c:pt idx="10">
                  <c:v>LATCH</c:v>
                </c:pt>
                <c:pt idx="11">
                  <c:v>LEAD IN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'21'!$AE$6:$AE$20</c:f>
              <c:numCache>
                <c:formatCode>0%</c:formatCode>
                <c:ptCount val="15"/>
                <c:pt idx="0">
                  <c:v>0.32500000000000001</c:v>
                </c:pt>
                <c:pt idx="1">
                  <c:v>0.32500000000000001</c:v>
                </c:pt>
                <c:pt idx="2">
                  <c:v>0.32500000000000001</c:v>
                </c:pt>
                <c:pt idx="3">
                  <c:v>0.32500000000000001</c:v>
                </c:pt>
                <c:pt idx="4">
                  <c:v>0.32500000000000001</c:v>
                </c:pt>
                <c:pt idx="5">
                  <c:v>0.32500000000000001</c:v>
                </c:pt>
                <c:pt idx="6">
                  <c:v>0.32500000000000001</c:v>
                </c:pt>
                <c:pt idx="7">
                  <c:v>0.32500000000000001</c:v>
                </c:pt>
                <c:pt idx="8">
                  <c:v>0.32500000000000001</c:v>
                </c:pt>
                <c:pt idx="9">
                  <c:v>0.32500000000000001</c:v>
                </c:pt>
                <c:pt idx="10">
                  <c:v>0.32500000000000001</c:v>
                </c:pt>
                <c:pt idx="11">
                  <c:v>0.32500000000000001</c:v>
                </c:pt>
                <c:pt idx="12">
                  <c:v>0.32500000000000001</c:v>
                </c:pt>
                <c:pt idx="13">
                  <c:v>0.32500000000000001</c:v>
                </c:pt>
                <c:pt idx="14">
                  <c:v>0.32500000000000001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EF-499F-AC49-1647FC13D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FE6-41EB-8D84-650A3EEE85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0.30555555555555552</c:v>
                </c:pt>
                <c:pt idx="2">
                  <c:v>0.31666666666666665</c:v>
                </c:pt>
                <c:pt idx="5">
                  <c:v>0.38611111111111113</c:v>
                </c:pt>
                <c:pt idx="6">
                  <c:v>0.4</c:v>
                </c:pt>
                <c:pt idx="7">
                  <c:v>0.46944444444444444</c:v>
                </c:pt>
                <c:pt idx="8">
                  <c:v>0.43888888888888894</c:v>
                </c:pt>
                <c:pt idx="9">
                  <c:v>0.40555555555555561</c:v>
                </c:pt>
                <c:pt idx="12">
                  <c:v>0.43888888888888894</c:v>
                </c:pt>
                <c:pt idx="13">
                  <c:v>0.39722222222222225</c:v>
                </c:pt>
                <c:pt idx="14">
                  <c:v>0.46944444444444439</c:v>
                </c:pt>
                <c:pt idx="15">
                  <c:v>0.3888888888888889</c:v>
                </c:pt>
                <c:pt idx="16">
                  <c:v>0.45833333333333326</c:v>
                </c:pt>
                <c:pt idx="19">
                  <c:v>0.38055555555555548</c:v>
                </c:pt>
                <c:pt idx="20">
                  <c:v>0.32500000000000001</c:v>
                </c:pt>
                <c:pt idx="21">
                  <c:v>0.34166666666666667</c:v>
                </c:pt>
                <c:pt idx="22">
                  <c:v>0.35833333333333334</c:v>
                </c:pt>
                <c:pt idx="27">
                  <c:v>0.28888888888888892</c:v>
                </c:pt>
                <c:pt idx="28">
                  <c:v>0.28611111111111109</c:v>
                </c:pt>
                <c:pt idx="29">
                  <c:v>0.36944444444444446</c:v>
                </c:pt>
                <c:pt idx="30">
                  <c:v>0.31944444444444448</c:v>
                </c:pt>
                <c:pt idx="31">
                  <c:v>0.24336917562724017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E6-41EB-8D84-650A3EEE8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FE6-41EB-8D84-650A3EEE85E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E6-41EB-8D84-650A3EEE8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FRONT/REAR</c:v>
                </c:pt>
                <c:pt idx="10">
                  <c:v>LED 24V</c:v>
                </c:pt>
                <c:pt idx="13">
                  <c:v>ADAPTER</c:v>
                </c:pt>
                <c:pt idx="14">
                  <c:v>BASE</c:v>
                </c:pt>
                <c:pt idx="15">
                  <c:v>STOPPER</c:v>
                </c:pt>
              </c:strCache>
            </c:strRef>
          </c:cat>
          <c:val>
            <c:numRef>
              <c:f>'22'!$L$6:$L$22</c:f>
              <c:numCache>
                <c:formatCode>_(* #,##0_);_(* \(#,##0\);_(* "-"_);_(@_)</c:formatCode>
                <c:ptCount val="17"/>
                <c:pt idx="3">
                  <c:v>19380</c:v>
                </c:pt>
                <c:pt idx="4">
                  <c:v>12324</c:v>
                </c:pt>
                <c:pt idx="6">
                  <c:v>586</c:v>
                </c:pt>
                <c:pt idx="7">
                  <c:v>561</c:v>
                </c:pt>
                <c:pt idx="8">
                  <c:v>15348</c:v>
                </c:pt>
                <c:pt idx="10">
                  <c:v>14044</c:v>
                </c:pt>
                <c:pt idx="11">
                  <c:v>1210</c:v>
                </c:pt>
                <c:pt idx="12">
                  <c:v>1132</c:v>
                </c:pt>
                <c:pt idx="13">
                  <c:v>2812</c:v>
                </c:pt>
                <c:pt idx="14">
                  <c:v>268</c:v>
                </c:pt>
                <c:pt idx="15">
                  <c:v>4440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57-4D18-8221-21B1C4061702}"/>
            </c:ext>
          </c:extLst>
        </c:ser>
        <c:ser>
          <c:idx val="1"/>
          <c:order val="1"/>
          <c:tx>
            <c:v>계획</c:v>
          </c:tx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FRONT/REAR</c:v>
                </c:pt>
                <c:pt idx="10">
                  <c:v>LED 24V</c:v>
                </c:pt>
                <c:pt idx="13">
                  <c:v>ADAPTER</c:v>
                </c:pt>
                <c:pt idx="14">
                  <c:v>BASE</c:v>
                </c:pt>
                <c:pt idx="15">
                  <c:v>STOPPER</c:v>
                </c:pt>
              </c:strCache>
            </c:strRef>
          </c:cat>
          <c:val>
            <c:numRef>
              <c:f>'22'!$J$6:$J$22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3138</c:v>
                </c:pt>
                <c:pt idx="3">
                  <c:v>19380</c:v>
                </c:pt>
                <c:pt idx="4">
                  <c:v>12324</c:v>
                </c:pt>
                <c:pt idx="5">
                  <c:v>1864</c:v>
                </c:pt>
                <c:pt idx="6">
                  <c:v>586</c:v>
                </c:pt>
                <c:pt idx="7">
                  <c:v>561</c:v>
                </c:pt>
                <c:pt idx="8">
                  <c:v>15348</c:v>
                </c:pt>
                <c:pt idx="9">
                  <c:v>1474</c:v>
                </c:pt>
                <c:pt idx="10">
                  <c:v>14044</c:v>
                </c:pt>
                <c:pt idx="11">
                  <c:v>1210</c:v>
                </c:pt>
                <c:pt idx="12">
                  <c:v>1132</c:v>
                </c:pt>
                <c:pt idx="13">
                  <c:v>2812</c:v>
                </c:pt>
                <c:pt idx="14">
                  <c:v>268</c:v>
                </c:pt>
                <c:pt idx="15">
                  <c:v>4440</c:v>
                </c:pt>
                <c:pt idx="16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57-4D18-8221-21B1C4061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79%</c:v>
                </c:pt>
                <c:pt idx="4">
                  <c:v>92%</c:v>
                </c:pt>
                <c:pt idx="5">
                  <c:v>0%</c:v>
                </c:pt>
                <c:pt idx="6">
                  <c:v>13%</c:v>
                </c:pt>
                <c:pt idx="7">
                  <c:v>17%</c:v>
                </c:pt>
                <c:pt idx="8">
                  <c:v>83%</c:v>
                </c:pt>
                <c:pt idx="9">
                  <c:v>0%</c:v>
                </c:pt>
                <c:pt idx="10">
                  <c:v>88%</c:v>
                </c:pt>
                <c:pt idx="11">
                  <c:v>17%</c:v>
                </c:pt>
                <c:pt idx="12">
                  <c:v>17%</c:v>
                </c:pt>
                <c:pt idx="13">
                  <c:v>58%</c:v>
                </c:pt>
                <c:pt idx="14">
                  <c:v>17%</c:v>
                </c:pt>
                <c:pt idx="15">
                  <c:v>33%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FRONT/REAR</c:v>
                </c:pt>
                <c:pt idx="10">
                  <c:v>LED 24V</c:v>
                </c:pt>
                <c:pt idx="13">
                  <c:v>ADAPTER</c:v>
                </c:pt>
                <c:pt idx="14">
                  <c:v>BASE</c:v>
                </c:pt>
                <c:pt idx="15">
                  <c:v>STOPPER</c:v>
                </c:pt>
              </c:strCache>
            </c:strRef>
          </c:cat>
          <c:val>
            <c:numRef>
              <c:f>'22'!$AD$6:$AD$22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0.79166666666666663</c:v>
                </c:pt>
                <c:pt idx="4">
                  <c:v>0.91666666666666663</c:v>
                </c:pt>
                <c:pt idx="5">
                  <c:v>0</c:v>
                </c:pt>
                <c:pt idx="6">
                  <c:v>0.125</c:v>
                </c:pt>
                <c:pt idx="7">
                  <c:v>0.16666666666666666</c:v>
                </c:pt>
                <c:pt idx="8">
                  <c:v>0.83333333333333337</c:v>
                </c:pt>
                <c:pt idx="9">
                  <c:v>0</c:v>
                </c:pt>
                <c:pt idx="10">
                  <c:v>0.875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0.58333333333333337</c:v>
                </c:pt>
                <c:pt idx="14">
                  <c:v>0.16666666666666666</c:v>
                </c:pt>
                <c:pt idx="15">
                  <c:v>0.33333333333333331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CB-4F65-A6D3-7774C6A8AC8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3CB-4F65-A6D3-7774C6A8AC8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FRONT/REAR</c:v>
                </c:pt>
                <c:pt idx="10">
                  <c:v>LED 24V</c:v>
                </c:pt>
                <c:pt idx="13">
                  <c:v>ADAPTER</c:v>
                </c:pt>
                <c:pt idx="14">
                  <c:v>BASE</c:v>
                </c:pt>
                <c:pt idx="15">
                  <c:v>STOPPER</c:v>
                </c:pt>
              </c:strCache>
            </c:strRef>
          </c:cat>
          <c:val>
            <c:numRef>
              <c:f>'22'!$AE$6:$AE$22</c:f>
              <c:numCache>
                <c:formatCode>0%</c:formatCode>
                <c:ptCount val="17"/>
                <c:pt idx="0">
                  <c:v>0.34166666666666667</c:v>
                </c:pt>
                <c:pt idx="1">
                  <c:v>0.34166666666666667</c:v>
                </c:pt>
                <c:pt idx="2">
                  <c:v>0.34166666666666667</c:v>
                </c:pt>
                <c:pt idx="3">
                  <c:v>0.34166666666666667</c:v>
                </c:pt>
                <c:pt idx="4">
                  <c:v>0.34166666666666667</c:v>
                </c:pt>
                <c:pt idx="5">
                  <c:v>0.34166666666666667</c:v>
                </c:pt>
                <c:pt idx="6">
                  <c:v>0.34166666666666667</c:v>
                </c:pt>
                <c:pt idx="7">
                  <c:v>0.34166666666666667</c:v>
                </c:pt>
                <c:pt idx="8">
                  <c:v>0.34166666666666667</c:v>
                </c:pt>
                <c:pt idx="9">
                  <c:v>0.34166666666666667</c:v>
                </c:pt>
                <c:pt idx="10">
                  <c:v>0.34166666666666667</c:v>
                </c:pt>
                <c:pt idx="11">
                  <c:v>0.34166666666666667</c:v>
                </c:pt>
                <c:pt idx="12">
                  <c:v>0.34166666666666667</c:v>
                </c:pt>
                <c:pt idx="13">
                  <c:v>0.34166666666666667</c:v>
                </c:pt>
                <c:pt idx="14">
                  <c:v>0.34166666666666667</c:v>
                </c:pt>
                <c:pt idx="15">
                  <c:v>0.34166666666666667</c:v>
                </c:pt>
                <c:pt idx="16">
                  <c:v>0.34166666666666667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CB-4F65-A6D3-7774C6A8A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FRONT/REAR</c:v>
                </c:pt>
                <c:pt idx="10">
                  <c:v>LED 24V</c:v>
                </c:pt>
                <c:pt idx="13">
                  <c:v>ADAPTER</c:v>
                </c:pt>
                <c:pt idx="14">
                  <c:v>BASE</c:v>
                </c:pt>
                <c:pt idx="15">
                  <c:v>STOPPER</c:v>
                </c:pt>
              </c:strCache>
            </c:strRef>
          </c:cat>
          <c:val>
            <c:numRef>
              <c:f>'22'!$L$6:$L$22</c:f>
              <c:numCache>
                <c:formatCode>_(* #,##0_);_(* \(#,##0\);_(* "-"_);_(@_)</c:formatCode>
                <c:ptCount val="17"/>
                <c:pt idx="3">
                  <c:v>19380</c:v>
                </c:pt>
                <c:pt idx="4">
                  <c:v>12324</c:v>
                </c:pt>
                <c:pt idx="6">
                  <c:v>586</c:v>
                </c:pt>
                <c:pt idx="7">
                  <c:v>561</c:v>
                </c:pt>
                <c:pt idx="8">
                  <c:v>15348</c:v>
                </c:pt>
                <c:pt idx="10">
                  <c:v>14044</c:v>
                </c:pt>
                <c:pt idx="11">
                  <c:v>1210</c:v>
                </c:pt>
                <c:pt idx="12">
                  <c:v>1132</c:v>
                </c:pt>
                <c:pt idx="13">
                  <c:v>2812</c:v>
                </c:pt>
                <c:pt idx="14">
                  <c:v>268</c:v>
                </c:pt>
                <c:pt idx="15">
                  <c:v>4440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9C-4F12-BF18-E24B69C326B4}"/>
            </c:ext>
          </c:extLst>
        </c:ser>
        <c:ser>
          <c:idx val="1"/>
          <c:order val="1"/>
          <c:tx>
            <c:v>계획</c:v>
          </c:tx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FRONT/REAR</c:v>
                </c:pt>
                <c:pt idx="10">
                  <c:v>LED 24V</c:v>
                </c:pt>
                <c:pt idx="13">
                  <c:v>ADAPTER</c:v>
                </c:pt>
                <c:pt idx="14">
                  <c:v>BASE</c:v>
                </c:pt>
                <c:pt idx="15">
                  <c:v>STOPPER</c:v>
                </c:pt>
              </c:strCache>
            </c:strRef>
          </c:cat>
          <c:val>
            <c:numRef>
              <c:f>'22'!$J$6:$J$22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3138</c:v>
                </c:pt>
                <c:pt idx="3">
                  <c:v>19380</c:v>
                </c:pt>
                <c:pt idx="4">
                  <c:v>12324</c:v>
                </c:pt>
                <c:pt idx="5">
                  <c:v>1864</c:v>
                </c:pt>
                <c:pt idx="6">
                  <c:v>586</c:v>
                </c:pt>
                <c:pt idx="7">
                  <c:v>561</c:v>
                </c:pt>
                <c:pt idx="8">
                  <c:v>15348</c:v>
                </c:pt>
                <c:pt idx="9">
                  <c:v>1474</c:v>
                </c:pt>
                <c:pt idx="10">
                  <c:v>14044</c:v>
                </c:pt>
                <c:pt idx="11">
                  <c:v>1210</c:v>
                </c:pt>
                <c:pt idx="12">
                  <c:v>1132</c:v>
                </c:pt>
                <c:pt idx="13">
                  <c:v>2812</c:v>
                </c:pt>
                <c:pt idx="14">
                  <c:v>268</c:v>
                </c:pt>
                <c:pt idx="15">
                  <c:v>4440</c:v>
                </c:pt>
                <c:pt idx="16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9C-4F12-BF18-E24B69C32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79%</c:v>
                </c:pt>
                <c:pt idx="4">
                  <c:v>92%</c:v>
                </c:pt>
                <c:pt idx="5">
                  <c:v>0%</c:v>
                </c:pt>
                <c:pt idx="6">
                  <c:v>13%</c:v>
                </c:pt>
                <c:pt idx="7">
                  <c:v>17%</c:v>
                </c:pt>
                <c:pt idx="8">
                  <c:v>83%</c:v>
                </c:pt>
                <c:pt idx="9">
                  <c:v>0%</c:v>
                </c:pt>
                <c:pt idx="10">
                  <c:v>88%</c:v>
                </c:pt>
                <c:pt idx="11">
                  <c:v>17%</c:v>
                </c:pt>
                <c:pt idx="12">
                  <c:v>17%</c:v>
                </c:pt>
                <c:pt idx="13">
                  <c:v>58%</c:v>
                </c:pt>
                <c:pt idx="14">
                  <c:v>17%</c:v>
                </c:pt>
                <c:pt idx="15">
                  <c:v>33%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FRONT/REAR</c:v>
                </c:pt>
                <c:pt idx="10">
                  <c:v>LED 24V</c:v>
                </c:pt>
                <c:pt idx="13">
                  <c:v>ADAPTER</c:v>
                </c:pt>
                <c:pt idx="14">
                  <c:v>BASE</c:v>
                </c:pt>
                <c:pt idx="15">
                  <c:v>STOPPER</c:v>
                </c:pt>
              </c:strCache>
            </c:strRef>
          </c:cat>
          <c:val>
            <c:numRef>
              <c:f>'22'!$AD$6:$AD$22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0.79166666666666663</c:v>
                </c:pt>
                <c:pt idx="4">
                  <c:v>0.91666666666666663</c:v>
                </c:pt>
                <c:pt idx="5">
                  <c:v>0</c:v>
                </c:pt>
                <c:pt idx="6">
                  <c:v>0.125</c:v>
                </c:pt>
                <c:pt idx="7">
                  <c:v>0.16666666666666666</c:v>
                </c:pt>
                <c:pt idx="8">
                  <c:v>0.83333333333333337</c:v>
                </c:pt>
                <c:pt idx="9">
                  <c:v>0</c:v>
                </c:pt>
                <c:pt idx="10">
                  <c:v>0.875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0.58333333333333337</c:v>
                </c:pt>
                <c:pt idx="14">
                  <c:v>0.16666666666666666</c:v>
                </c:pt>
                <c:pt idx="15">
                  <c:v>0.33333333333333331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D-4377-9E82-83AFD1E1A6D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EDD-4377-9E82-83AFD1E1A6D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FRONT/REAR</c:v>
                </c:pt>
                <c:pt idx="10">
                  <c:v>LED 24V</c:v>
                </c:pt>
                <c:pt idx="13">
                  <c:v>ADAPTER</c:v>
                </c:pt>
                <c:pt idx="14">
                  <c:v>BASE</c:v>
                </c:pt>
                <c:pt idx="15">
                  <c:v>STOPPER</c:v>
                </c:pt>
              </c:strCache>
            </c:strRef>
          </c:cat>
          <c:val>
            <c:numRef>
              <c:f>'22'!$AE$6:$AE$22</c:f>
              <c:numCache>
                <c:formatCode>0%</c:formatCode>
                <c:ptCount val="17"/>
                <c:pt idx="0">
                  <c:v>0.34166666666666667</c:v>
                </c:pt>
                <c:pt idx="1">
                  <c:v>0.34166666666666667</c:v>
                </c:pt>
                <c:pt idx="2">
                  <c:v>0.34166666666666667</c:v>
                </c:pt>
                <c:pt idx="3">
                  <c:v>0.34166666666666667</c:v>
                </c:pt>
                <c:pt idx="4">
                  <c:v>0.34166666666666667</c:v>
                </c:pt>
                <c:pt idx="5">
                  <c:v>0.34166666666666667</c:v>
                </c:pt>
                <c:pt idx="6">
                  <c:v>0.34166666666666667</c:v>
                </c:pt>
                <c:pt idx="7">
                  <c:v>0.34166666666666667</c:v>
                </c:pt>
                <c:pt idx="8">
                  <c:v>0.34166666666666667</c:v>
                </c:pt>
                <c:pt idx="9">
                  <c:v>0.34166666666666667</c:v>
                </c:pt>
                <c:pt idx="10">
                  <c:v>0.34166666666666667</c:v>
                </c:pt>
                <c:pt idx="11">
                  <c:v>0.34166666666666667</c:v>
                </c:pt>
                <c:pt idx="12">
                  <c:v>0.34166666666666667</c:v>
                </c:pt>
                <c:pt idx="13">
                  <c:v>0.34166666666666667</c:v>
                </c:pt>
                <c:pt idx="14">
                  <c:v>0.34166666666666667</c:v>
                </c:pt>
                <c:pt idx="15">
                  <c:v>0.34166666666666667</c:v>
                </c:pt>
                <c:pt idx="16">
                  <c:v>0.34166666666666667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DD-4377-9E82-83AFD1E1A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1FB-4EAB-8F86-3B74E0A722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0.30555555555555552</c:v>
                </c:pt>
                <c:pt idx="2">
                  <c:v>0.31666666666666665</c:v>
                </c:pt>
                <c:pt idx="5">
                  <c:v>0.38611111111111113</c:v>
                </c:pt>
                <c:pt idx="6">
                  <c:v>0.4</c:v>
                </c:pt>
                <c:pt idx="7">
                  <c:v>0.46944444444444444</c:v>
                </c:pt>
                <c:pt idx="8">
                  <c:v>0.43888888888888894</c:v>
                </c:pt>
                <c:pt idx="9">
                  <c:v>0.40555555555555561</c:v>
                </c:pt>
                <c:pt idx="12">
                  <c:v>0.43888888888888894</c:v>
                </c:pt>
                <c:pt idx="13">
                  <c:v>0.39722222222222225</c:v>
                </c:pt>
                <c:pt idx="14">
                  <c:v>0.46944444444444439</c:v>
                </c:pt>
                <c:pt idx="15">
                  <c:v>0.3888888888888889</c:v>
                </c:pt>
                <c:pt idx="16">
                  <c:v>0.45833333333333326</c:v>
                </c:pt>
                <c:pt idx="19">
                  <c:v>0.38055555555555548</c:v>
                </c:pt>
                <c:pt idx="20">
                  <c:v>0.32500000000000001</c:v>
                </c:pt>
                <c:pt idx="21">
                  <c:v>0.34166666666666667</c:v>
                </c:pt>
                <c:pt idx="22">
                  <c:v>0.35833333333333334</c:v>
                </c:pt>
                <c:pt idx="27">
                  <c:v>0.28888888888888892</c:v>
                </c:pt>
                <c:pt idx="28">
                  <c:v>0.28611111111111109</c:v>
                </c:pt>
                <c:pt idx="29">
                  <c:v>0.36944444444444446</c:v>
                </c:pt>
                <c:pt idx="30">
                  <c:v>0.31944444444444448</c:v>
                </c:pt>
                <c:pt idx="31">
                  <c:v>0.24336917562724017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FB-4EAB-8F86-3B74E0A72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1FB-4EAB-8F86-3B74E0A7223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FB-4EAB-8F86-3B74E0A72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9">
                  <c:v>LED 24V</c:v>
                </c:pt>
                <c:pt idx="11">
                  <c:v>ADAPTER</c:v>
                </c:pt>
                <c:pt idx="12">
                  <c:v>COVER</c:v>
                </c:pt>
                <c:pt idx="13">
                  <c:v>STOPPER</c:v>
                </c:pt>
              </c:strCache>
            </c:strRef>
          </c:cat>
          <c:val>
            <c:numRef>
              <c:f>'23'!$L$6:$L$20</c:f>
              <c:numCache>
                <c:formatCode>_(* #,##0_);_(* \(#,##0\);_(* "-"_);_(@_)</c:formatCode>
                <c:ptCount val="15"/>
                <c:pt idx="3">
                  <c:v>9704</c:v>
                </c:pt>
                <c:pt idx="4">
                  <c:v>14000</c:v>
                </c:pt>
                <c:pt idx="7">
                  <c:v>14500</c:v>
                </c:pt>
                <c:pt idx="9">
                  <c:v>20036</c:v>
                </c:pt>
                <c:pt idx="11">
                  <c:v>1967</c:v>
                </c:pt>
                <c:pt idx="12">
                  <c:v>4746</c:v>
                </c:pt>
                <c:pt idx="13">
                  <c:v>14220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37-40A6-9A8B-2D65DA18A390}"/>
            </c:ext>
          </c:extLst>
        </c:ser>
        <c:ser>
          <c:idx val="1"/>
          <c:order val="1"/>
          <c:tx>
            <c:v>계획</c:v>
          </c:tx>
          <c:cat>
            <c:strRef>
              <c:f>'23'!$D$6:$D$20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9">
                  <c:v>LED 24V</c:v>
                </c:pt>
                <c:pt idx="11">
                  <c:v>ADAPTER</c:v>
                </c:pt>
                <c:pt idx="12">
                  <c:v>COVER</c:v>
                </c:pt>
                <c:pt idx="13">
                  <c:v>STOPPER</c:v>
                </c:pt>
              </c:strCache>
            </c:strRef>
          </c:cat>
          <c:val>
            <c:numRef>
              <c:f>'23'!$J$6:$J$20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3138</c:v>
                </c:pt>
                <c:pt idx="3">
                  <c:v>9704</c:v>
                </c:pt>
                <c:pt idx="4">
                  <c:v>14000</c:v>
                </c:pt>
                <c:pt idx="5">
                  <c:v>1864</c:v>
                </c:pt>
                <c:pt idx="6">
                  <c:v>561</c:v>
                </c:pt>
                <c:pt idx="7">
                  <c:v>14500</c:v>
                </c:pt>
                <c:pt idx="8">
                  <c:v>1474</c:v>
                </c:pt>
                <c:pt idx="9">
                  <c:v>20036</c:v>
                </c:pt>
                <c:pt idx="10">
                  <c:v>1132</c:v>
                </c:pt>
                <c:pt idx="11">
                  <c:v>1967</c:v>
                </c:pt>
                <c:pt idx="12">
                  <c:v>4746</c:v>
                </c:pt>
                <c:pt idx="13">
                  <c:v>14220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37-40A6-9A8B-2D65DA18A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50%</c:v>
                </c:pt>
                <c:pt idx="4">
                  <c:v>100%</c:v>
                </c:pt>
                <c:pt idx="5">
                  <c:v>0%</c:v>
                </c:pt>
                <c:pt idx="6">
                  <c:v>0%</c:v>
                </c:pt>
                <c:pt idx="7">
                  <c:v>75%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42%</c:v>
                </c:pt>
                <c:pt idx="12">
                  <c:v>92%</c:v>
                </c:pt>
                <c:pt idx="13">
                  <c:v>79%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9">
                  <c:v>LED 24V</c:v>
                </c:pt>
                <c:pt idx="11">
                  <c:v>ADAPTER</c:v>
                </c:pt>
                <c:pt idx="12">
                  <c:v>COVER</c:v>
                </c:pt>
                <c:pt idx="13">
                  <c:v>STOPPER</c:v>
                </c:pt>
              </c:strCache>
            </c:strRef>
          </c:cat>
          <c:val>
            <c:numRef>
              <c:f>'23'!$AD$6:$AD$20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0.75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0.41666666666666669</c:v>
                </c:pt>
                <c:pt idx="12">
                  <c:v>0.91666666666666663</c:v>
                </c:pt>
                <c:pt idx="13">
                  <c:v>0.79166666666666663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EA-4561-9C8A-950FE7FD309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7EA-4561-9C8A-950FE7FD309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9">
                  <c:v>LED 24V</c:v>
                </c:pt>
                <c:pt idx="11">
                  <c:v>ADAPTER</c:v>
                </c:pt>
                <c:pt idx="12">
                  <c:v>COVER</c:v>
                </c:pt>
                <c:pt idx="13">
                  <c:v>STOPPER</c:v>
                </c:pt>
              </c:strCache>
            </c:strRef>
          </c:cat>
          <c:val>
            <c:numRef>
              <c:f>'23'!$AE$6:$AE$20</c:f>
              <c:numCache>
                <c:formatCode>0%</c:formatCode>
                <c:ptCount val="15"/>
                <c:pt idx="0">
                  <c:v>0.35833333333333334</c:v>
                </c:pt>
                <c:pt idx="1">
                  <c:v>0.35833333333333334</c:v>
                </c:pt>
                <c:pt idx="2">
                  <c:v>0.35833333333333334</c:v>
                </c:pt>
                <c:pt idx="3">
                  <c:v>0.35833333333333334</c:v>
                </c:pt>
                <c:pt idx="4">
                  <c:v>0.35833333333333334</c:v>
                </c:pt>
                <c:pt idx="5">
                  <c:v>0.35833333333333334</c:v>
                </c:pt>
                <c:pt idx="6">
                  <c:v>0.35833333333333334</c:v>
                </c:pt>
                <c:pt idx="7">
                  <c:v>0.35833333333333334</c:v>
                </c:pt>
                <c:pt idx="8">
                  <c:v>0.35833333333333334</c:v>
                </c:pt>
                <c:pt idx="9">
                  <c:v>0.35833333333333334</c:v>
                </c:pt>
                <c:pt idx="10">
                  <c:v>0.35833333333333334</c:v>
                </c:pt>
                <c:pt idx="11">
                  <c:v>0.35833333333333334</c:v>
                </c:pt>
                <c:pt idx="12">
                  <c:v>0.35833333333333334</c:v>
                </c:pt>
                <c:pt idx="13">
                  <c:v>0.35833333333333334</c:v>
                </c:pt>
                <c:pt idx="14">
                  <c:v>0.35833333333333334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EA-4561-9C8A-950FE7FD3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9">
                  <c:v>LED 24V</c:v>
                </c:pt>
                <c:pt idx="11">
                  <c:v>ADAPTER</c:v>
                </c:pt>
                <c:pt idx="12">
                  <c:v>COVER</c:v>
                </c:pt>
                <c:pt idx="13">
                  <c:v>STOPPER</c:v>
                </c:pt>
              </c:strCache>
            </c:strRef>
          </c:cat>
          <c:val>
            <c:numRef>
              <c:f>'23'!$L$6:$L$20</c:f>
              <c:numCache>
                <c:formatCode>_(* #,##0_);_(* \(#,##0\);_(* "-"_);_(@_)</c:formatCode>
                <c:ptCount val="15"/>
                <c:pt idx="3">
                  <c:v>9704</c:v>
                </c:pt>
                <c:pt idx="4">
                  <c:v>14000</c:v>
                </c:pt>
                <c:pt idx="7">
                  <c:v>14500</c:v>
                </c:pt>
                <c:pt idx="9">
                  <c:v>20036</c:v>
                </c:pt>
                <c:pt idx="11">
                  <c:v>1967</c:v>
                </c:pt>
                <c:pt idx="12">
                  <c:v>4746</c:v>
                </c:pt>
                <c:pt idx="13">
                  <c:v>14220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56-472C-B664-8860EC7342CF}"/>
            </c:ext>
          </c:extLst>
        </c:ser>
        <c:ser>
          <c:idx val="1"/>
          <c:order val="1"/>
          <c:tx>
            <c:v>계획</c:v>
          </c:tx>
          <c:cat>
            <c:strRef>
              <c:f>'23'!$D$6:$D$20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9">
                  <c:v>LED 24V</c:v>
                </c:pt>
                <c:pt idx="11">
                  <c:v>ADAPTER</c:v>
                </c:pt>
                <c:pt idx="12">
                  <c:v>COVER</c:v>
                </c:pt>
                <c:pt idx="13">
                  <c:v>STOPPER</c:v>
                </c:pt>
              </c:strCache>
            </c:strRef>
          </c:cat>
          <c:val>
            <c:numRef>
              <c:f>'23'!$J$6:$J$20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3138</c:v>
                </c:pt>
                <c:pt idx="3">
                  <c:v>9704</c:v>
                </c:pt>
                <c:pt idx="4">
                  <c:v>14000</c:v>
                </c:pt>
                <c:pt idx="5">
                  <c:v>1864</c:v>
                </c:pt>
                <c:pt idx="6">
                  <c:v>561</c:v>
                </c:pt>
                <c:pt idx="7">
                  <c:v>14500</c:v>
                </c:pt>
                <c:pt idx="8">
                  <c:v>1474</c:v>
                </c:pt>
                <c:pt idx="9">
                  <c:v>20036</c:v>
                </c:pt>
                <c:pt idx="10">
                  <c:v>1132</c:v>
                </c:pt>
                <c:pt idx="11">
                  <c:v>1967</c:v>
                </c:pt>
                <c:pt idx="12">
                  <c:v>4746</c:v>
                </c:pt>
                <c:pt idx="13">
                  <c:v>14220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56-472C-B664-8860EC734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50%</c:v>
                </c:pt>
                <c:pt idx="4">
                  <c:v>100%</c:v>
                </c:pt>
                <c:pt idx="5">
                  <c:v>0%</c:v>
                </c:pt>
                <c:pt idx="6">
                  <c:v>0%</c:v>
                </c:pt>
                <c:pt idx="7">
                  <c:v>75%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42%</c:v>
                </c:pt>
                <c:pt idx="12">
                  <c:v>92%</c:v>
                </c:pt>
                <c:pt idx="13">
                  <c:v>79%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9">
                  <c:v>LED 24V</c:v>
                </c:pt>
                <c:pt idx="11">
                  <c:v>ADAPTER</c:v>
                </c:pt>
                <c:pt idx="12">
                  <c:v>COVER</c:v>
                </c:pt>
                <c:pt idx="13">
                  <c:v>STOPPER</c:v>
                </c:pt>
              </c:strCache>
            </c:strRef>
          </c:cat>
          <c:val>
            <c:numRef>
              <c:f>'23'!$AD$6:$AD$20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0.75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0.41666666666666669</c:v>
                </c:pt>
                <c:pt idx="12">
                  <c:v>0.91666666666666663</c:v>
                </c:pt>
                <c:pt idx="13">
                  <c:v>0.79166666666666663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DE-4783-927E-8C259A8A6D2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FDE-4783-927E-8C259A8A6D2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9">
                  <c:v>LED 24V</c:v>
                </c:pt>
                <c:pt idx="11">
                  <c:v>ADAPTER</c:v>
                </c:pt>
                <c:pt idx="12">
                  <c:v>COVER</c:v>
                </c:pt>
                <c:pt idx="13">
                  <c:v>STOPPER</c:v>
                </c:pt>
              </c:strCache>
            </c:strRef>
          </c:cat>
          <c:val>
            <c:numRef>
              <c:f>'23'!$AE$6:$AE$20</c:f>
              <c:numCache>
                <c:formatCode>0%</c:formatCode>
                <c:ptCount val="15"/>
                <c:pt idx="0">
                  <c:v>0.35833333333333334</c:v>
                </c:pt>
                <c:pt idx="1">
                  <c:v>0.35833333333333334</c:v>
                </c:pt>
                <c:pt idx="2">
                  <c:v>0.35833333333333334</c:v>
                </c:pt>
                <c:pt idx="3">
                  <c:v>0.35833333333333334</c:v>
                </c:pt>
                <c:pt idx="4">
                  <c:v>0.35833333333333334</c:v>
                </c:pt>
                <c:pt idx="5">
                  <c:v>0.35833333333333334</c:v>
                </c:pt>
                <c:pt idx="6">
                  <c:v>0.35833333333333334</c:v>
                </c:pt>
                <c:pt idx="7">
                  <c:v>0.35833333333333334</c:v>
                </c:pt>
                <c:pt idx="8">
                  <c:v>0.35833333333333334</c:v>
                </c:pt>
                <c:pt idx="9">
                  <c:v>0.35833333333333334</c:v>
                </c:pt>
                <c:pt idx="10">
                  <c:v>0.35833333333333334</c:v>
                </c:pt>
                <c:pt idx="11">
                  <c:v>0.35833333333333334</c:v>
                </c:pt>
                <c:pt idx="12">
                  <c:v>0.35833333333333334</c:v>
                </c:pt>
                <c:pt idx="13">
                  <c:v>0.35833333333333334</c:v>
                </c:pt>
                <c:pt idx="14">
                  <c:v>0.35833333333333334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DE-4783-927E-8C259A8A6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3C4-4BBD-B745-0A6F5251F9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0.30555555555555552</c:v>
                </c:pt>
                <c:pt idx="2">
                  <c:v>0.31666666666666665</c:v>
                </c:pt>
                <c:pt idx="5">
                  <c:v>0.38611111111111113</c:v>
                </c:pt>
                <c:pt idx="6">
                  <c:v>0.4</c:v>
                </c:pt>
                <c:pt idx="7">
                  <c:v>0.46944444444444444</c:v>
                </c:pt>
                <c:pt idx="8">
                  <c:v>0.43888888888888894</c:v>
                </c:pt>
                <c:pt idx="9">
                  <c:v>0.40555555555555561</c:v>
                </c:pt>
                <c:pt idx="12">
                  <c:v>0.43888888888888894</c:v>
                </c:pt>
                <c:pt idx="13">
                  <c:v>0.39722222222222225</c:v>
                </c:pt>
                <c:pt idx="14">
                  <c:v>0.46944444444444439</c:v>
                </c:pt>
                <c:pt idx="15">
                  <c:v>0.3888888888888889</c:v>
                </c:pt>
                <c:pt idx="16">
                  <c:v>0.45833333333333326</c:v>
                </c:pt>
                <c:pt idx="19">
                  <c:v>0.38055555555555548</c:v>
                </c:pt>
                <c:pt idx="20">
                  <c:v>0.32500000000000001</c:v>
                </c:pt>
                <c:pt idx="21">
                  <c:v>0.34166666666666667</c:v>
                </c:pt>
                <c:pt idx="22">
                  <c:v>0.35833333333333334</c:v>
                </c:pt>
                <c:pt idx="27">
                  <c:v>0.28888888888888892</c:v>
                </c:pt>
                <c:pt idx="28">
                  <c:v>0.28611111111111109</c:v>
                </c:pt>
                <c:pt idx="29">
                  <c:v>0.36944444444444446</c:v>
                </c:pt>
                <c:pt idx="30">
                  <c:v>0.31944444444444448</c:v>
                </c:pt>
                <c:pt idx="31">
                  <c:v>0.24336917562724017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C4-4BBD-B745-0A6F5251F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3C4-4BBD-B745-0A6F5251F98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C4-4BBD-B745-0A6F5251F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'28'!$L$6:$L$20</c:f>
              <c:numCache>
                <c:formatCode>_(* #,##0_);_(* \(#,##0\);_(* "-"_);_(@_)</c:formatCode>
                <c:ptCount val="15"/>
                <c:pt idx="4">
                  <c:v>13762</c:v>
                </c:pt>
                <c:pt idx="7">
                  <c:v>19708</c:v>
                </c:pt>
                <c:pt idx="8">
                  <c:v>2132</c:v>
                </c:pt>
                <c:pt idx="9">
                  <c:v>16532</c:v>
                </c:pt>
                <c:pt idx="12">
                  <c:v>253</c:v>
                </c:pt>
                <c:pt idx="13">
                  <c:v>18092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74-4042-95DF-979348D202CA}"/>
            </c:ext>
          </c:extLst>
        </c:ser>
        <c:ser>
          <c:idx val="1"/>
          <c:order val="1"/>
          <c:tx>
            <c:v>계획</c:v>
          </c:tx>
          <c:cat>
            <c:strRef>
              <c:f>'28'!$D$6:$D$20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3138</c:v>
                </c:pt>
                <c:pt idx="3">
                  <c:v>9704</c:v>
                </c:pt>
                <c:pt idx="4">
                  <c:v>13762</c:v>
                </c:pt>
                <c:pt idx="5">
                  <c:v>1864</c:v>
                </c:pt>
                <c:pt idx="6">
                  <c:v>561</c:v>
                </c:pt>
                <c:pt idx="7">
                  <c:v>19708</c:v>
                </c:pt>
                <c:pt idx="8">
                  <c:v>2132</c:v>
                </c:pt>
                <c:pt idx="9">
                  <c:v>16532</c:v>
                </c:pt>
                <c:pt idx="10">
                  <c:v>1132</c:v>
                </c:pt>
                <c:pt idx="11">
                  <c:v>1967</c:v>
                </c:pt>
                <c:pt idx="12">
                  <c:v>253</c:v>
                </c:pt>
                <c:pt idx="13">
                  <c:v>18092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74-4042-95DF-979348D20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100%</c:v>
                </c:pt>
                <c:pt idx="5">
                  <c:v>0%</c:v>
                </c:pt>
                <c:pt idx="6">
                  <c:v>0%</c:v>
                </c:pt>
                <c:pt idx="7">
                  <c:v>100%</c:v>
                </c:pt>
                <c:pt idx="8">
                  <c:v>46%</c:v>
                </c:pt>
                <c:pt idx="9">
                  <c:v>71%</c:v>
                </c:pt>
                <c:pt idx="10">
                  <c:v>0%</c:v>
                </c:pt>
                <c:pt idx="11">
                  <c:v>0%</c:v>
                </c:pt>
                <c:pt idx="12">
                  <c:v>17%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0.45833333333333331</c:v>
                </c:pt>
                <c:pt idx="9">
                  <c:v>0.70833333333333337</c:v>
                </c:pt>
                <c:pt idx="10">
                  <c:v>0</c:v>
                </c:pt>
                <c:pt idx="11">
                  <c:v>0</c:v>
                </c:pt>
                <c:pt idx="12">
                  <c:v>0.16666666666666666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A7-49D9-BF3C-75DB822D38D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EA7-49D9-BF3C-75DB822D38D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'28'!$AE$6:$AE$20</c:f>
              <c:numCache>
                <c:formatCode>0%</c:formatCode>
                <c:ptCount val="15"/>
                <c:pt idx="0">
                  <c:v>0.28888888888888892</c:v>
                </c:pt>
                <c:pt idx="1">
                  <c:v>0.28888888888888892</c:v>
                </c:pt>
                <c:pt idx="2">
                  <c:v>0.28888888888888892</c:v>
                </c:pt>
                <c:pt idx="3">
                  <c:v>0.28888888888888892</c:v>
                </c:pt>
                <c:pt idx="4">
                  <c:v>0.28888888888888892</c:v>
                </c:pt>
                <c:pt idx="5">
                  <c:v>0.28888888888888892</c:v>
                </c:pt>
                <c:pt idx="6">
                  <c:v>0.28888888888888892</c:v>
                </c:pt>
                <c:pt idx="7">
                  <c:v>0.28888888888888892</c:v>
                </c:pt>
                <c:pt idx="8">
                  <c:v>0.28888888888888892</c:v>
                </c:pt>
                <c:pt idx="9">
                  <c:v>0.28888888888888892</c:v>
                </c:pt>
                <c:pt idx="10">
                  <c:v>0.28888888888888892</c:v>
                </c:pt>
                <c:pt idx="11">
                  <c:v>0.28888888888888892</c:v>
                </c:pt>
                <c:pt idx="12">
                  <c:v>0.28888888888888892</c:v>
                </c:pt>
                <c:pt idx="13">
                  <c:v>0.28888888888888892</c:v>
                </c:pt>
                <c:pt idx="14">
                  <c:v>0.28888888888888892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A7-49D9-BF3C-75DB822D3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'28'!$L$6:$L$20</c:f>
              <c:numCache>
                <c:formatCode>_(* #,##0_);_(* \(#,##0\);_(* "-"_);_(@_)</c:formatCode>
                <c:ptCount val="15"/>
                <c:pt idx="4">
                  <c:v>13762</c:v>
                </c:pt>
                <c:pt idx="7">
                  <c:v>19708</c:v>
                </c:pt>
                <c:pt idx="8">
                  <c:v>2132</c:v>
                </c:pt>
                <c:pt idx="9">
                  <c:v>16532</c:v>
                </c:pt>
                <c:pt idx="12">
                  <c:v>253</c:v>
                </c:pt>
                <c:pt idx="13">
                  <c:v>18092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3C-40DA-99E2-06823DD84990}"/>
            </c:ext>
          </c:extLst>
        </c:ser>
        <c:ser>
          <c:idx val="1"/>
          <c:order val="1"/>
          <c:tx>
            <c:v>계획</c:v>
          </c:tx>
          <c:cat>
            <c:strRef>
              <c:f>'28'!$D$6:$D$20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3138</c:v>
                </c:pt>
                <c:pt idx="3">
                  <c:v>9704</c:v>
                </c:pt>
                <c:pt idx="4">
                  <c:v>13762</c:v>
                </c:pt>
                <c:pt idx="5">
                  <c:v>1864</c:v>
                </c:pt>
                <c:pt idx="6">
                  <c:v>561</c:v>
                </c:pt>
                <c:pt idx="7">
                  <c:v>19708</c:v>
                </c:pt>
                <c:pt idx="8">
                  <c:v>2132</c:v>
                </c:pt>
                <c:pt idx="9">
                  <c:v>16532</c:v>
                </c:pt>
                <c:pt idx="10">
                  <c:v>1132</c:v>
                </c:pt>
                <c:pt idx="11">
                  <c:v>1967</c:v>
                </c:pt>
                <c:pt idx="12">
                  <c:v>253</c:v>
                </c:pt>
                <c:pt idx="13">
                  <c:v>18092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3C-40DA-99E2-06823DD84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100%</c:v>
                </c:pt>
                <c:pt idx="5">
                  <c:v>0%</c:v>
                </c:pt>
                <c:pt idx="6">
                  <c:v>0%</c:v>
                </c:pt>
                <c:pt idx="7">
                  <c:v>100%</c:v>
                </c:pt>
                <c:pt idx="8">
                  <c:v>46%</c:v>
                </c:pt>
                <c:pt idx="9">
                  <c:v>71%</c:v>
                </c:pt>
                <c:pt idx="10">
                  <c:v>0%</c:v>
                </c:pt>
                <c:pt idx="11">
                  <c:v>0%</c:v>
                </c:pt>
                <c:pt idx="12">
                  <c:v>17%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0.45833333333333331</c:v>
                </c:pt>
                <c:pt idx="9">
                  <c:v>0.70833333333333337</c:v>
                </c:pt>
                <c:pt idx="10">
                  <c:v>0</c:v>
                </c:pt>
                <c:pt idx="11">
                  <c:v>0</c:v>
                </c:pt>
                <c:pt idx="12">
                  <c:v>0.16666666666666666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87-433C-9986-BB976593AB4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887-433C-9986-BB976593AB4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22P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'28'!$AE$6:$AE$20</c:f>
              <c:numCache>
                <c:formatCode>0%</c:formatCode>
                <c:ptCount val="15"/>
                <c:pt idx="0">
                  <c:v>0.28888888888888892</c:v>
                </c:pt>
                <c:pt idx="1">
                  <c:v>0.28888888888888892</c:v>
                </c:pt>
                <c:pt idx="2">
                  <c:v>0.28888888888888892</c:v>
                </c:pt>
                <c:pt idx="3">
                  <c:v>0.28888888888888892</c:v>
                </c:pt>
                <c:pt idx="4">
                  <c:v>0.28888888888888892</c:v>
                </c:pt>
                <c:pt idx="5">
                  <c:v>0.28888888888888892</c:v>
                </c:pt>
                <c:pt idx="6">
                  <c:v>0.28888888888888892</c:v>
                </c:pt>
                <c:pt idx="7">
                  <c:v>0.28888888888888892</c:v>
                </c:pt>
                <c:pt idx="8">
                  <c:v>0.28888888888888892</c:v>
                </c:pt>
                <c:pt idx="9">
                  <c:v>0.28888888888888892</c:v>
                </c:pt>
                <c:pt idx="10">
                  <c:v>0.28888888888888892</c:v>
                </c:pt>
                <c:pt idx="11">
                  <c:v>0.28888888888888892</c:v>
                </c:pt>
                <c:pt idx="12">
                  <c:v>0.28888888888888892</c:v>
                </c:pt>
                <c:pt idx="13">
                  <c:v>0.28888888888888892</c:v>
                </c:pt>
                <c:pt idx="14">
                  <c:v>0.28888888888888892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87-433C-9986-BB976593A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5F9-4E44-9CF5-02B78A5BA3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0.30555555555555552</c:v>
                </c:pt>
                <c:pt idx="2">
                  <c:v>0.31666666666666665</c:v>
                </c:pt>
                <c:pt idx="5">
                  <c:v>0.38611111111111113</c:v>
                </c:pt>
                <c:pt idx="6">
                  <c:v>0.4</c:v>
                </c:pt>
                <c:pt idx="7">
                  <c:v>0.46944444444444444</c:v>
                </c:pt>
                <c:pt idx="8">
                  <c:v>0.43888888888888894</c:v>
                </c:pt>
                <c:pt idx="9">
                  <c:v>0.40555555555555561</c:v>
                </c:pt>
                <c:pt idx="12">
                  <c:v>0.43888888888888894</c:v>
                </c:pt>
                <c:pt idx="13">
                  <c:v>0.39722222222222225</c:v>
                </c:pt>
                <c:pt idx="14">
                  <c:v>0.46944444444444439</c:v>
                </c:pt>
                <c:pt idx="15">
                  <c:v>0.3888888888888889</c:v>
                </c:pt>
                <c:pt idx="16">
                  <c:v>0.45833333333333326</c:v>
                </c:pt>
                <c:pt idx="19">
                  <c:v>0.38055555555555548</c:v>
                </c:pt>
                <c:pt idx="20">
                  <c:v>0.32500000000000001</c:v>
                </c:pt>
                <c:pt idx="21">
                  <c:v>0.34166666666666667</c:v>
                </c:pt>
                <c:pt idx="22">
                  <c:v>0.35833333333333334</c:v>
                </c:pt>
                <c:pt idx="27">
                  <c:v>0.28888888888888892</c:v>
                </c:pt>
                <c:pt idx="28">
                  <c:v>0.28611111111111109</c:v>
                </c:pt>
                <c:pt idx="29">
                  <c:v>0.36944444444444446</c:v>
                </c:pt>
                <c:pt idx="30">
                  <c:v>0.31944444444444448</c:v>
                </c:pt>
                <c:pt idx="31">
                  <c:v>0.24336917562724017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F9-4E44-9CF5-02B78A5BA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5F9-4E44-9CF5-02B78A5BA3F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F9-4E44-9CF5-02B78A5BA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SLIDER</c:v>
                </c:pt>
                <c:pt idx="4">
                  <c:v>SP</c:v>
                </c:pt>
                <c:pt idx="5">
                  <c:v>SPACER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'29'!$L$6:$L$20</c:f>
              <c:numCache>
                <c:formatCode>_(* #,##0_);_(* \(#,##0\);_(* "-"_);_(@_)</c:formatCode>
                <c:ptCount val="15"/>
                <c:pt idx="3">
                  <c:v>788</c:v>
                </c:pt>
                <c:pt idx="4">
                  <c:v>12464</c:v>
                </c:pt>
                <c:pt idx="5">
                  <c:v>569</c:v>
                </c:pt>
                <c:pt idx="7">
                  <c:v>20564</c:v>
                </c:pt>
                <c:pt idx="9">
                  <c:v>27888</c:v>
                </c:pt>
                <c:pt idx="13">
                  <c:v>19996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D9-4871-AC06-C5291F66A67A}"/>
            </c:ext>
          </c:extLst>
        </c:ser>
        <c:ser>
          <c:idx val="1"/>
          <c:order val="1"/>
          <c:tx>
            <c:v>계획</c:v>
          </c:tx>
          <c:cat>
            <c:strRef>
              <c:f>'29'!$D$6:$D$20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SLIDER</c:v>
                </c:pt>
                <c:pt idx="4">
                  <c:v>SP</c:v>
                </c:pt>
                <c:pt idx="5">
                  <c:v>SPACER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3138</c:v>
                </c:pt>
                <c:pt idx="3">
                  <c:v>788</c:v>
                </c:pt>
                <c:pt idx="4">
                  <c:v>12464</c:v>
                </c:pt>
                <c:pt idx="5">
                  <c:v>569</c:v>
                </c:pt>
                <c:pt idx="6">
                  <c:v>561</c:v>
                </c:pt>
                <c:pt idx="7">
                  <c:v>20564</c:v>
                </c:pt>
                <c:pt idx="8">
                  <c:v>2132</c:v>
                </c:pt>
                <c:pt idx="9">
                  <c:v>27888</c:v>
                </c:pt>
                <c:pt idx="10">
                  <c:v>1132</c:v>
                </c:pt>
                <c:pt idx="11">
                  <c:v>1967</c:v>
                </c:pt>
                <c:pt idx="12">
                  <c:v>253</c:v>
                </c:pt>
                <c:pt idx="13">
                  <c:v>19996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D9-4871-AC06-C5291F66A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21%</c:v>
                </c:pt>
                <c:pt idx="4">
                  <c:v>100%</c:v>
                </c:pt>
                <c:pt idx="5">
                  <c:v>17%</c:v>
                </c:pt>
                <c:pt idx="6">
                  <c:v>0%</c:v>
                </c:pt>
                <c:pt idx="7">
                  <c:v>92%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SLIDER</c:v>
                </c:pt>
                <c:pt idx="4">
                  <c:v>SP</c:v>
                </c:pt>
                <c:pt idx="5">
                  <c:v>SPACER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0.20833333333333334</c:v>
                </c:pt>
                <c:pt idx="4">
                  <c:v>1</c:v>
                </c:pt>
                <c:pt idx="5">
                  <c:v>0.16666666666666666</c:v>
                </c:pt>
                <c:pt idx="6">
                  <c:v>0</c:v>
                </c:pt>
                <c:pt idx="7">
                  <c:v>0.91666666666666663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CD-4868-8FC3-2BBEE474588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ACD-4868-8FC3-2BBEE474588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SLIDER</c:v>
                </c:pt>
                <c:pt idx="4">
                  <c:v>SP</c:v>
                </c:pt>
                <c:pt idx="5">
                  <c:v>SPACER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'29'!$AE$6:$AE$20</c:f>
              <c:numCache>
                <c:formatCode>0%</c:formatCode>
                <c:ptCount val="15"/>
                <c:pt idx="0">
                  <c:v>0.28611111111111109</c:v>
                </c:pt>
                <c:pt idx="1">
                  <c:v>0.28611111111111109</c:v>
                </c:pt>
                <c:pt idx="2">
                  <c:v>0.28611111111111109</c:v>
                </c:pt>
                <c:pt idx="3">
                  <c:v>0.28611111111111109</c:v>
                </c:pt>
                <c:pt idx="4">
                  <c:v>0.28611111111111109</c:v>
                </c:pt>
                <c:pt idx="5">
                  <c:v>0.28611111111111109</c:v>
                </c:pt>
                <c:pt idx="6">
                  <c:v>0.28611111111111109</c:v>
                </c:pt>
                <c:pt idx="7">
                  <c:v>0.28611111111111109</c:v>
                </c:pt>
                <c:pt idx="8">
                  <c:v>0.28611111111111109</c:v>
                </c:pt>
                <c:pt idx="9">
                  <c:v>0.28611111111111109</c:v>
                </c:pt>
                <c:pt idx="10">
                  <c:v>0.28611111111111109</c:v>
                </c:pt>
                <c:pt idx="11">
                  <c:v>0.28611111111111109</c:v>
                </c:pt>
                <c:pt idx="12">
                  <c:v>0.28611111111111109</c:v>
                </c:pt>
                <c:pt idx="13">
                  <c:v>0.28611111111111109</c:v>
                </c:pt>
                <c:pt idx="14">
                  <c:v>0.28611111111111109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CD-4868-8FC3-2BBEE4745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SLIDER</c:v>
                </c:pt>
                <c:pt idx="4">
                  <c:v>SP</c:v>
                </c:pt>
                <c:pt idx="5">
                  <c:v>SPACER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'29'!$L$6:$L$20</c:f>
              <c:numCache>
                <c:formatCode>_(* #,##0_);_(* \(#,##0\);_(* "-"_);_(@_)</c:formatCode>
                <c:ptCount val="15"/>
                <c:pt idx="3">
                  <c:v>788</c:v>
                </c:pt>
                <c:pt idx="4">
                  <c:v>12464</c:v>
                </c:pt>
                <c:pt idx="5">
                  <c:v>569</c:v>
                </c:pt>
                <c:pt idx="7">
                  <c:v>20564</c:v>
                </c:pt>
                <c:pt idx="9">
                  <c:v>27888</c:v>
                </c:pt>
                <c:pt idx="13">
                  <c:v>19996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5F-42FC-9FB1-F8E132118188}"/>
            </c:ext>
          </c:extLst>
        </c:ser>
        <c:ser>
          <c:idx val="1"/>
          <c:order val="1"/>
          <c:tx>
            <c:v>계획</c:v>
          </c:tx>
          <c:cat>
            <c:strRef>
              <c:f>'29'!$D$6:$D$20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SLIDER</c:v>
                </c:pt>
                <c:pt idx="4">
                  <c:v>SP</c:v>
                </c:pt>
                <c:pt idx="5">
                  <c:v>SPACER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3138</c:v>
                </c:pt>
                <c:pt idx="3">
                  <c:v>788</c:v>
                </c:pt>
                <c:pt idx="4">
                  <c:v>12464</c:v>
                </c:pt>
                <c:pt idx="5">
                  <c:v>569</c:v>
                </c:pt>
                <c:pt idx="6">
                  <c:v>561</c:v>
                </c:pt>
                <c:pt idx="7">
                  <c:v>20564</c:v>
                </c:pt>
                <c:pt idx="8">
                  <c:v>2132</c:v>
                </c:pt>
                <c:pt idx="9">
                  <c:v>27888</c:v>
                </c:pt>
                <c:pt idx="10">
                  <c:v>1132</c:v>
                </c:pt>
                <c:pt idx="11">
                  <c:v>1967</c:v>
                </c:pt>
                <c:pt idx="12">
                  <c:v>253</c:v>
                </c:pt>
                <c:pt idx="13">
                  <c:v>19996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5F-42FC-9FB1-F8E132118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21%</c:v>
                </c:pt>
                <c:pt idx="4">
                  <c:v>100%</c:v>
                </c:pt>
                <c:pt idx="5">
                  <c:v>17%</c:v>
                </c:pt>
                <c:pt idx="6">
                  <c:v>0%</c:v>
                </c:pt>
                <c:pt idx="7">
                  <c:v>92%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SLIDER</c:v>
                </c:pt>
                <c:pt idx="4">
                  <c:v>SP</c:v>
                </c:pt>
                <c:pt idx="5">
                  <c:v>SPACER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0.20833333333333334</c:v>
                </c:pt>
                <c:pt idx="4">
                  <c:v>1</c:v>
                </c:pt>
                <c:pt idx="5">
                  <c:v>0.16666666666666666</c:v>
                </c:pt>
                <c:pt idx="6">
                  <c:v>0</c:v>
                </c:pt>
                <c:pt idx="7">
                  <c:v>0.91666666666666663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76-4584-8068-9098502ED73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176-4584-8068-9098502ED73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SLIDER</c:v>
                </c:pt>
                <c:pt idx="4">
                  <c:v>SP</c:v>
                </c:pt>
                <c:pt idx="5">
                  <c:v>SPACER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'29'!$AE$6:$AE$20</c:f>
              <c:numCache>
                <c:formatCode>0%</c:formatCode>
                <c:ptCount val="15"/>
                <c:pt idx="0">
                  <c:v>0.28611111111111109</c:v>
                </c:pt>
                <c:pt idx="1">
                  <c:v>0.28611111111111109</c:v>
                </c:pt>
                <c:pt idx="2">
                  <c:v>0.28611111111111109</c:v>
                </c:pt>
                <c:pt idx="3">
                  <c:v>0.28611111111111109</c:v>
                </c:pt>
                <c:pt idx="4">
                  <c:v>0.28611111111111109</c:v>
                </c:pt>
                <c:pt idx="5">
                  <c:v>0.28611111111111109</c:v>
                </c:pt>
                <c:pt idx="6">
                  <c:v>0.28611111111111109</c:v>
                </c:pt>
                <c:pt idx="7">
                  <c:v>0.28611111111111109</c:v>
                </c:pt>
                <c:pt idx="8">
                  <c:v>0.28611111111111109</c:v>
                </c:pt>
                <c:pt idx="9">
                  <c:v>0.28611111111111109</c:v>
                </c:pt>
                <c:pt idx="10">
                  <c:v>0.28611111111111109</c:v>
                </c:pt>
                <c:pt idx="11">
                  <c:v>0.28611111111111109</c:v>
                </c:pt>
                <c:pt idx="12">
                  <c:v>0.28611111111111109</c:v>
                </c:pt>
                <c:pt idx="13">
                  <c:v>0.28611111111111109</c:v>
                </c:pt>
                <c:pt idx="14">
                  <c:v>0.28611111111111109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76-4584-8068-9098502ED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3A1-488C-AACE-6516865B00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0.30555555555555552</c:v>
                </c:pt>
                <c:pt idx="2">
                  <c:v>0.31666666666666665</c:v>
                </c:pt>
                <c:pt idx="5">
                  <c:v>0.38611111111111113</c:v>
                </c:pt>
                <c:pt idx="6">
                  <c:v>0.4</c:v>
                </c:pt>
                <c:pt idx="7">
                  <c:v>0.46944444444444444</c:v>
                </c:pt>
                <c:pt idx="8">
                  <c:v>0.43888888888888894</c:v>
                </c:pt>
                <c:pt idx="9">
                  <c:v>0.40555555555555561</c:v>
                </c:pt>
                <c:pt idx="12">
                  <c:v>0.43888888888888894</c:v>
                </c:pt>
                <c:pt idx="13">
                  <c:v>0.39722222222222225</c:v>
                </c:pt>
                <c:pt idx="14">
                  <c:v>0.46944444444444439</c:v>
                </c:pt>
                <c:pt idx="15">
                  <c:v>0.3888888888888889</c:v>
                </c:pt>
                <c:pt idx="16">
                  <c:v>0.45833333333333326</c:v>
                </c:pt>
                <c:pt idx="19">
                  <c:v>0.38055555555555548</c:v>
                </c:pt>
                <c:pt idx="20">
                  <c:v>0.32500000000000001</c:v>
                </c:pt>
                <c:pt idx="21">
                  <c:v>0.34166666666666667</c:v>
                </c:pt>
                <c:pt idx="22">
                  <c:v>0.35833333333333334</c:v>
                </c:pt>
                <c:pt idx="27">
                  <c:v>0.28888888888888892</c:v>
                </c:pt>
                <c:pt idx="28">
                  <c:v>0.28611111111111109</c:v>
                </c:pt>
                <c:pt idx="29">
                  <c:v>0.36944444444444446</c:v>
                </c:pt>
                <c:pt idx="30">
                  <c:v>0.31944444444444448</c:v>
                </c:pt>
                <c:pt idx="31">
                  <c:v>0.24336917562724017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A1-488C-AACE-6516865B0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3A1-488C-AACE-6516865B00A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A1-488C-AACE-6516865B0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'30'!$L$6:$L$20</c:f>
              <c:numCache>
                <c:formatCode>_(* #,##0_);_(* \(#,##0\);_(* "-"_);_(@_)</c:formatCode>
                <c:ptCount val="15"/>
                <c:pt idx="3">
                  <c:v>3162</c:v>
                </c:pt>
                <c:pt idx="4">
                  <c:v>9470</c:v>
                </c:pt>
                <c:pt idx="5">
                  <c:v>2645</c:v>
                </c:pt>
                <c:pt idx="6">
                  <c:v>2715</c:v>
                </c:pt>
                <c:pt idx="7">
                  <c:v>19264</c:v>
                </c:pt>
                <c:pt idx="9">
                  <c:v>21160</c:v>
                </c:pt>
                <c:pt idx="13">
                  <c:v>19760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68-4C03-A58B-6DF7FF1C5F8D}"/>
            </c:ext>
          </c:extLst>
        </c:ser>
        <c:ser>
          <c:idx val="1"/>
          <c:order val="1"/>
          <c:tx>
            <c:v>계획</c:v>
          </c:tx>
          <c:cat>
            <c:strRef>
              <c:f>'30'!$D$6:$D$20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'30'!$J$6:$J$20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3138</c:v>
                </c:pt>
                <c:pt idx="3">
                  <c:v>3162</c:v>
                </c:pt>
                <c:pt idx="4">
                  <c:v>9470</c:v>
                </c:pt>
                <c:pt idx="5">
                  <c:v>2645</c:v>
                </c:pt>
                <c:pt idx="6">
                  <c:v>2715</c:v>
                </c:pt>
                <c:pt idx="7">
                  <c:v>19264</c:v>
                </c:pt>
                <c:pt idx="8">
                  <c:v>2132</c:v>
                </c:pt>
                <c:pt idx="9">
                  <c:v>21160</c:v>
                </c:pt>
                <c:pt idx="10">
                  <c:v>1132</c:v>
                </c:pt>
                <c:pt idx="11">
                  <c:v>1967</c:v>
                </c:pt>
                <c:pt idx="12">
                  <c:v>253</c:v>
                </c:pt>
                <c:pt idx="13">
                  <c:v>19760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68-4C03-A58B-6DF7FF1C5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71%</c:v>
                </c:pt>
                <c:pt idx="4">
                  <c:v>75%</c:v>
                </c:pt>
                <c:pt idx="5">
                  <c:v>58%</c:v>
                </c:pt>
                <c:pt idx="6">
                  <c:v>67%</c:v>
                </c:pt>
                <c:pt idx="7">
                  <c:v>100%</c:v>
                </c:pt>
                <c:pt idx="8">
                  <c:v>0%</c:v>
                </c:pt>
                <c:pt idx="9">
                  <c:v>83%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'30'!$AD$6:$AD$20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0.70833333333333337</c:v>
                </c:pt>
                <c:pt idx="4">
                  <c:v>0.75</c:v>
                </c:pt>
                <c:pt idx="5">
                  <c:v>0.58333333333333337</c:v>
                </c:pt>
                <c:pt idx="6">
                  <c:v>0.66666666666666663</c:v>
                </c:pt>
                <c:pt idx="7">
                  <c:v>1</c:v>
                </c:pt>
                <c:pt idx="8">
                  <c:v>0</c:v>
                </c:pt>
                <c:pt idx="9">
                  <c:v>0.83333333333333337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49-484A-B7CD-CB3502C6664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949-484A-B7CD-CB3502C6664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'30'!$AE$6:$AE$20</c:f>
              <c:numCache>
                <c:formatCode>0%</c:formatCode>
                <c:ptCount val="15"/>
                <c:pt idx="0">
                  <c:v>0.36944444444444446</c:v>
                </c:pt>
                <c:pt idx="1">
                  <c:v>0.36944444444444446</c:v>
                </c:pt>
                <c:pt idx="2">
                  <c:v>0.36944444444444446</c:v>
                </c:pt>
                <c:pt idx="3">
                  <c:v>0.36944444444444446</c:v>
                </c:pt>
                <c:pt idx="4">
                  <c:v>0.36944444444444446</c:v>
                </c:pt>
                <c:pt idx="5">
                  <c:v>0.36944444444444446</c:v>
                </c:pt>
                <c:pt idx="6">
                  <c:v>0.36944444444444446</c:v>
                </c:pt>
                <c:pt idx="7">
                  <c:v>0.36944444444444446</c:v>
                </c:pt>
                <c:pt idx="8">
                  <c:v>0.36944444444444446</c:v>
                </c:pt>
                <c:pt idx="9">
                  <c:v>0.36944444444444446</c:v>
                </c:pt>
                <c:pt idx="10">
                  <c:v>0.36944444444444446</c:v>
                </c:pt>
                <c:pt idx="11">
                  <c:v>0.36944444444444446</c:v>
                </c:pt>
                <c:pt idx="12">
                  <c:v>0.36944444444444446</c:v>
                </c:pt>
                <c:pt idx="13">
                  <c:v>0.36944444444444446</c:v>
                </c:pt>
                <c:pt idx="14">
                  <c:v>0.36944444444444446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49-484A-B7CD-CB3502C66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'30'!$L$6:$L$20</c:f>
              <c:numCache>
                <c:formatCode>_(* #,##0_);_(* \(#,##0\);_(* "-"_);_(@_)</c:formatCode>
                <c:ptCount val="15"/>
                <c:pt idx="3">
                  <c:v>3162</c:v>
                </c:pt>
                <c:pt idx="4">
                  <c:v>9470</c:v>
                </c:pt>
                <c:pt idx="5">
                  <c:v>2645</c:v>
                </c:pt>
                <c:pt idx="6">
                  <c:v>2715</c:v>
                </c:pt>
                <c:pt idx="7">
                  <c:v>19264</c:v>
                </c:pt>
                <c:pt idx="9">
                  <c:v>21160</c:v>
                </c:pt>
                <c:pt idx="13">
                  <c:v>19760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6C-48D7-9306-158C3381D2A2}"/>
            </c:ext>
          </c:extLst>
        </c:ser>
        <c:ser>
          <c:idx val="1"/>
          <c:order val="1"/>
          <c:tx>
            <c:v>계획</c:v>
          </c:tx>
          <c:cat>
            <c:strRef>
              <c:f>'30'!$D$6:$D$20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'30'!$J$6:$J$20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3138</c:v>
                </c:pt>
                <c:pt idx="3">
                  <c:v>3162</c:v>
                </c:pt>
                <c:pt idx="4">
                  <c:v>9470</c:v>
                </c:pt>
                <c:pt idx="5">
                  <c:v>2645</c:v>
                </c:pt>
                <c:pt idx="6">
                  <c:v>2715</c:v>
                </c:pt>
                <c:pt idx="7">
                  <c:v>19264</c:v>
                </c:pt>
                <c:pt idx="8">
                  <c:v>2132</c:v>
                </c:pt>
                <c:pt idx="9">
                  <c:v>21160</c:v>
                </c:pt>
                <c:pt idx="10">
                  <c:v>1132</c:v>
                </c:pt>
                <c:pt idx="11">
                  <c:v>1967</c:v>
                </c:pt>
                <c:pt idx="12">
                  <c:v>253</c:v>
                </c:pt>
                <c:pt idx="13">
                  <c:v>19760</c:v>
                </c:pt>
                <c:pt idx="14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C-48D7-9306-158C3381D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71%</c:v>
                </c:pt>
                <c:pt idx="4">
                  <c:v>75%</c:v>
                </c:pt>
                <c:pt idx="5">
                  <c:v>58%</c:v>
                </c:pt>
                <c:pt idx="6">
                  <c:v>67%</c:v>
                </c:pt>
                <c:pt idx="7">
                  <c:v>100%</c:v>
                </c:pt>
                <c:pt idx="8">
                  <c:v>0%</c:v>
                </c:pt>
                <c:pt idx="9">
                  <c:v>83%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'30'!$AD$6:$AD$20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0.70833333333333337</c:v>
                </c:pt>
                <c:pt idx="4">
                  <c:v>0.75</c:v>
                </c:pt>
                <c:pt idx="5">
                  <c:v>0.58333333333333337</c:v>
                </c:pt>
                <c:pt idx="6">
                  <c:v>0.66666666666666663</c:v>
                </c:pt>
                <c:pt idx="7">
                  <c:v>1</c:v>
                </c:pt>
                <c:pt idx="8">
                  <c:v>0</c:v>
                </c:pt>
                <c:pt idx="9">
                  <c:v>0.83333333333333337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FE-4BDA-B043-30F82A1B199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FE-4BDA-B043-30F82A1B199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'30'!$AE$6:$AE$20</c:f>
              <c:numCache>
                <c:formatCode>0%</c:formatCode>
                <c:ptCount val="15"/>
                <c:pt idx="0">
                  <c:v>0.36944444444444446</c:v>
                </c:pt>
                <c:pt idx="1">
                  <c:v>0.36944444444444446</c:v>
                </c:pt>
                <c:pt idx="2">
                  <c:v>0.36944444444444446</c:v>
                </c:pt>
                <c:pt idx="3">
                  <c:v>0.36944444444444446</c:v>
                </c:pt>
                <c:pt idx="4">
                  <c:v>0.36944444444444446</c:v>
                </c:pt>
                <c:pt idx="5">
                  <c:v>0.36944444444444446</c:v>
                </c:pt>
                <c:pt idx="6">
                  <c:v>0.36944444444444446</c:v>
                </c:pt>
                <c:pt idx="7">
                  <c:v>0.36944444444444446</c:v>
                </c:pt>
                <c:pt idx="8">
                  <c:v>0.36944444444444446</c:v>
                </c:pt>
                <c:pt idx="9">
                  <c:v>0.36944444444444446</c:v>
                </c:pt>
                <c:pt idx="10">
                  <c:v>0.36944444444444446</c:v>
                </c:pt>
                <c:pt idx="11">
                  <c:v>0.36944444444444446</c:v>
                </c:pt>
                <c:pt idx="12">
                  <c:v>0.36944444444444446</c:v>
                </c:pt>
                <c:pt idx="13">
                  <c:v>0.36944444444444446</c:v>
                </c:pt>
                <c:pt idx="14">
                  <c:v>0.36944444444444446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FE-4BDA-B043-30F82A1B1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2CC-4922-AB17-F37783AB95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0.30555555555555552</c:v>
                </c:pt>
                <c:pt idx="2">
                  <c:v>0.31666666666666665</c:v>
                </c:pt>
                <c:pt idx="5">
                  <c:v>0.38611111111111113</c:v>
                </c:pt>
                <c:pt idx="6">
                  <c:v>0.4</c:v>
                </c:pt>
                <c:pt idx="7">
                  <c:v>0.46944444444444444</c:v>
                </c:pt>
                <c:pt idx="8">
                  <c:v>0.43888888888888894</c:v>
                </c:pt>
                <c:pt idx="9">
                  <c:v>0.40555555555555561</c:v>
                </c:pt>
                <c:pt idx="12">
                  <c:v>0.43888888888888894</c:v>
                </c:pt>
                <c:pt idx="13">
                  <c:v>0.39722222222222225</c:v>
                </c:pt>
                <c:pt idx="14">
                  <c:v>0.46944444444444439</c:v>
                </c:pt>
                <c:pt idx="15">
                  <c:v>0.3888888888888889</c:v>
                </c:pt>
                <c:pt idx="16">
                  <c:v>0.45833333333333326</c:v>
                </c:pt>
                <c:pt idx="19">
                  <c:v>0.38055555555555548</c:v>
                </c:pt>
                <c:pt idx="20">
                  <c:v>0.32500000000000001</c:v>
                </c:pt>
                <c:pt idx="21">
                  <c:v>0.34166666666666667</c:v>
                </c:pt>
                <c:pt idx="22">
                  <c:v>0.35833333333333334</c:v>
                </c:pt>
                <c:pt idx="27">
                  <c:v>0.28888888888888892</c:v>
                </c:pt>
                <c:pt idx="28">
                  <c:v>0.28611111111111109</c:v>
                </c:pt>
                <c:pt idx="29">
                  <c:v>0.36944444444444446</c:v>
                </c:pt>
                <c:pt idx="30">
                  <c:v>0.31944444444444448</c:v>
                </c:pt>
                <c:pt idx="31">
                  <c:v>0.24336917562724017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CC-4922-AB17-F37783AB9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2CC-4922-AB17-F37783AB959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CC-4922-AB17-F37783AB9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SLIDER</c:v>
                </c:pt>
                <c:pt idx="4">
                  <c:v>SLIDER</c:v>
                </c:pt>
                <c:pt idx="5">
                  <c:v>BASE</c:v>
                </c:pt>
                <c:pt idx="6">
                  <c:v>SHAFT</c:v>
                </c:pt>
                <c:pt idx="7">
                  <c:v>BASE</c:v>
                </c:pt>
                <c:pt idx="8">
                  <c:v>BASE</c:v>
                </c:pt>
                <c:pt idx="9">
                  <c:v>FRONT/REAR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'31'!$L$6:$L$21</c:f>
              <c:numCache>
                <c:formatCode>_(* #,##0_);_(* \(#,##0\);_(* "-"_);_(@_)</c:formatCode>
                <c:ptCount val="16"/>
                <c:pt idx="3">
                  <c:v>4351</c:v>
                </c:pt>
                <c:pt idx="4">
                  <c:v>1151</c:v>
                </c:pt>
                <c:pt idx="5">
                  <c:v>1872</c:v>
                </c:pt>
                <c:pt idx="6">
                  <c:v>21090</c:v>
                </c:pt>
                <c:pt idx="7">
                  <c:v>2101</c:v>
                </c:pt>
                <c:pt idx="8">
                  <c:v>19416</c:v>
                </c:pt>
                <c:pt idx="11">
                  <c:v>1049</c:v>
                </c:pt>
                <c:pt idx="14">
                  <c:v>18952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F-4C64-9A36-0C043C544D70}"/>
            </c:ext>
          </c:extLst>
        </c:ser>
        <c:ser>
          <c:idx val="1"/>
          <c:order val="1"/>
          <c:tx>
            <c:v>계획</c:v>
          </c:tx>
          <c:cat>
            <c:strRef>
              <c:f>'31'!$D$6:$D$21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SLIDER</c:v>
                </c:pt>
                <c:pt idx="4">
                  <c:v>SLIDER</c:v>
                </c:pt>
                <c:pt idx="5">
                  <c:v>BASE</c:v>
                </c:pt>
                <c:pt idx="6">
                  <c:v>SHAFT</c:v>
                </c:pt>
                <c:pt idx="7">
                  <c:v>BASE</c:v>
                </c:pt>
                <c:pt idx="8">
                  <c:v>BASE</c:v>
                </c:pt>
                <c:pt idx="9">
                  <c:v>FRONT/REAR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'31'!$J$6:$J$21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3138</c:v>
                </c:pt>
                <c:pt idx="3">
                  <c:v>4351</c:v>
                </c:pt>
                <c:pt idx="4">
                  <c:v>1151</c:v>
                </c:pt>
                <c:pt idx="5">
                  <c:v>1872</c:v>
                </c:pt>
                <c:pt idx="6">
                  <c:v>21090</c:v>
                </c:pt>
                <c:pt idx="7">
                  <c:v>2101</c:v>
                </c:pt>
                <c:pt idx="8">
                  <c:v>19416</c:v>
                </c:pt>
                <c:pt idx="9">
                  <c:v>2132</c:v>
                </c:pt>
                <c:pt idx="10">
                  <c:v>21160</c:v>
                </c:pt>
                <c:pt idx="11">
                  <c:v>1049</c:v>
                </c:pt>
                <c:pt idx="12">
                  <c:v>1967</c:v>
                </c:pt>
                <c:pt idx="13">
                  <c:v>253</c:v>
                </c:pt>
                <c:pt idx="14">
                  <c:v>18952</c:v>
                </c:pt>
                <c:pt idx="15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0F-4C64-9A36-0C043C544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96%</c:v>
                </c:pt>
                <c:pt idx="4">
                  <c:v>25%</c:v>
                </c:pt>
                <c:pt idx="5">
                  <c:v>33%</c:v>
                </c:pt>
                <c:pt idx="6">
                  <c:v>50%</c:v>
                </c:pt>
                <c:pt idx="7">
                  <c:v>46%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29%</c:v>
                </c:pt>
                <c:pt idx="12">
                  <c:v>0%</c:v>
                </c:pt>
                <c:pt idx="13">
                  <c:v>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SLIDER</c:v>
                </c:pt>
                <c:pt idx="4">
                  <c:v>SLIDER</c:v>
                </c:pt>
                <c:pt idx="5">
                  <c:v>BASE</c:v>
                </c:pt>
                <c:pt idx="6">
                  <c:v>SHAFT</c:v>
                </c:pt>
                <c:pt idx="7">
                  <c:v>BASE</c:v>
                </c:pt>
                <c:pt idx="8">
                  <c:v>BASE</c:v>
                </c:pt>
                <c:pt idx="9">
                  <c:v>FRONT/REAR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'31'!$AD$6:$AD$21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0.95833333333333337</c:v>
                </c:pt>
                <c:pt idx="4">
                  <c:v>0.25</c:v>
                </c:pt>
                <c:pt idx="5">
                  <c:v>0.33333333333333331</c:v>
                </c:pt>
                <c:pt idx="6">
                  <c:v>0.5</c:v>
                </c:pt>
                <c:pt idx="7">
                  <c:v>0.45833333333333331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0.29166666666666669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3B-4530-98ED-5EC4684B46B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13B-4530-98ED-5EC4684B46B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SLIDER</c:v>
                </c:pt>
                <c:pt idx="4">
                  <c:v>SLIDER</c:v>
                </c:pt>
                <c:pt idx="5">
                  <c:v>BASE</c:v>
                </c:pt>
                <c:pt idx="6">
                  <c:v>SHAFT</c:v>
                </c:pt>
                <c:pt idx="7">
                  <c:v>BASE</c:v>
                </c:pt>
                <c:pt idx="8">
                  <c:v>BASE</c:v>
                </c:pt>
                <c:pt idx="9">
                  <c:v>FRONT/REAR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'31'!$AE$6:$AE$21</c:f>
              <c:numCache>
                <c:formatCode>0%</c:formatCode>
                <c:ptCount val="16"/>
                <c:pt idx="0">
                  <c:v>0.31944444444444448</c:v>
                </c:pt>
                <c:pt idx="1">
                  <c:v>0.31944444444444448</c:v>
                </c:pt>
                <c:pt idx="2">
                  <c:v>0.31944444444444448</c:v>
                </c:pt>
                <c:pt idx="3">
                  <c:v>0.31944444444444448</c:v>
                </c:pt>
                <c:pt idx="4">
                  <c:v>0.31944444444444448</c:v>
                </c:pt>
                <c:pt idx="5">
                  <c:v>0.31944444444444448</c:v>
                </c:pt>
                <c:pt idx="6">
                  <c:v>0.31944444444444448</c:v>
                </c:pt>
                <c:pt idx="7">
                  <c:v>0.31944444444444448</c:v>
                </c:pt>
                <c:pt idx="8">
                  <c:v>0.31944444444444448</c:v>
                </c:pt>
                <c:pt idx="9">
                  <c:v>0.31944444444444448</c:v>
                </c:pt>
                <c:pt idx="10">
                  <c:v>0.31944444444444448</c:v>
                </c:pt>
                <c:pt idx="11">
                  <c:v>0.31944444444444448</c:v>
                </c:pt>
                <c:pt idx="12">
                  <c:v>0.31944444444444448</c:v>
                </c:pt>
                <c:pt idx="13">
                  <c:v>0.31944444444444448</c:v>
                </c:pt>
                <c:pt idx="14">
                  <c:v>0.31944444444444448</c:v>
                </c:pt>
                <c:pt idx="15">
                  <c:v>0.31944444444444448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3B-4530-98ED-5EC4684B4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SLIDER</c:v>
                </c:pt>
                <c:pt idx="4">
                  <c:v>SLIDER</c:v>
                </c:pt>
                <c:pt idx="5">
                  <c:v>BASE</c:v>
                </c:pt>
                <c:pt idx="6">
                  <c:v>SHAFT</c:v>
                </c:pt>
                <c:pt idx="7">
                  <c:v>BASE</c:v>
                </c:pt>
                <c:pt idx="8">
                  <c:v>BASE</c:v>
                </c:pt>
                <c:pt idx="9">
                  <c:v>FRONT/REAR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'31'!$L$6:$L$21</c:f>
              <c:numCache>
                <c:formatCode>_(* #,##0_);_(* \(#,##0\);_(* "-"_);_(@_)</c:formatCode>
                <c:ptCount val="16"/>
                <c:pt idx="3">
                  <c:v>4351</c:v>
                </c:pt>
                <c:pt idx="4">
                  <c:v>1151</c:v>
                </c:pt>
                <c:pt idx="5">
                  <c:v>1872</c:v>
                </c:pt>
                <c:pt idx="6">
                  <c:v>21090</c:v>
                </c:pt>
                <c:pt idx="7">
                  <c:v>2101</c:v>
                </c:pt>
                <c:pt idx="8">
                  <c:v>19416</c:v>
                </c:pt>
                <c:pt idx="11">
                  <c:v>1049</c:v>
                </c:pt>
                <c:pt idx="14">
                  <c:v>18952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03-4C2A-87B9-7F7C4605494C}"/>
            </c:ext>
          </c:extLst>
        </c:ser>
        <c:ser>
          <c:idx val="1"/>
          <c:order val="1"/>
          <c:tx>
            <c:v>계획</c:v>
          </c:tx>
          <c:cat>
            <c:strRef>
              <c:f>'31'!$D$6:$D$21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SLIDER</c:v>
                </c:pt>
                <c:pt idx="4">
                  <c:v>SLIDER</c:v>
                </c:pt>
                <c:pt idx="5">
                  <c:v>BASE</c:v>
                </c:pt>
                <c:pt idx="6">
                  <c:v>SHAFT</c:v>
                </c:pt>
                <c:pt idx="7">
                  <c:v>BASE</c:v>
                </c:pt>
                <c:pt idx="8">
                  <c:v>BASE</c:v>
                </c:pt>
                <c:pt idx="9">
                  <c:v>FRONT/REAR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'31'!$J$6:$J$21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3138</c:v>
                </c:pt>
                <c:pt idx="3">
                  <c:v>4351</c:v>
                </c:pt>
                <c:pt idx="4">
                  <c:v>1151</c:v>
                </c:pt>
                <c:pt idx="5">
                  <c:v>1872</c:v>
                </c:pt>
                <c:pt idx="6">
                  <c:v>21090</c:v>
                </c:pt>
                <c:pt idx="7">
                  <c:v>2101</c:v>
                </c:pt>
                <c:pt idx="8">
                  <c:v>19416</c:v>
                </c:pt>
                <c:pt idx="9">
                  <c:v>2132</c:v>
                </c:pt>
                <c:pt idx="10">
                  <c:v>21160</c:v>
                </c:pt>
                <c:pt idx="11">
                  <c:v>1049</c:v>
                </c:pt>
                <c:pt idx="12">
                  <c:v>1967</c:v>
                </c:pt>
                <c:pt idx="13">
                  <c:v>253</c:v>
                </c:pt>
                <c:pt idx="14">
                  <c:v>18952</c:v>
                </c:pt>
                <c:pt idx="15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03-4C2A-87B9-7F7C46054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96%</c:v>
                </c:pt>
                <c:pt idx="4">
                  <c:v>25%</c:v>
                </c:pt>
                <c:pt idx="5">
                  <c:v>33%</c:v>
                </c:pt>
                <c:pt idx="6">
                  <c:v>50%</c:v>
                </c:pt>
                <c:pt idx="7">
                  <c:v>46%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29%</c:v>
                </c:pt>
                <c:pt idx="12">
                  <c:v>0%</c:v>
                </c:pt>
                <c:pt idx="13">
                  <c:v>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SLIDER</c:v>
                </c:pt>
                <c:pt idx="4">
                  <c:v>SLIDER</c:v>
                </c:pt>
                <c:pt idx="5">
                  <c:v>BASE</c:v>
                </c:pt>
                <c:pt idx="6">
                  <c:v>SHAFT</c:v>
                </c:pt>
                <c:pt idx="7">
                  <c:v>BASE</c:v>
                </c:pt>
                <c:pt idx="8">
                  <c:v>BASE</c:v>
                </c:pt>
                <c:pt idx="9">
                  <c:v>FRONT/REAR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'31'!$AD$6:$AD$21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0.95833333333333337</c:v>
                </c:pt>
                <c:pt idx="4">
                  <c:v>0.25</c:v>
                </c:pt>
                <c:pt idx="5">
                  <c:v>0.33333333333333331</c:v>
                </c:pt>
                <c:pt idx="6">
                  <c:v>0.5</c:v>
                </c:pt>
                <c:pt idx="7">
                  <c:v>0.45833333333333331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0.29166666666666669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8F-4E9F-BC28-D66926C0830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48F-4E9F-BC28-D66926C0830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SLIDER</c:v>
                </c:pt>
                <c:pt idx="4">
                  <c:v>SLIDER</c:v>
                </c:pt>
                <c:pt idx="5">
                  <c:v>BASE</c:v>
                </c:pt>
                <c:pt idx="6">
                  <c:v>SHAFT</c:v>
                </c:pt>
                <c:pt idx="7">
                  <c:v>BASE</c:v>
                </c:pt>
                <c:pt idx="8">
                  <c:v>BASE</c:v>
                </c:pt>
                <c:pt idx="9">
                  <c:v>FRONT/REAR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'31'!$AE$6:$AE$21</c:f>
              <c:numCache>
                <c:formatCode>0%</c:formatCode>
                <c:ptCount val="16"/>
                <c:pt idx="0">
                  <c:v>0.31944444444444448</c:v>
                </c:pt>
                <c:pt idx="1">
                  <c:v>0.31944444444444448</c:v>
                </c:pt>
                <c:pt idx="2">
                  <c:v>0.31944444444444448</c:v>
                </c:pt>
                <c:pt idx="3">
                  <c:v>0.31944444444444448</c:v>
                </c:pt>
                <c:pt idx="4">
                  <c:v>0.31944444444444448</c:v>
                </c:pt>
                <c:pt idx="5">
                  <c:v>0.31944444444444448</c:v>
                </c:pt>
                <c:pt idx="6">
                  <c:v>0.31944444444444448</c:v>
                </c:pt>
                <c:pt idx="7">
                  <c:v>0.31944444444444448</c:v>
                </c:pt>
                <c:pt idx="8">
                  <c:v>0.31944444444444448</c:v>
                </c:pt>
                <c:pt idx="9">
                  <c:v>0.31944444444444448</c:v>
                </c:pt>
                <c:pt idx="10">
                  <c:v>0.31944444444444448</c:v>
                </c:pt>
                <c:pt idx="11">
                  <c:v>0.31944444444444448</c:v>
                </c:pt>
                <c:pt idx="12">
                  <c:v>0.31944444444444448</c:v>
                </c:pt>
                <c:pt idx="13">
                  <c:v>0.31944444444444448</c:v>
                </c:pt>
                <c:pt idx="14">
                  <c:v>0.31944444444444448</c:v>
                </c:pt>
                <c:pt idx="15">
                  <c:v>0.31944444444444448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8F-4E9F-BC28-D66926C08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757-4119-81D6-35BDD57ECA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0.30555555555555552</c:v>
                </c:pt>
                <c:pt idx="2">
                  <c:v>0.31666666666666665</c:v>
                </c:pt>
                <c:pt idx="5">
                  <c:v>0.38611111111111113</c:v>
                </c:pt>
                <c:pt idx="6">
                  <c:v>0.4</c:v>
                </c:pt>
                <c:pt idx="7">
                  <c:v>0.46944444444444444</c:v>
                </c:pt>
                <c:pt idx="8">
                  <c:v>0.43888888888888894</c:v>
                </c:pt>
                <c:pt idx="9">
                  <c:v>0.40555555555555561</c:v>
                </c:pt>
                <c:pt idx="12">
                  <c:v>0.43888888888888894</c:v>
                </c:pt>
                <c:pt idx="13">
                  <c:v>0.39722222222222225</c:v>
                </c:pt>
                <c:pt idx="14">
                  <c:v>0.46944444444444439</c:v>
                </c:pt>
                <c:pt idx="15">
                  <c:v>0.3888888888888889</c:v>
                </c:pt>
                <c:pt idx="16">
                  <c:v>0.45833333333333326</c:v>
                </c:pt>
                <c:pt idx="19">
                  <c:v>0.38055555555555548</c:v>
                </c:pt>
                <c:pt idx="20">
                  <c:v>0.32500000000000001</c:v>
                </c:pt>
                <c:pt idx="21">
                  <c:v>0.34166666666666667</c:v>
                </c:pt>
                <c:pt idx="22">
                  <c:v>0.35833333333333334</c:v>
                </c:pt>
                <c:pt idx="27">
                  <c:v>0.28888888888888892</c:v>
                </c:pt>
                <c:pt idx="28">
                  <c:v>0.28611111111111109</c:v>
                </c:pt>
                <c:pt idx="29">
                  <c:v>0.36944444444444446</c:v>
                </c:pt>
                <c:pt idx="30">
                  <c:v>0.31944444444444448</c:v>
                </c:pt>
                <c:pt idx="31">
                  <c:v>0.24336917562724017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57-4119-81D6-35BDD57EC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757-4119-81D6-35BDD57ECA3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57-4119-81D6-35BDD57EC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7.xml"/><Relationship Id="rId5" Type="http://schemas.openxmlformats.org/officeDocument/2006/relationships/chart" Target="../charts/chart56.xml"/><Relationship Id="rId4" Type="http://schemas.openxmlformats.org/officeDocument/2006/relationships/chart" Target="../charts/chart55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6" Type="http://schemas.openxmlformats.org/officeDocument/2006/relationships/chart" Target="../charts/chart67.xml"/><Relationship Id="rId5" Type="http://schemas.openxmlformats.org/officeDocument/2006/relationships/chart" Target="../charts/chart66.xml"/><Relationship Id="rId4" Type="http://schemas.openxmlformats.org/officeDocument/2006/relationships/chart" Target="../charts/chart65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6" Type="http://schemas.openxmlformats.org/officeDocument/2006/relationships/chart" Target="../charts/chart77.xml"/><Relationship Id="rId5" Type="http://schemas.openxmlformats.org/officeDocument/2006/relationships/chart" Target="../charts/chart76.xml"/><Relationship Id="rId4" Type="http://schemas.openxmlformats.org/officeDocument/2006/relationships/chart" Target="../charts/chart75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6" Type="http://schemas.openxmlformats.org/officeDocument/2006/relationships/chart" Target="../charts/chart82.xml"/><Relationship Id="rId5" Type="http://schemas.openxmlformats.org/officeDocument/2006/relationships/chart" Target="../charts/chart81.xml"/><Relationship Id="rId4" Type="http://schemas.openxmlformats.org/officeDocument/2006/relationships/chart" Target="../charts/chart80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4.xml"/><Relationship Id="rId1" Type="http://schemas.openxmlformats.org/officeDocument/2006/relationships/chart" Target="../charts/chart83.xml"/><Relationship Id="rId6" Type="http://schemas.openxmlformats.org/officeDocument/2006/relationships/chart" Target="../charts/chart87.xml"/><Relationship Id="rId5" Type="http://schemas.openxmlformats.org/officeDocument/2006/relationships/chart" Target="../charts/chart86.xml"/><Relationship Id="rId4" Type="http://schemas.openxmlformats.org/officeDocument/2006/relationships/chart" Target="../charts/chart85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9.xml"/><Relationship Id="rId1" Type="http://schemas.openxmlformats.org/officeDocument/2006/relationships/chart" Target="../charts/chart88.xml"/><Relationship Id="rId6" Type="http://schemas.openxmlformats.org/officeDocument/2006/relationships/chart" Target="../charts/chart92.xml"/><Relationship Id="rId5" Type="http://schemas.openxmlformats.org/officeDocument/2006/relationships/chart" Target="../charts/chart91.xml"/><Relationship Id="rId4" Type="http://schemas.openxmlformats.org/officeDocument/2006/relationships/chart" Target="../charts/chart90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4.xml"/><Relationship Id="rId1" Type="http://schemas.openxmlformats.org/officeDocument/2006/relationships/chart" Target="../charts/chart93.xml"/><Relationship Id="rId6" Type="http://schemas.openxmlformats.org/officeDocument/2006/relationships/chart" Target="../charts/chart97.xml"/><Relationship Id="rId5" Type="http://schemas.openxmlformats.org/officeDocument/2006/relationships/chart" Target="../charts/chart96.xml"/><Relationship Id="rId4" Type="http://schemas.openxmlformats.org/officeDocument/2006/relationships/chart" Target="../charts/chart9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9.xml"/><Relationship Id="rId1" Type="http://schemas.openxmlformats.org/officeDocument/2006/relationships/chart" Target="../charts/chart98.xml"/><Relationship Id="rId6" Type="http://schemas.openxmlformats.org/officeDocument/2006/relationships/chart" Target="../charts/chart102.xml"/><Relationship Id="rId5" Type="http://schemas.openxmlformats.org/officeDocument/2006/relationships/chart" Target="../charts/chart101.xml"/><Relationship Id="rId4" Type="http://schemas.openxmlformats.org/officeDocument/2006/relationships/chart" Target="../charts/chart10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19</xdr:row>
      <xdr:rowOff>104775</xdr:rowOff>
    </xdr:from>
    <xdr:to>
      <xdr:col>16</xdr:col>
      <xdr:colOff>66675</xdr:colOff>
      <xdr:row>31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19</xdr:row>
      <xdr:rowOff>123825</xdr:rowOff>
    </xdr:from>
    <xdr:to>
      <xdr:col>32</xdr:col>
      <xdr:colOff>371474</xdr:colOff>
      <xdr:row>31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B74F839-0EEE-4FF2-BB51-008149279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3F499B8-C399-49B8-A687-4B0794932C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313B7C9-3CDE-4070-B1B3-F7D1951F2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AFC281E-CBAF-4F6F-A1F4-3DFA41DCA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0D46326-CB4C-437B-BC04-315E00F727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475C1F6-CA16-4213-9BFE-A4681ABE6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9669860-1CA1-474E-BCDC-B3B75406B4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BF2E0F1-05F8-4377-B92F-41F3E76B9C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96ED8A5-87AC-442F-91AE-AB4F6C1EC1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C29E61F-916F-471B-940A-E18152392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2F5BC71-F4B9-445B-9FCF-20E4EC6A7A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717859C-0859-46E3-B1EB-7DB426F19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D20A30D-A708-44E1-A2EF-F66901A48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5D5363D-0F2D-4C60-BE65-4BE0CA0E4E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410C320-F533-4116-9226-F167C6EC69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3BD1D28-7D13-4B39-8884-C664B5D960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93B1025-C081-4F3E-845F-ADD17F254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6D5F38E-E5AB-4347-B102-2296590680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E39C6B0-BD63-4901-A104-EB0EB0F030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18F915D-3F34-43FB-876F-7F4B2A489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F4DCC5D-FF05-4FB8-97BF-68CCCFD1C6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47C7726-50DB-4453-B5F1-EDD3FBB73D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0DA7D4A-0AA8-44D6-AC33-09E232EC40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82F729E-D0F1-432A-BB8A-69748FC5E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EBA0E27-0227-4051-9CCE-B549C5E4A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801AA5B-9B43-4337-A698-C85FE23F55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82B7813-C9D4-4206-8135-5A31F78D6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1F18ACF-442E-4684-A215-41AABD8050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A5B0A31-E823-4AB9-ACF9-18843D05DA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6261B68-6FF7-4181-A294-5BD40D4DB4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EA77AEE-ADBE-4890-B67B-81531B8EE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4DD698C-F2B8-47BE-8167-CBAEFB0F5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618DBD2-F0FA-4237-90B7-1E6E8F6096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DE0936E-BE2B-4625-B3FB-9F82B19A5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636793C-DBEC-4D04-AA36-3FCE4DEE28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5A46955-3B3C-4DF7-8531-ABB3142A1E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64D2023-3661-40C4-BC04-573D411835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9104930-1F83-4C27-B9F2-99857D031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5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F112827-4760-41B4-A9AD-D7C4A69929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04271D1-5569-4151-AA12-A8A9F205D4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07F8740-4128-4257-9B8A-756917BDA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5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4FCF764-4D2A-4C90-AE8A-95D1D059A0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D5FFA9E-343C-4A1C-8C85-A642CA64B6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66715FE-05EE-4F00-91A5-C11580C8B6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D7B7DA9-1CA5-4E07-AC8D-63E5BF903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5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FBDAE52-39B8-4851-8990-F76DCF603A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701B5B0-FB86-4626-BA3D-4A9C765586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C7078AC-08CB-4E92-8242-64306262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5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CFE4B38-715A-4DEC-B8BD-279BA47FFF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BC8FEE1-E3E2-4327-9CE4-F6F6F43C4F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3746750-04E3-4EF3-B7F2-91082E1DC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C2E975F-3A04-4682-AD5C-FB529E050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5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6CB1166-72E6-4CA1-BD74-09EAD7053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42FB97F-1A9E-4BEB-AE88-B187FA94AB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F6D9D30-0102-4D56-B9C6-9BFEC5FC2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5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1B15749-F42A-426C-8E7F-111F162010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DA2D3D9-1FE0-45C2-9B0F-AA19A5974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73B095D-056F-4708-A52D-6CFD638C79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59DD11E-863C-40BD-90A7-75A1C5E41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5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DD763A8-104F-43EA-91FE-103A7DD7AD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85939B8-3FB6-473E-8C8E-D0ABB43FA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4C4F365-791C-4438-B249-C590F5C72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5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5DC9B1F-5541-4944-A48E-2897E937A9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668652F-FA67-4FCA-80D4-6B19496DFF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05DE82E-C838-4414-8002-9DFDA28034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107C2C4-406F-431E-9C01-72278E6BA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5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33D1CEB-DA25-418D-A124-A2F4B71A62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4EC95D3-5E6D-42A1-8147-47AFCF8795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2C7DB16-F6F2-4BFC-9A2B-F8B9D416F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5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0449CA9-70AD-4863-BFA9-B08D5CB572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7EC9625-90E3-4381-9493-EB03316303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B253FC1-58B4-4325-9A8F-BB7F2B5715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E418B19-420F-419B-9D97-4663144BF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5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E15CEA0-53FC-48B5-930D-36CC0B44FC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2BC15A0-895E-4365-B5DD-DFA573FC2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C4A1EAE-0112-4A67-ADDE-3563F5612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5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7595595-D0F5-472F-B806-732B250B3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4C94A65-4B53-4B7B-9524-FA8A40AC28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A6B9DAF-437E-4F79-B038-313F33A2BD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18B04E5-E2FC-481C-9319-5619FE317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5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B935FDC-7AC3-4BAE-A6AA-CC05F4371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627ABF8-389C-4928-BC69-D38EC13D1D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F6DC8BB-5471-4F27-ADE8-568752ADF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5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7215AEA-FDF2-40CF-952C-E80CF4A9A8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EEB06CE-8140-4942-B8BF-B558BA2CB5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C75FFD9-2C97-4C9E-9EA5-3741C8B0C3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7F43F17-0B36-42E5-8E40-D3150FC92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5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F943080-D32C-4D57-BD21-5C3A76C46F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CB9782B-8BE1-4994-AAA0-E85453943D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8882DF3-61F7-43A2-BE6F-6E81A0A74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5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381AF5E-2F69-4C9C-AA6F-507B584224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B720A85-31E8-4A1C-B473-672339712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07EB6F0-7848-4E93-9EB3-9FE27CD5D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4F24A1B-21E5-4C2D-B278-DC48E9EB6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5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2E22816-8D60-449D-BD51-A5EB294AC6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DFB2102-B76C-4EF3-A324-56DEDCE89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9EC2503-9FD7-4AE8-9EE1-DEB66BC64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5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73EF75B-6A9A-4923-8665-F716638486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C3036B9-85BD-4A78-896B-349A73CA2D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5C31BA4-935E-465A-AF45-59933513E3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BB1DFF7-6CD4-4E77-A4DB-F3900165F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5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4C524CC-4C3B-431A-AE10-38F7F8C4E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AD9A7A5-FEE3-4DAC-8A22-A069947E40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5C02F6B-E411-4D7B-8FDD-84EC17DEC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5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19E1855-22AD-434A-A4E0-BFD01C4590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3387AF4-6C29-4E34-8BDC-C05877D078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4E50864-3B50-44E0-AD53-038C63DB47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032E7E9-F171-4ED7-A788-9F5A1E6B3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02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6903E03-90BD-4A5E-BEA4-0660D1BBF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A0276A0-78FB-4795-9731-4F763651C0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6E1ADF9-43D7-4F03-AA19-BA2A0959B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02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894ED35-6DCB-4BF5-9AE1-682A871941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740A712-F155-40BA-94F0-B77146D09C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A81457E-6777-4ABD-BE9E-746C7EAF03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D9AAD87-7841-45D5-8DB5-B289C2254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02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A5A859B-5C5A-4B7A-854F-29E2BFA80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92B74A7-A210-4766-BB2C-773D4A2147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C977C31-6067-4AA7-A0F9-8CB6A97C1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02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A7068E5-7072-44F3-B5A4-88B0CA8A26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EDE8E4B-4E4D-442C-98A5-E694B05A5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C65489D-4A72-47BA-B4FD-4E74DA29C8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FD44D7B-E0D0-4E98-988B-9AEAC468B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02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75F845B-1D4F-4795-8058-5EDD274D17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A12D40D-3EEF-495E-8BC9-9E6ECFE2E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9E930BC-115D-4492-B181-FDF9E5174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02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5E6897B-A098-41C8-AB92-9CF3F415F8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818B661-6579-45CD-85D3-D2CB807E55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EBC0244-0471-41D7-9D70-71F404336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103B427-5013-4D3F-849F-7F7DA4C3D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02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0C81629-B977-408D-8D11-8DF845D5B8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D1BDCA3-E046-43B6-B27F-9E2F3528B4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430F896-7703-4804-A8E4-8FC3AF728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02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21E98D5-C75D-4956-A995-A1FB3B3DB8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335386F-EEDE-49FA-9283-B6441D699B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8CBE838-D7CF-493F-B0A1-284F9EA56D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C928EBD-C6C8-4BE2-AD3D-73B345685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02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748CC7B-993E-4D29-8526-76D2C8FC17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22C9BAA-CE1A-48AC-9280-C8F6EED24D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DC840B5-B24F-4785-BD07-AA83DB1A6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02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120CB5F-188B-42FF-9AC0-A6CA88ACAB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19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J8" sqref="AJ8"/>
    </sheetView>
  </sheetViews>
  <sheetFormatPr defaultRowHeight="13.5"/>
  <cols>
    <col min="1" max="1" width="7.5" style="68" bestFit="1" customWidth="1"/>
    <col min="2" max="17" width="5.5" style="68" bestFit="1" customWidth="1"/>
    <col min="18" max="18" width="6" style="68" customWidth="1"/>
    <col min="19" max="33" width="5.5" style="68" bestFit="1" customWidth="1"/>
    <col min="34" max="16384" width="9" style="68"/>
  </cols>
  <sheetData>
    <row r="1" spans="1:33" ht="33.75" customHeight="1" thickBot="1">
      <c r="A1" s="342" t="s">
        <v>165</v>
      </c>
      <c r="B1" s="342"/>
      <c r="C1" s="342"/>
      <c r="D1" s="342"/>
      <c r="E1" s="342"/>
      <c r="F1" s="342"/>
      <c r="G1" s="342"/>
      <c r="H1" s="342"/>
    </row>
    <row r="2" spans="1:33" ht="21.75" customHeight="1" thickBot="1">
      <c r="A2" s="89" t="s">
        <v>59</v>
      </c>
      <c r="B2" s="91" t="s">
        <v>74</v>
      </c>
      <c r="C2" s="92" t="s">
        <v>75</v>
      </c>
      <c r="D2" s="92" t="s">
        <v>76</v>
      </c>
      <c r="E2" s="92" t="s">
        <v>77</v>
      </c>
      <c r="F2" s="92" t="s">
        <v>78</v>
      </c>
      <c r="G2" s="92" t="s">
        <v>79</v>
      </c>
      <c r="H2" s="92" t="s">
        <v>80</v>
      </c>
      <c r="I2" s="92" t="s">
        <v>81</v>
      </c>
      <c r="J2" s="92" t="s">
        <v>82</v>
      </c>
      <c r="K2" s="92" t="s">
        <v>83</v>
      </c>
      <c r="L2" s="92" t="s">
        <v>84</v>
      </c>
      <c r="M2" s="92" t="s">
        <v>85</v>
      </c>
      <c r="N2" s="92" t="s">
        <v>86</v>
      </c>
      <c r="O2" s="92" t="s">
        <v>87</v>
      </c>
      <c r="P2" s="92" t="s">
        <v>88</v>
      </c>
      <c r="Q2" s="92" t="s">
        <v>89</v>
      </c>
      <c r="R2" s="92" t="s">
        <v>90</v>
      </c>
      <c r="S2" s="92" t="s">
        <v>91</v>
      </c>
      <c r="T2" s="92" t="s">
        <v>92</v>
      </c>
      <c r="U2" s="92" t="s">
        <v>93</v>
      </c>
      <c r="V2" s="92" t="s">
        <v>94</v>
      </c>
      <c r="W2" s="92" t="s">
        <v>95</v>
      </c>
      <c r="X2" s="92" t="s">
        <v>96</v>
      </c>
      <c r="Y2" s="92" t="s">
        <v>97</v>
      </c>
      <c r="Z2" s="92" t="s">
        <v>98</v>
      </c>
      <c r="AA2" s="92" t="s">
        <v>99</v>
      </c>
      <c r="AB2" s="92" t="s">
        <v>100</v>
      </c>
      <c r="AC2" s="92" t="s">
        <v>101</v>
      </c>
      <c r="AD2" s="92" t="s">
        <v>102</v>
      </c>
      <c r="AE2" s="92" t="s">
        <v>103</v>
      </c>
      <c r="AF2" s="93" t="s">
        <v>104</v>
      </c>
      <c r="AG2" s="89" t="s">
        <v>106</v>
      </c>
    </row>
    <row r="3" spans="1:33" ht="21.75" customHeight="1">
      <c r="A3" s="109" t="s">
        <v>60</v>
      </c>
      <c r="B3" s="104"/>
      <c r="C3" s="104">
        <f>'02'!AD6</f>
        <v>0</v>
      </c>
      <c r="D3" s="97">
        <f>'03'!AD6</f>
        <v>0</v>
      </c>
      <c r="E3" s="97"/>
      <c r="F3" s="97"/>
      <c r="G3" s="97">
        <f>'06'!AD6</f>
        <v>0</v>
      </c>
      <c r="H3" s="97">
        <f>'07'!AD6</f>
        <v>0</v>
      </c>
      <c r="I3" s="97">
        <f>'08'!AD6</f>
        <v>0</v>
      </c>
      <c r="J3" s="97">
        <f>'09'!AD6</f>
        <v>0</v>
      </c>
      <c r="K3" s="97">
        <f>'10'!AD6</f>
        <v>0</v>
      </c>
      <c r="L3" s="97"/>
      <c r="M3" s="97"/>
      <c r="N3" s="115">
        <f>'13'!AD6</f>
        <v>0</v>
      </c>
      <c r="O3" s="97">
        <f>'14'!AD6</f>
        <v>0</v>
      </c>
      <c r="P3" s="97">
        <f>'15'!AD6</f>
        <v>0</v>
      </c>
      <c r="Q3" s="97">
        <f>'16'!AD6</f>
        <v>0</v>
      </c>
      <c r="R3" s="97">
        <f>'17'!AD6</f>
        <v>0</v>
      </c>
      <c r="S3" s="97"/>
      <c r="T3" s="97"/>
      <c r="U3" s="97">
        <f>'20'!AD6</f>
        <v>0</v>
      </c>
      <c r="V3" s="97">
        <f>'21'!AD6</f>
        <v>0</v>
      </c>
      <c r="W3" s="115">
        <f>'22'!AD6</f>
        <v>0</v>
      </c>
      <c r="X3" s="97">
        <f>'23'!AD6</f>
        <v>0</v>
      </c>
      <c r="Y3" s="97"/>
      <c r="Z3" s="97"/>
      <c r="AA3" s="97"/>
      <c r="AB3" s="97"/>
      <c r="AC3" s="97">
        <f>'28'!AD6</f>
        <v>0</v>
      </c>
      <c r="AD3" s="97">
        <f>'29'!AD6</f>
        <v>0</v>
      </c>
      <c r="AE3" s="97">
        <f>'30'!AD6</f>
        <v>0</v>
      </c>
      <c r="AF3" s="98">
        <f>'31'!AD6</f>
        <v>0</v>
      </c>
      <c r="AG3" s="100">
        <f>SUM(B3:AF3)/31</f>
        <v>0</v>
      </c>
    </row>
    <row r="4" spans="1:33" ht="21.75" customHeight="1">
      <c r="A4" s="110" t="s">
        <v>61</v>
      </c>
      <c r="B4" s="105"/>
      <c r="C4" s="105">
        <f>'02'!AD7</f>
        <v>0</v>
      </c>
      <c r="D4" s="74">
        <f>'03'!AD7</f>
        <v>0</v>
      </c>
      <c r="E4" s="74"/>
      <c r="F4" s="74"/>
      <c r="G4" s="74">
        <f>'06'!AD7</f>
        <v>0</v>
      </c>
      <c r="H4" s="74">
        <f>'07'!AD7</f>
        <v>0</v>
      </c>
      <c r="I4" s="74">
        <f>'08'!AD7</f>
        <v>0</v>
      </c>
      <c r="J4" s="74">
        <f>'09'!AD7</f>
        <v>0</v>
      </c>
      <c r="K4" s="74">
        <f>'10'!AD7</f>
        <v>0</v>
      </c>
      <c r="L4" s="74"/>
      <c r="M4" s="74"/>
      <c r="N4" s="74">
        <f>'13'!AD7</f>
        <v>0</v>
      </c>
      <c r="O4" s="74">
        <f>'14'!AD7</f>
        <v>0</v>
      </c>
      <c r="P4" s="74">
        <f>'15'!AD7</f>
        <v>0</v>
      </c>
      <c r="Q4" s="74">
        <f>'16'!AD7</f>
        <v>0</v>
      </c>
      <c r="R4" s="74">
        <f>'17'!AD7</f>
        <v>0</v>
      </c>
      <c r="S4" s="74"/>
      <c r="T4" s="74"/>
      <c r="U4" s="74">
        <f>'20'!AD7</f>
        <v>0</v>
      </c>
      <c r="V4" s="74">
        <f>'21'!AD7</f>
        <v>0</v>
      </c>
      <c r="W4" s="74">
        <f>'22'!AD7</f>
        <v>0</v>
      </c>
      <c r="X4" s="74">
        <f>'23'!AD7</f>
        <v>0</v>
      </c>
      <c r="Y4" s="74"/>
      <c r="Z4" s="74"/>
      <c r="AA4" s="74"/>
      <c r="AB4" s="74"/>
      <c r="AC4" s="74">
        <f>'28'!AD7</f>
        <v>0</v>
      </c>
      <c r="AD4" s="74">
        <f>'29'!AD7</f>
        <v>0</v>
      </c>
      <c r="AE4" s="74">
        <f>'30'!AD7</f>
        <v>0</v>
      </c>
      <c r="AF4" s="75">
        <f>'31'!AD7</f>
        <v>0</v>
      </c>
      <c r="AG4" s="76">
        <f t="shared" ref="AG4:AG18" si="0">SUM(B4:AF4)/31</f>
        <v>0</v>
      </c>
    </row>
    <row r="5" spans="1:33" ht="21.75" customHeight="1">
      <c r="A5" s="111" t="s">
        <v>62</v>
      </c>
      <c r="B5" s="106"/>
      <c r="C5" s="106">
        <f>'02'!AD8</f>
        <v>0</v>
      </c>
      <c r="D5" s="77">
        <f>'03'!AD8</f>
        <v>0</v>
      </c>
      <c r="E5" s="77"/>
      <c r="F5" s="77"/>
      <c r="G5" s="77">
        <f>'06'!AD8</f>
        <v>0</v>
      </c>
      <c r="H5" s="77">
        <f>'07'!AD8</f>
        <v>0</v>
      </c>
      <c r="I5" s="77">
        <f>'08'!AD8</f>
        <v>0</v>
      </c>
      <c r="J5" s="77">
        <f>'09'!AD8</f>
        <v>0</v>
      </c>
      <c r="K5" s="77">
        <f>'10'!AD8</f>
        <v>0</v>
      </c>
      <c r="L5" s="77"/>
      <c r="M5" s="77"/>
      <c r="N5" s="77">
        <f>'13'!AD8</f>
        <v>0.33333333333333331</v>
      </c>
      <c r="O5" s="77">
        <f>'14'!AD8</f>
        <v>0</v>
      </c>
      <c r="P5" s="77">
        <f>'15'!AD8</f>
        <v>0.79166666666666663</v>
      </c>
      <c r="Q5" s="77">
        <f>'16'!AD8</f>
        <v>0</v>
      </c>
      <c r="R5" s="77">
        <f>'17'!AD8</f>
        <v>0</v>
      </c>
      <c r="S5" s="77"/>
      <c r="T5" s="77"/>
      <c r="U5" s="77">
        <f>'20'!AD8</f>
        <v>0</v>
      </c>
      <c r="V5" s="77">
        <f>'21'!AD8</f>
        <v>0</v>
      </c>
      <c r="W5" s="116">
        <f>'22'!AD8</f>
        <v>0</v>
      </c>
      <c r="X5" s="77">
        <f>'23'!AD8</f>
        <v>0</v>
      </c>
      <c r="Y5" s="77"/>
      <c r="Z5" s="77"/>
      <c r="AA5" s="77"/>
      <c r="AB5" s="77"/>
      <c r="AC5" s="77">
        <f>'28'!AD8</f>
        <v>0</v>
      </c>
      <c r="AD5" s="77">
        <f>'29'!AD8</f>
        <v>0</v>
      </c>
      <c r="AE5" s="77">
        <f>'30'!AD8</f>
        <v>0</v>
      </c>
      <c r="AF5" s="78">
        <f>'31'!AD8</f>
        <v>0</v>
      </c>
      <c r="AG5" s="79">
        <f t="shared" si="0"/>
        <v>3.6290322580645164E-2</v>
      </c>
    </row>
    <row r="6" spans="1:33" ht="21.75" customHeight="1">
      <c r="A6" s="112" t="s">
        <v>63</v>
      </c>
      <c r="B6" s="107"/>
      <c r="C6" s="107">
        <f>'02'!AD9</f>
        <v>0.625</v>
      </c>
      <c r="D6" s="80">
        <f>'03'!AD9</f>
        <v>0.20833333333333334</v>
      </c>
      <c r="E6" s="80"/>
      <c r="F6" s="80"/>
      <c r="G6" s="80">
        <f>'06'!AD9</f>
        <v>0.16666666666666666</v>
      </c>
      <c r="H6" s="80">
        <f>'07'!AD9</f>
        <v>0.75</v>
      </c>
      <c r="I6" s="80">
        <f>'08'!AD9</f>
        <v>8.3333333333333329E-2</v>
      </c>
      <c r="J6" s="80">
        <f>'09'!AD9</f>
        <v>0.41666666666666669</v>
      </c>
      <c r="K6" s="80">
        <f>'10'!AD9</f>
        <v>0</v>
      </c>
      <c r="L6" s="80"/>
      <c r="M6" s="80"/>
      <c r="N6" s="80">
        <f>'13'!AD9</f>
        <v>0.66666666666666663</v>
      </c>
      <c r="O6" s="80">
        <f>'14'!AD9</f>
        <v>1</v>
      </c>
      <c r="P6" s="80">
        <f>'15'!AD9</f>
        <v>0.33333333333333331</v>
      </c>
      <c r="Q6" s="80">
        <f>'16'!AD9</f>
        <v>0</v>
      </c>
      <c r="R6" s="80">
        <f>'17'!AD9</f>
        <v>0.75</v>
      </c>
      <c r="S6" s="80"/>
      <c r="T6" s="80"/>
      <c r="U6" s="80">
        <f>'20'!AD9</f>
        <v>0.79166666666666663</v>
      </c>
      <c r="V6" s="80">
        <f>'21'!AD9</f>
        <v>1</v>
      </c>
      <c r="W6" s="80">
        <f>'22'!AD9</f>
        <v>0.79166666666666663</v>
      </c>
      <c r="X6" s="80">
        <f>'23'!AD9</f>
        <v>0.5</v>
      </c>
      <c r="Y6" s="80"/>
      <c r="Z6" s="80"/>
      <c r="AA6" s="80"/>
      <c r="AB6" s="80"/>
      <c r="AC6" s="80">
        <f>'28'!AD9</f>
        <v>0</v>
      </c>
      <c r="AD6" s="80">
        <f>'29'!AD9</f>
        <v>0.20833333333333334</v>
      </c>
      <c r="AE6" s="80">
        <f>'30'!AD9</f>
        <v>0.70833333333333337</v>
      </c>
      <c r="AF6" s="81">
        <f>'31'!AD9</f>
        <v>0.95833333333333337</v>
      </c>
      <c r="AG6" s="82">
        <f t="shared" si="0"/>
        <v>0.32123655913978505</v>
      </c>
    </row>
    <row r="7" spans="1:33" ht="21.75" customHeight="1">
      <c r="A7" s="112" t="s">
        <v>64</v>
      </c>
      <c r="B7" s="107"/>
      <c r="C7" s="107">
        <f>'02'!AD10</f>
        <v>0.79166666666666663</v>
      </c>
      <c r="D7" s="80">
        <f>'03'!AD10</f>
        <v>0.16666666666666666</v>
      </c>
      <c r="E7" s="80"/>
      <c r="F7" s="80"/>
      <c r="G7" s="80">
        <f>'06'!AD10</f>
        <v>0.875</v>
      </c>
      <c r="H7" s="80">
        <f>'07'!AD10</f>
        <v>0.875</v>
      </c>
      <c r="I7" s="80">
        <f>'08'!AD10</f>
        <v>0.91666666666666663</v>
      </c>
      <c r="J7" s="80">
        <f>'09'!AD10</f>
        <v>0.875</v>
      </c>
      <c r="K7" s="80">
        <f>'10'!AD10</f>
        <v>0.375</v>
      </c>
      <c r="L7" s="80"/>
      <c r="M7" s="80"/>
      <c r="N7" s="80">
        <f>'13'!AD10</f>
        <v>0.70833333333333337</v>
      </c>
      <c r="O7" s="80">
        <f>'14'!AD10</f>
        <v>0</v>
      </c>
      <c r="P7" s="80">
        <f>'15'!AD10</f>
        <v>0.29166666666666669</v>
      </c>
      <c r="Q7" s="80">
        <f>'16'!AD10</f>
        <v>0.25</v>
      </c>
      <c r="R7" s="80">
        <f>'17'!AD10</f>
        <v>0.625</v>
      </c>
      <c r="S7" s="80"/>
      <c r="T7" s="80"/>
      <c r="U7" s="80">
        <f>'20'!AD10</f>
        <v>0.75</v>
      </c>
      <c r="V7" s="80">
        <f>'21'!AD10</f>
        <v>1</v>
      </c>
      <c r="W7" s="80">
        <f>'22'!AD10</f>
        <v>0.91666666666666663</v>
      </c>
      <c r="X7" s="80">
        <f>'23'!AD10</f>
        <v>1</v>
      </c>
      <c r="Y7" s="80"/>
      <c r="Z7" s="80"/>
      <c r="AA7" s="80"/>
      <c r="AB7" s="80"/>
      <c r="AC7" s="80">
        <f>'28'!AD10</f>
        <v>1</v>
      </c>
      <c r="AD7" s="80">
        <f>'29'!AD10</f>
        <v>1</v>
      </c>
      <c r="AE7" s="80">
        <f>'30'!AD10</f>
        <v>0.75</v>
      </c>
      <c r="AF7" s="81">
        <f>'31'!AD10</f>
        <v>0.25</v>
      </c>
      <c r="AG7" s="82">
        <f t="shared" si="0"/>
        <v>0.43279569892473119</v>
      </c>
    </row>
    <row r="8" spans="1:33" ht="21.75" customHeight="1">
      <c r="A8" s="112" t="s">
        <v>65</v>
      </c>
      <c r="B8" s="107"/>
      <c r="C8" s="107">
        <f>'02'!AD11</f>
        <v>0</v>
      </c>
      <c r="D8" s="80">
        <f>'03'!AD11</f>
        <v>0.95833333333333337</v>
      </c>
      <c r="E8" s="80"/>
      <c r="F8" s="80"/>
      <c r="G8" s="80">
        <f>'06'!AD11</f>
        <v>0.41666666666666669</v>
      </c>
      <c r="H8" s="80">
        <f>'07'!AD11</f>
        <v>0</v>
      </c>
      <c r="I8" s="80">
        <f>'08'!AD11</f>
        <v>0.95833333333333337</v>
      </c>
      <c r="J8" s="80">
        <f>'09'!AD11</f>
        <v>1</v>
      </c>
      <c r="K8" s="80">
        <f>'10'!AD11</f>
        <v>1</v>
      </c>
      <c r="L8" s="80"/>
      <c r="M8" s="80"/>
      <c r="N8" s="80">
        <f>'13'!AD11</f>
        <v>0.58333333333333337</v>
      </c>
      <c r="O8" s="80">
        <f>'14'!AD11</f>
        <v>0.5</v>
      </c>
      <c r="P8" s="80">
        <f>'15'!AD11</f>
        <v>1</v>
      </c>
      <c r="Q8" s="80">
        <f>'16'!AD11</f>
        <v>0.5</v>
      </c>
      <c r="R8" s="80">
        <f>'17'!AD11</f>
        <v>1</v>
      </c>
      <c r="S8" s="80"/>
      <c r="T8" s="80"/>
      <c r="U8" s="80">
        <f>'20'!AD11</f>
        <v>0.41666666666666669</v>
      </c>
      <c r="V8" s="80">
        <f>'21'!AD11</f>
        <v>0</v>
      </c>
      <c r="W8" s="80">
        <f>'22'!AD11</f>
        <v>0</v>
      </c>
      <c r="X8" s="80">
        <f>'23'!AD11</f>
        <v>0</v>
      </c>
      <c r="Y8" s="80"/>
      <c r="Z8" s="80"/>
      <c r="AA8" s="80"/>
      <c r="AB8" s="80"/>
      <c r="AC8" s="80">
        <f>'28'!AD11</f>
        <v>0</v>
      </c>
      <c r="AD8" s="80">
        <f>'29'!AD11</f>
        <v>0.16666666666666666</v>
      </c>
      <c r="AE8" s="80">
        <f>'30'!AD11</f>
        <v>0.58333333333333337</v>
      </c>
      <c r="AF8" s="81">
        <f>'31'!AD11+'31'!AD12</f>
        <v>0.83333333333333326</v>
      </c>
      <c r="AG8" s="82">
        <f t="shared" si="0"/>
        <v>0.31989247311827962</v>
      </c>
    </row>
    <row r="9" spans="1:33" ht="21.75" customHeight="1">
      <c r="A9" s="112" t="s">
        <v>66</v>
      </c>
      <c r="B9" s="107"/>
      <c r="C9" s="107">
        <f>'02'!AD12</f>
        <v>0.79166666666666663</v>
      </c>
      <c r="D9" s="80">
        <f>'03'!AD12</f>
        <v>0.75</v>
      </c>
      <c r="E9" s="80"/>
      <c r="F9" s="80"/>
      <c r="G9" s="80">
        <f>'06'!AD12</f>
        <v>0.875</v>
      </c>
      <c r="H9" s="80">
        <f>'07'!AD12</f>
        <v>0</v>
      </c>
      <c r="I9" s="80">
        <f>'08'!AD12</f>
        <v>0.45833333333333331</v>
      </c>
      <c r="J9" s="80">
        <f>'09'!AD12</f>
        <v>0.29166666666666669</v>
      </c>
      <c r="K9" s="80">
        <f>'10'!AD12</f>
        <v>0.16666666666666666</v>
      </c>
      <c r="L9" s="80"/>
      <c r="M9" s="80"/>
      <c r="N9" s="80">
        <f>'13'!AD12</f>
        <v>0.25</v>
      </c>
      <c r="O9" s="80">
        <f>'14'!AD12</f>
        <v>0.75</v>
      </c>
      <c r="P9" s="80">
        <f>'15'!AD12</f>
        <v>0</v>
      </c>
      <c r="Q9" s="80">
        <f>'16'!AD12</f>
        <v>0.5</v>
      </c>
      <c r="R9" s="80">
        <f>'17'!AD12</f>
        <v>0.79166666666666663</v>
      </c>
      <c r="S9" s="80"/>
      <c r="T9" s="80"/>
      <c r="U9" s="80">
        <f>'20'!AD12</f>
        <v>0.33333333333333331</v>
      </c>
      <c r="V9" s="80">
        <f>'21'!AD12</f>
        <v>0.20833333333333334</v>
      </c>
      <c r="W9" s="80">
        <f>'22'!AD12+'22'!AD13</f>
        <v>0.29166666666666663</v>
      </c>
      <c r="X9" s="80">
        <f>'23'!AD12</f>
        <v>0</v>
      </c>
      <c r="Y9" s="80"/>
      <c r="Z9" s="80"/>
      <c r="AA9" s="80"/>
      <c r="AB9" s="80"/>
      <c r="AC9" s="80">
        <f>'28'!AD12</f>
        <v>0</v>
      </c>
      <c r="AD9" s="80">
        <f>'29'!AD12</f>
        <v>0</v>
      </c>
      <c r="AE9" s="80">
        <f>'30'!AD12</f>
        <v>0.66666666666666663</v>
      </c>
      <c r="AF9" s="81">
        <f>'31'!AD13</f>
        <v>0.45833333333333331</v>
      </c>
      <c r="AG9" s="82">
        <f t="shared" si="0"/>
        <v>0.24462365591397847</v>
      </c>
    </row>
    <row r="10" spans="1:33" ht="21.75" customHeight="1">
      <c r="A10" s="112" t="s">
        <v>67</v>
      </c>
      <c r="B10" s="107"/>
      <c r="C10" s="107">
        <f>'02'!AD13</f>
        <v>1</v>
      </c>
      <c r="D10" s="80">
        <f>'03'!AD13</f>
        <v>0.875</v>
      </c>
      <c r="E10" s="80"/>
      <c r="F10" s="80"/>
      <c r="G10" s="80">
        <f>'06'!AD13</f>
        <v>0.91666666666666663</v>
      </c>
      <c r="H10" s="80">
        <f>'07'!AD13</f>
        <v>1</v>
      </c>
      <c r="I10" s="80">
        <f>'08'!AD13</f>
        <v>0.91666666666666663</v>
      </c>
      <c r="J10" s="80">
        <f>'09'!AD13</f>
        <v>1</v>
      </c>
      <c r="K10" s="80">
        <f>'10'!AD13</f>
        <v>0.70833333333333337</v>
      </c>
      <c r="L10" s="80"/>
      <c r="M10" s="80"/>
      <c r="N10" s="80">
        <f>'13'!AD13</f>
        <v>0.58333333333333337</v>
      </c>
      <c r="O10" s="80">
        <f>'14'!AD13</f>
        <v>1</v>
      </c>
      <c r="P10" s="80">
        <f>'15'!AD13</f>
        <v>0.91666666666666663</v>
      </c>
      <c r="Q10" s="80">
        <f>'16'!AD13</f>
        <v>1</v>
      </c>
      <c r="R10" s="80">
        <f>'17'!AD13</f>
        <v>1</v>
      </c>
      <c r="S10" s="80"/>
      <c r="T10" s="80"/>
      <c r="U10" s="80">
        <f>'20'!AD13</f>
        <v>0.58333333333333337</v>
      </c>
      <c r="V10" s="80">
        <f>'21'!AD13</f>
        <v>1</v>
      </c>
      <c r="W10" s="80">
        <f>'22'!AD14</f>
        <v>0.83333333333333337</v>
      </c>
      <c r="X10" s="80">
        <f>'23'!AD13</f>
        <v>0.75</v>
      </c>
      <c r="Y10" s="80"/>
      <c r="Z10" s="80"/>
      <c r="AA10" s="80"/>
      <c r="AB10" s="80"/>
      <c r="AC10" s="80">
        <f>'28'!AD13</f>
        <v>1</v>
      </c>
      <c r="AD10" s="80">
        <f>'29'!AD13</f>
        <v>0.91666666666666663</v>
      </c>
      <c r="AE10" s="80">
        <f>'30'!AD13</f>
        <v>1</v>
      </c>
      <c r="AF10" s="81">
        <f>'31'!AD14</f>
        <v>1</v>
      </c>
      <c r="AG10" s="82">
        <f t="shared" si="0"/>
        <v>0.58064516129032262</v>
      </c>
    </row>
    <row r="11" spans="1:33" ht="21.75" customHeight="1">
      <c r="A11" s="119" t="s">
        <v>68</v>
      </c>
      <c r="B11" s="120"/>
      <c r="C11" s="120">
        <f>'02'!AD14</f>
        <v>0.45833333333333331</v>
      </c>
      <c r="D11" s="121">
        <f>'03'!AD14</f>
        <v>0</v>
      </c>
      <c r="E11" s="121"/>
      <c r="F11" s="121"/>
      <c r="G11" s="121">
        <f>'06'!AD14</f>
        <v>0</v>
      </c>
      <c r="H11" s="121">
        <f>'07'!AD14</f>
        <v>0.375</v>
      </c>
      <c r="I11" s="121">
        <f>'08'!AD14</f>
        <v>0.29166666666666669</v>
      </c>
      <c r="J11" s="121">
        <f>'09'!AD14</f>
        <v>0</v>
      </c>
      <c r="K11" s="121">
        <f>'10'!AD14</f>
        <v>0</v>
      </c>
      <c r="L11" s="121"/>
      <c r="M11" s="121"/>
      <c r="N11" s="121">
        <f>'13'!AD14</f>
        <v>0.20833333333333334</v>
      </c>
      <c r="O11" s="121">
        <f>'14'!AD14</f>
        <v>0</v>
      </c>
      <c r="P11" s="121">
        <f>'15'!AD14</f>
        <v>0.16666666666666666</v>
      </c>
      <c r="Q11" s="121">
        <f>'16'!AD14</f>
        <v>0</v>
      </c>
      <c r="R11" s="121">
        <f>'17'!AD14</f>
        <v>0</v>
      </c>
      <c r="S11" s="121"/>
      <c r="T11" s="121"/>
      <c r="U11" s="121">
        <f>'20'!AD14</f>
        <v>0.41666666666666669</v>
      </c>
      <c r="V11" s="121">
        <f>'21'!AD14</f>
        <v>0</v>
      </c>
      <c r="W11" s="121">
        <f>'22'!AD15</f>
        <v>0</v>
      </c>
      <c r="X11" s="121">
        <f>'23'!AD14</f>
        <v>0</v>
      </c>
      <c r="Y11" s="121"/>
      <c r="Z11" s="121"/>
      <c r="AA11" s="121"/>
      <c r="AB11" s="121"/>
      <c r="AC11" s="121">
        <f>'28'!AD14</f>
        <v>0.45833333333333331</v>
      </c>
      <c r="AD11" s="121">
        <f>'29'!AD14</f>
        <v>0</v>
      </c>
      <c r="AE11" s="121">
        <f>'30'!AD14</f>
        <v>0</v>
      </c>
      <c r="AF11" s="122">
        <f>'31'!AD15</f>
        <v>0</v>
      </c>
      <c r="AG11" s="123">
        <f t="shared" si="0"/>
        <v>7.6612903225806453E-2</v>
      </c>
    </row>
    <row r="12" spans="1:33" ht="21.75" customHeight="1">
      <c r="A12" s="111" t="s">
        <v>69</v>
      </c>
      <c r="B12" s="106"/>
      <c r="C12" s="106">
        <f>'02'!AD15</f>
        <v>0.41666666666666669</v>
      </c>
      <c r="D12" s="77">
        <f>'03'!AD15</f>
        <v>0.91666666666666663</v>
      </c>
      <c r="E12" s="77"/>
      <c r="F12" s="77"/>
      <c r="G12" s="77">
        <f>'06'!AD15+'06'!AD16</f>
        <v>0.95833333333333337</v>
      </c>
      <c r="H12" s="77">
        <f>'07'!AD15</f>
        <v>1</v>
      </c>
      <c r="I12" s="77">
        <f>'08'!AD15</f>
        <v>1</v>
      </c>
      <c r="J12" s="77">
        <f>'09'!AD15</f>
        <v>1</v>
      </c>
      <c r="K12" s="77">
        <f>'10'!AD15</f>
        <v>0.95833333333333337</v>
      </c>
      <c r="L12" s="77"/>
      <c r="M12" s="77"/>
      <c r="N12" s="77">
        <f>'13'!AD15</f>
        <v>1</v>
      </c>
      <c r="O12" s="77">
        <f>'14'!AD15</f>
        <v>1</v>
      </c>
      <c r="P12" s="77">
        <f>'15'!AD15</f>
        <v>0.95833333333333337</v>
      </c>
      <c r="Q12" s="77">
        <f>'16'!AD15</f>
        <v>1</v>
      </c>
      <c r="R12" s="77">
        <f>'17'!AD15</f>
        <v>1</v>
      </c>
      <c r="S12" s="77"/>
      <c r="T12" s="77"/>
      <c r="U12" s="77">
        <f>'20'!AD15</f>
        <v>0.75</v>
      </c>
      <c r="V12" s="77">
        <f>'21'!AD15</f>
        <v>0</v>
      </c>
      <c r="W12" s="77">
        <f>'22'!AD16</f>
        <v>0.875</v>
      </c>
      <c r="X12" s="77">
        <f>'23'!AD15</f>
        <v>1</v>
      </c>
      <c r="Y12" s="77"/>
      <c r="Z12" s="77"/>
      <c r="AA12" s="77"/>
      <c r="AB12" s="77"/>
      <c r="AC12" s="77">
        <f>'28'!AD15</f>
        <v>0.70833333333333337</v>
      </c>
      <c r="AD12" s="77">
        <f>'29'!AD15</f>
        <v>1</v>
      </c>
      <c r="AE12" s="77">
        <f>'30'!AD15</f>
        <v>0.83333333333333337</v>
      </c>
      <c r="AF12" s="78">
        <f>'31'!AD16</f>
        <v>0</v>
      </c>
      <c r="AG12" s="79">
        <f t="shared" si="0"/>
        <v>0.52822580645161288</v>
      </c>
    </row>
    <row r="13" spans="1:33" ht="21.75" customHeight="1">
      <c r="A13" s="111" t="s">
        <v>70</v>
      </c>
      <c r="B13" s="106"/>
      <c r="C13" s="106">
        <f>'02'!AD16</f>
        <v>0</v>
      </c>
      <c r="D13" s="77">
        <f>'03'!AD16</f>
        <v>0</v>
      </c>
      <c r="E13" s="77"/>
      <c r="F13" s="77"/>
      <c r="G13" s="77">
        <f>'06'!AD17</f>
        <v>0</v>
      </c>
      <c r="H13" s="77">
        <f>'07'!AD16</f>
        <v>0</v>
      </c>
      <c r="I13" s="77">
        <f>'08'!AD16</f>
        <v>0.5</v>
      </c>
      <c r="J13" s="77">
        <f>'09'!AD16</f>
        <v>0</v>
      </c>
      <c r="K13" s="77">
        <f>'10'!AD16</f>
        <v>0.25</v>
      </c>
      <c r="L13" s="77"/>
      <c r="M13" s="77"/>
      <c r="N13" s="77">
        <f>'13'!AD16</f>
        <v>0.25</v>
      </c>
      <c r="O13" s="77">
        <f>'14'!AD16</f>
        <v>0.29166666666666669</v>
      </c>
      <c r="P13" s="77">
        <f>'15'!AD16</f>
        <v>0.25</v>
      </c>
      <c r="Q13" s="77">
        <f>'16'!AD16</f>
        <v>0</v>
      </c>
      <c r="R13" s="77">
        <f>'17'!AD16</f>
        <v>0</v>
      </c>
      <c r="S13" s="77"/>
      <c r="T13" s="77"/>
      <c r="U13" s="77">
        <f>'20'!AD16</f>
        <v>0</v>
      </c>
      <c r="V13" s="77">
        <f>'21'!AD16</f>
        <v>0</v>
      </c>
      <c r="W13" s="77">
        <f>'22'!AD17+'22'!AD18</f>
        <v>0.33333333333333331</v>
      </c>
      <c r="X13" s="77">
        <f>'23'!AD16</f>
        <v>0</v>
      </c>
      <c r="Y13" s="77"/>
      <c r="Z13" s="77"/>
      <c r="AA13" s="77"/>
      <c r="AB13" s="77"/>
      <c r="AC13" s="77">
        <f>'28'!AD16</f>
        <v>0</v>
      </c>
      <c r="AD13" s="77">
        <f>'29'!AD16</f>
        <v>0</v>
      </c>
      <c r="AE13" s="77">
        <f>'30'!AD16</f>
        <v>0</v>
      </c>
      <c r="AF13" s="78">
        <f>'31'!AD17</f>
        <v>0.29166666666666669</v>
      </c>
      <c r="AG13" s="79">
        <f t="shared" si="0"/>
        <v>6.9892473118279563E-2</v>
      </c>
    </row>
    <row r="14" spans="1:33" ht="21.75" customHeight="1">
      <c r="A14" s="111" t="s">
        <v>71</v>
      </c>
      <c r="B14" s="106"/>
      <c r="C14" s="106">
        <f>'02'!AD17</f>
        <v>0</v>
      </c>
      <c r="D14" s="77">
        <f>'03'!AD17</f>
        <v>0</v>
      </c>
      <c r="E14" s="77"/>
      <c r="F14" s="77"/>
      <c r="G14" s="77">
        <f>'06'!AD18</f>
        <v>0.58333333333333337</v>
      </c>
      <c r="H14" s="77">
        <f>'07'!AD17</f>
        <v>0</v>
      </c>
      <c r="I14" s="77">
        <f>'08'!AD17</f>
        <v>0</v>
      </c>
      <c r="J14" s="77">
        <f>'09'!AD17</f>
        <v>0</v>
      </c>
      <c r="K14" s="77">
        <f>'10'!AD17</f>
        <v>0.625</v>
      </c>
      <c r="L14" s="77"/>
      <c r="M14" s="77"/>
      <c r="N14" s="77">
        <f>'13'!AD17</f>
        <v>0</v>
      </c>
      <c r="O14" s="77">
        <f>'14'!AD17</f>
        <v>0.29166666666666669</v>
      </c>
      <c r="P14" s="77">
        <f>'15'!AD17</f>
        <v>0.875</v>
      </c>
      <c r="Q14" s="77">
        <f>'16'!AD17</f>
        <v>1</v>
      </c>
      <c r="R14" s="77">
        <f>'17'!AD17</f>
        <v>0</v>
      </c>
      <c r="S14" s="77"/>
      <c r="T14" s="77"/>
      <c r="U14" s="77">
        <f>'20'!AD17</f>
        <v>0.33333333333333331</v>
      </c>
      <c r="V14" s="77">
        <f>'21'!AD17</f>
        <v>0</v>
      </c>
      <c r="W14" s="77">
        <f>'22'!AD19</f>
        <v>0.58333333333333337</v>
      </c>
      <c r="X14" s="77">
        <f>'23'!AD17</f>
        <v>0.41666666666666669</v>
      </c>
      <c r="Y14" s="77"/>
      <c r="Z14" s="77"/>
      <c r="AA14" s="77"/>
      <c r="AB14" s="77"/>
      <c r="AC14" s="77">
        <f>'28'!AD17</f>
        <v>0</v>
      </c>
      <c r="AD14" s="77">
        <f>'29'!AD17</f>
        <v>0</v>
      </c>
      <c r="AE14" s="77">
        <f>'30'!AD17</f>
        <v>0</v>
      </c>
      <c r="AF14" s="78">
        <f>'31'!AD18</f>
        <v>0</v>
      </c>
      <c r="AG14" s="79">
        <f t="shared" si="0"/>
        <v>0.15188172043010756</v>
      </c>
    </row>
    <row r="15" spans="1:33" ht="21.75" customHeight="1">
      <c r="A15" s="112" t="s">
        <v>72</v>
      </c>
      <c r="B15" s="107"/>
      <c r="C15" s="107">
        <f>'02'!AD18</f>
        <v>0.41666666666666669</v>
      </c>
      <c r="D15" s="80">
        <f>'03'!AD18</f>
        <v>0</v>
      </c>
      <c r="E15" s="80"/>
      <c r="F15" s="80"/>
      <c r="G15" s="80">
        <f>'06'!AD19</f>
        <v>0</v>
      </c>
      <c r="H15" s="80">
        <f>'07'!AD18</f>
        <v>1</v>
      </c>
      <c r="I15" s="80">
        <f>'08'!AD18</f>
        <v>0.91666666666666663</v>
      </c>
      <c r="J15" s="80">
        <f>'09'!AD18</f>
        <v>1</v>
      </c>
      <c r="K15" s="80">
        <f>'10'!AD18</f>
        <v>1</v>
      </c>
      <c r="L15" s="80"/>
      <c r="M15" s="80"/>
      <c r="N15" s="80">
        <f>'13'!AD18</f>
        <v>1</v>
      </c>
      <c r="O15" s="80">
        <f>'14'!AD18</f>
        <v>0.33333333333333331</v>
      </c>
      <c r="P15" s="80">
        <f>'15'!AD18</f>
        <v>0.45833333333333331</v>
      </c>
      <c r="Q15" s="80">
        <f>'16'!AD18</f>
        <v>0.58333333333333337</v>
      </c>
      <c r="R15" s="80">
        <f>'17'!AD18</f>
        <v>0.70833333333333337</v>
      </c>
      <c r="S15" s="80"/>
      <c r="T15" s="80"/>
      <c r="U15" s="80">
        <f>'20'!AD18+'20'!AD19</f>
        <v>0.5</v>
      </c>
      <c r="V15" s="80">
        <f>'21'!AD18</f>
        <v>0.66666666666666663</v>
      </c>
      <c r="W15" s="80">
        <f>'22'!AD20</f>
        <v>0.16666666666666666</v>
      </c>
      <c r="X15" s="80">
        <f>'23'!AD18</f>
        <v>0.91666666666666663</v>
      </c>
      <c r="Y15" s="80"/>
      <c r="Z15" s="80"/>
      <c r="AA15" s="80"/>
      <c r="AB15" s="80"/>
      <c r="AC15" s="80">
        <f>'28'!AD18</f>
        <v>0.16666666666666666</v>
      </c>
      <c r="AD15" s="80">
        <f>'29'!AD18</f>
        <v>0</v>
      </c>
      <c r="AE15" s="80">
        <f>'30'!AD18</f>
        <v>0</v>
      </c>
      <c r="AF15" s="81">
        <f>'31'!AD19</f>
        <v>0</v>
      </c>
      <c r="AG15" s="82">
        <f t="shared" si="0"/>
        <v>0.3172043010752687</v>
      </c>
    </row>
    <row r="16" spans="1:33" ht="21.75" customHeight="1">
      <c r="A16" s="112" t="s">
        <v>73</v>
      </c>
      <c r="B16" s="107"/>
      <c r="C16" s="107">
        <f>'02'!AD19</f>
        <v>8.3333333333333329E-2</v>
      </c>
      <c r="D16" s="80">
        <f>'03'!AD19+'03'!AD20</f>
        <v>0.875</v>
      </c>
      <c r="E16" s="80"/>
      <c r="F16" s="80"/>
      <c r="G16" s="80">
        <f>'06'!AD20</f>
        <v>1</v>
      </c>
      <c r="H16" s="80">
        <f>'07'!AD19</f>
        <v>1</v>
      </c>
      <c r="I16" s="80">
        <f>'08'!AD19</f>
        <v>1</v>
      </c>
      <c r="J16" s="80">
        <f>'09'!AD19</f>
        <v>1</v>
      </c>
      <c r="K16" s="80">
        <f>'10'!AD19</f>
        <v>1</v>
      </c>
      <c r="L16" s="80"/>
      <c r="M16" s="80"/>
      <c r="N16" s="80">
        <f>'13'!AD19</f>
        <v>1</v>
      </c>
      <c r="O16" s="80">
        <f>'14'!AD19+'14'!AD20</f>
        <v>0.79166666666666674</v>
      </c>
      <c r="P16" s="80">
        <f>'15'!AD19</f>
        <v>1</v>
      </c>
      <c r="Q16" s="80">
        <f>'16'!AD19</f>
        <v>1</v>
      </c>
      <c r="R16" s="80">
        <f>'17'!AD19</f>
        <v>1</v>
      </c>
      <c r="S16" s="80"/>
      <c r="T16" s="80"/>
      <c r="U16" s="80">
        <f>'20'!AD20</f>
        <v>0.83333333333333337</v>
      </c>
      <c r="V16" s="80">
        <f>'21'!AD19</f>
        <v>1</v>
      </c>
      <c r="W16" s="80">
        <f>'22'!AD21</f>
        <v>0.33333333333333331</v>
      </c>
      <c r="X16" s="80">
        <f>'23'!AD19</f>
        <v>0.79166666666666663</v>
      </c>
      <c r="Y16" s="80"/>
      <c r="Z16" s="80"/>
      <c r="AA16" s="80"/>
      <c r="AB16" s="80"/>
      <c r="AC16" s="80">
        <f>'28'!AD19</f>
        <v>1</v>
      </c>
      <c r="AD16" s="80">
        <f>'29'!AD19</f>
        <v>1</v>
      </c>
      <c r="AE16" s="80">
        <f>'30'!AD19</f>
        <v>1</v>
      </c>
      <c r="AF16" s="81">
        <f>'31'!AD20</f>
        <v>1</v>
      </c>
      <c r="AG16" s="82">
        <f t="shared" si="0"/>
        <v>0.57123655913978499</v>
      </c>
    </row>
    <row r="17" spans="1:33" ht="21.75" customHeight="1" thickBot="1">
      <c r="A17" s="113" t="s">
        <v>111</v>
      </c>
      <c r="B17" s="108"/>
      <c r="C17" s="108">
        <f>'02'!AD20</f>
        <v>0</v>
      </c>
      <c r="D17" s="83">
        <f>'03'!AD21</f>
        <v>0</v>
      </c>
      <c r="E17" s="83"/>
      <c r="F17" s="83"/>
      <c r="G17" s="83">
        <f>'06'!AD21</f>
        <v>0</v>
      </c>
      <c r="H17" s="83">
        <f>'07'!AD20</f>
        <v>0</v>
      </c>
      <c r="I17" s="83">
        <f>'08'!AD20</f>
        <v>0</v>
      </c>
      <c r="J17" s="83">
        <f>'09'!AD20</f>
        <v>0</v>
      </c>
      <c r="K17" s="83">
        <f>'10'!AD20</f>
        <v>0</v>
      </c>
      <c r="L17" s="83"/>
      <c r="M17" s="83"/>
      <c r="N17" s="83">
        <f>'13'!AD20</f>
        <v>0</v>
      </c>
      <c r="O17" s="83">
        <f>'14'!AD21</f>
        <v>0</v>
      </c>
      <c r="P17" s="83">
        <f>'15'!AD20</f>
        <v>0</v>
      </c>
      <c r="Q17" s="83">
        <f>'16'!AD20</f>
        <v>0</v>
      </c>
      <c r="R17" s="83">
        <f>'17'!AD20</f>
        <v>0</v>
      </c>
      <c r="S17" s="83"/>
      <c r="T17" s="83"/>
      <c r="U17" s="83">
        <f>'20'!AD21</f>
        <v>0</v>
      </c>
      <c r="V17" s="83">
        <f>'21'!AD20</f>
        <v>0</v>
      </c>
      <c r="W17" s="83">
        <f>'22'!AD22</f>
        <v>0</v>
      </c>
      <c r="X17" s="83">
        <f>'23'!AD20</f>
        <v>0</v>
      </c>
      <c r="Y17" s="83"/>
      <c r="Z17" s="83"/>
      <c r="AA17" s="83"/>
      <c r="AB17" s="83"/>
      <c r="AC17" s="83">
        <f>'28'!AD20</f>
        <v>0</v>
      </c>
      <c r="AD17" s="83">
        <f>'29'!AD20</f>
        <v>0</v>
      </c>
      <c r="AE17" s="83">
        <f>'30'!AD20</f>
        <v>0</v>
      </c>
      <c r="AF17" s="84">
        <f>'31'!AD21</f>
        <v>0</v>
      </c>
      <c r="AG17" s="85">
        <f t="shared" si="0"/>
        <v>0</v>
      </c>
    </row>
    <row r="18" spans="1:33" s="86" customFormat="1" ht="21.75" customHeight="1">
      <c r="A18" s="90" t="s">
        <v>105</v>
      </c>
      <c r="B18" s="94"/>
      <c r="C18" s="94">
        <f>'02'!AD21</f>
        <v>0.30555555555555552</v>
      </c>
      <c r="D18" s="95">
        <f>'03'!AD22</f>
        <v>0.31666666666666665</v>
      </c>
      <c r="E18" s="95"/>
      <c r="F18" s="95"/>
      <c r="G18" s="95">
        <f>'06'!AD22</f>
        <v>0.38611111111111113</v>
      </c>
      <c r="H18" s="95">
        <f>'07'!AD21</f>
        <v>0.4</v>
      </c>
      <c r="I18" s="95">
        <f>'08'!AD21</f>
        <v>0.46944444444444444</v>
      </c>
      <c r="J18" s="95">
        <f>'09'!AD21</f>
        <v>0.43888888888888894</v>
      </c>
      <c r="K18" s="95">
        <f>'10'!AD21</f>
        <v>0.40555555555555561</v>
      </c>
      <c r="L18" s="95"/>
      <c r="M18" s="95"/>
      <c r="N18" s="95">
        <f>'13'!AD21</f>
        <v>0.43888888888888894</v>
      </c>
      <c r="O18" s="95">
        <f>'14'!AD22</f>
        <v>0.39722222222222225</v>
      </c>
      <c r="P18" s="95">
        <f>'15'!AD21</f>
        <v>0.46944444444444439</v>
      </c>
      <c r="Q18" s="95">
        <f>'16'!AD21</f>
        <v>0.3888888888888889</v>
      </c>
      <c r="R18" s="95">
        <f>'17'!AD21</f>
        <v>0.45833333333333326</v>
      </c>
      <c r="S18" s="95"/>
      <c r="T18" s="95"/>
      <c r="U18" s="95">
        <f>'20'!AD22</f>
        <v>0.38055555555555548</v>
      </c>
      <c r="V18" s="95">
        <f>'21'!AD21</f>
        <v>0.32500000000000001</v>
      </c>
      <c r="W18" s="95">
        <f>'22'!AD23</f>
        <v>0.34166666666666667</v>
      </c>
      <c r="X18" s="95">
        <f>'23'!AD21</f>
        <v>0.35833333333333334</v>
      </c>
      <c r="Y18" s="95"/>
      <c r="Z18" s="95"/>
      <c r="AA18" s="95"/>
      <c r="AB18" s="95"/>
      <c r="AC18" s="95">
        <f>'28'!AD21</f>
        <v>0.28888888888888892</v>
      </c>
      <c r="AD18" s="95">
        <f>'29'!AD21</f>
        <v>0.28611111111111109</v>
      </c>
      <c r="AE18" s="95">
        <f>'30'!AD21</f>
        <v>0.36944444444444446</v>
      </c>
      <c r="AF18" s="96">
        <f>'31'!AD22</f>
        <v>0.31944444444444448</v>
      </c>
      <c r="AG18" s="99">
        <f t="shared" si="0"/>
        <v>0.24336917562724017</v>
      </c>
    </row>
    <row r="19" spans="1:33" ht="21.75" customHeight="1" thickBot="1">
      <c r="A19" s="69" t="s">
        <v>109</v>
      </c>
      <c r="B19" s="70">
        <v>0.62</v>
      </c>
      <c r="C19" s="71">
        <v>0.62</v>
      </c>
      <c r="D19" s="71">
        <v>0.62</v>
      </c>
      <c r="E19" s="71">
        <v>0.62</v>
      </c>
      <c r="F19" s="71">
        <v>0.62</v>
      </c>
      <c r="G19" s="71">
        <v>0.62</v>
      </c>
      <c r="H19" s="71">
        <v>0.62</v>
      </c>
      <c r="I19" s="71">
        <v>0.62</v>
      </c>
      <c r="J19" s="71">
        <v>0.62</v>
      </c>
      <c r="K19" s="71">
        <v>0.62</v>
      </c>
      <c r="L19" s="71">
        <v>0.62</v>
      </c>
      <c r="M19" s="71">
        <v>0.62</v>
      </c>
      <c r="N19" s="71">
        <v>0.62</v>
      </c>
      <c r="O19" s="71">
        <v>0.62</v>
      </c>
      <c r="P19" s="71">
        <v>0.62</v>
      </c>
      <c r="Q19" s="71">
        <v>0.62</v>
      </c>
      <c r="R19" s="71">
        <v>0.62</v>
      </c>
      <c r="S19" s="71">
        <v>0.62</v>
      </c>
      <c r="T19" s="71">
        <v>0.62</v>
      </c>
      <c r="U19" s="71">
        <v>0.62</v>
      </c>
      <c r="V19" s="71">
        <v>0.62</v>
      </c>
      <c r="W19" s="71">
        <v>0.62</v>
      </c>
      <c r="X19" s="71">
        <v>0.62</v>
      </c>
      <c r="Y19" s="71">
        <v>0.62</v>
      </c>
      <c r="Z19" s="71">
        <v>0.62</v>
      </c>
      <c r="AA19" s="71">
        <v>0.62</v>
      </c>
      <c r="AB19" s="71">
        <v>0.62</v>
      </c>
      <c r="AC19" s="71">
        <v>0.62</v>
      </c>
      <c r="AD19" s="71">
        <v>0.62</v>
      </c>
      <c r="AE19" s="71">
        <v>0.62</v>
      </c>
      <c r="AF19" s="72">
        <v>0.62</v>
      </c>
      <c r="AG19" s="73">
        <v>0.62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FC24-CE60-4DF4-9DD8-210C9146B581}">
  <dimension ref="A1:AF86"/>
  <sheetViews>
    <sheetView zoomScale="72" zoomScaleNormal="72" zoomScaleSheetLayoutView="70" workbookViewId="0">
      <selection activeCell="F75" sqref="F75:J7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58" t="s">
        <v>155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8"/>
      <c r="B2" s="458"/>
      <c r="C2" s="458"/>
      <c r="D2" s="458"/>
      <c r="E2" s="458"/>
      <c r="F2" s="458"/>
      <c r="G2" s="458"/>
      <c r="H2" s="458"/>
      <c r="I2" s="458"/>
      <c r="J2" s="458"/>
      <c r="K2" s="458"/>
      <c r="L2" s="458"/>
      <c r="M2" s="458"/>
      <c r="N2" s="458"/>
      <c r="O2" s="45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9"/>
      <c r="B3" s="459"/>
      <c r="C3" s="459"/>
      <c r="D3" s="459"/>
      <c r="E3" s="459"/>
      <c r="F3" s="459"/>
      <c r="G3" s="45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0" t="s">
        <v>0</v>
      </c>
      <c r="B4" s="462" t="s">
        <v>1</v>
      </c>
      <c r="C4" s="462" t="s">
        <v>2</v>
      </c>
      <c r="D4" s="465" t="s">
        <v>3</v>
      </c>
      <c r="E4" s="467" t="s">
        <v>4</v>
      </c>
      <c r="F4" s="465" t="s">
        <v>5</v>
      </c>
      <c r="G4" s="462" t="s">
        <v>6</v>
      </c>
      <c r="H4" s="468" t="s">
        <v>7</v>
      </c>
      <c r="I4" s="448" t="s">
        <v>8</v>
      </c>
      <c r="J4" s="449"/>
      <c r="K4" s="449"/>
      <c r="L4" s="449"/>
      <c r="M4" s="449"/>
      <c r="N4" s="449"/>
      <c r="O4" s="450"/>
      <c r="P4" s="451" t="s">
        <v>9</v>
      </c>
      <c r="Q4" s="452"/>
      <c r="R4" s="453" t="s">
        <v>10</v>
      </c>
      <c r="S4" s="453"/>
      <c r="T4" s="453"/>
      <c r="U4" s="453"/>
      <c r="V4" s="453"/>
      <c r="W4" s="454" t="s">
        <v>11</v>
      </c>
      <c r="X4" s="453"/>
      <c r="Y4" s="453"/>
      <c r="Z4" s="453"/>
      <c r="AA4" s="455"/>
      <c r="AB4" s="456" t="s">
        <v>12</v>
      </c>
      <c r="AC4" s="429" t="s">
        <v>13</v>
      </c>
      <c r="AD4" s="429" t="s">
        <v>14</v>
      </c>
      <c r="AE4" s="54"/>
    </row>
    <row r="5" spans="1:32" ht="51" customHeight="1" thickBot="1">
      <c r="A5" s="461"/>
      <c r="B5" s="463"/>
      <c r="C5" s="464"/>
      <c r="D5" s="466"/>
      <c r="E5" s="466"/>
      <c r="F5" s="466"/>
      <c r="G5" s="463"/>
      <c r="H5" s="469"/>
      <c r="I5" s="55" t="s">
        <v>15</v>
      </c>
      <c r="J5" s="56" t="s">
        <v>16</v>
      </c>
      <c r="K5" s="125" t="s">
        <v>17</v>
      </c>
      <c r="L5" s="125" t="s">
        <v>18</v>
      </c>
      <c r="M5" s="125" t="s">
        <v>19</v>
      </c>
      <c r="N5" s="12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57"/>
      <c r="AC5" s="430"/>
      <c r="AD5" s="43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0.30555555555555552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126</v>
      </c>
      <c r="D7" s="52" t="s">
        <v>127</v>
      </c>
      <c r="E7" s="53" t="s">
        <v>125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0.30555555555555552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123</v>
      </c>
      <c r="D8" s="52" t="s">
        <v>146</v>
      </c>
      <c r="E8" s="53" t="s">
        <v>151</v>
      </c>
      <c r="F8" s="30" t="s">
        <v>140</v>
      </c>
      <c r="G8" s="33">
        <v>2</v>
      </c>
      <c r="H8" s="35">
        <v>24</v>
      </c>
      <c r="I8" s="7">
        <v>2000</v>
      </c>
      <c r="J8" s="14">
        <v>7228</v>
      </c>
      <c r="K8" s="15">
        <f>L8+7228</f>
        <v>7228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0.30555555555555552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133</v>
      </c>
      <c r="E9" s="53" t="s">
        <v>135</v>
      </c>
      <c r="F9" s="30" t="s">
        <v>124</v>
      </c>
      <c r="G9" s="33">
        <v>1</v>
      </c>
      <c r="H9" s="35">
        <v>24</v>
      </c>
      <c r="I9" s="7">
        <v>140000</v>
      </c>
      <c r="J9" s="14">
        <v>2446</v>
      </c>
      <c r="K9" s="15">
        <f>L9+1036+2500+4639+2951+2392+2902+2784+3566+4110+4299+4289+1910+4734+4854+3892+4611+3795+5160+1762+3528+5214+2558+4569+2950+2156+1926+2008+4959+2003+5012+1587+3659+4383+3050+1774+2365+4990+1951+2870+4719+4021+1991+2339+4564+1209+2580+4170+4218+1852+4150+3691+452+2336+4213+3072+3089+2806+2527+366+3419+3294</f>
        <v>197222</v>
      </c>
      <c r="L9" s="15">
        <f>1158+1288</f>
        <v>2446</v>
      </c>
      <c r="M9" s="15">
        <f t="shared" si="1"/>
        <v>2446</v>
      </c>
      <c r="N9" s="15">
        <v>0</v>
      </c>
      <c r="O9" s="58">
        <f t="shared" si="2"/>
        <v>0</v>
      </c>
      <c r="P9" s="39">
        <f t="shared" si="3"/>
        <v>15</v>
      </c>
      <c r="Q9" s="40">
        <f t="shared" si="4"/>
        <v>9</v>
      </c>
      <c r="R9" s="7"/>
      <c r="S9" s="6">
        <v>9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0.625</v>
      </c>
      <c r="AD9" s="10">
        <f t="shared" si="7"/>
        <v>0.625</v>
      </c>
      <c r="AE9" s="36">
        <f t="shared" si="8"/>
        <v>0.30555555555555552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131</v>
      </c>
      <c r="D10" s="52" t="s">
        <v>150</v>
      </c>
      <c r="E10" s="53" t="s">
        <v>152</v>
      </c>
      <c r="F10" s="30" t="s">
        <v>121</v>
      </c>
      <c r="G10" s="33">
        <v>2</v>
      </c>
      <c r="H10" s="35">
        <v>24</v>
      </c>
      <c r="I10" s="7">
        <v>130000</v>
      </c>
      <c r="J10" s="5">
        <v>12482</v>
      </c>
      <c r="K10" s="15">
        <f>L10+13288+10116+14610+5976+7143</f>
        <v>63615</v>
      </c>
      <c r="L10" s="15">
        <f>4309*2+1932*2</f>
        <v>12482</v>
      </c>
      <c r="M10" s="15">
        <f t="shared" si="1"/>
        <v>12482</v>
      </c>
      <c r="N10" s="15">
        <v>0</v>
      </c>
      <c r="O10" s="58">
        <f t="shared" si="2"/>
        <v>0</v>
      </c>
      <c r="P10" s="39">
        <f t="shared" si="3"/>
        <v>19</v>
      </c>
      <c r="Q10" s="40">
        <f t="shared" si="4"/>
        <v>5</v>
      </c>
      <c r="R10" s="7"/>
      <c r="S10" s="6">
        <v>5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0.79166666666666663</v>
      </c>
      <c r="AD10" s="10">
        <f>AC10*AB10*(1-O10)</f>
        <v>0.79166666666666663</v>
      </c>
      <c r="AE10" s="36">
        <f t="shared" si="8"/>
        <v>0.30555555555555552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123</v>
      </c>
      <c r="D11" s="52" t="s">
        <v>117</v>
      </c>
      <c r="E11" s="53" t="s">
        <v>147</v>
      </c>
      <c r="F11" s="30" t="s">
        <v>132</v>
      </c>
      <c r="G11" s="33">
        <v>1</v>
      </c>
      <c r="H11" s="35">
        <v>24</v>
      </c>
      <c r="I11" s="7">
        <v>1000</v>
      </c>
      <c r="J11" s="5">
        <v>940</v>
      </c>
      <c r="K11" s="15">
        <f>L11+940</f>
        <v>940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>AC11*AB11*(1-O11)</f>
        <v>0</v>
      </c>
      <c r="AE11" s="36">
        <f t="shared" si="8"/>
        <v>0.30555555555555552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134</v>
      </c>
      <c r="F12" s="30" t="s">
        <v>121</v>
      </c>
      <c r="G12" s="33">
        <v>1</v>
      </c>
      <c r="H12" s="35">
        <v>24</v>
      </c>
      <c r="I12" s="7">
        <v>100000</v>
      </c>
      <c r="J12" s="14">
        <v>3169</v>
      </c>
      <c r="K12" s="15">
        <f>L12+2036+3193+2673+3958+1875+401+3155+4199+2859+2339+1952+1208+2933+3415+1960+4032+870+1602+872+2860+3148+2498+463+1324+1687+1943+4107+3383+1502+790+4143+3077+2335+2648+3828+4343+1632+3883+3120+1722+927+911+582+3950+4147+4076+3496+4082+3413+654+2354+3732+4055+3968+4076+4172+1706+869+3574</f>
        <v>157881</v>
      </c>
      <c r="L12" s="15">
        <f>1886+1283</f>
        <v>3169</v>
      </c>
      <c r="M12" s="15">
        <f t="shared" si="1"/>
        <v>3169</v>
      </c>
      <c r="N12" s="15">
        <v>0</v>
      </c>
      <c r="O12" s="58">
        <f t="shared" si="2"/>
        <v>0</v>
      </c>
      <c r="P12" s="39">
        <f t="shared" si="3"/>
        <v>19</v>
      </c>
      <c r="Q12" s="40">
        <f t="shared" si="4"/>
        <v>5</v>
      </c>
      <c r="R12" s="7"/>
      <c r="S12" s="6">
        <v>5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0.79166666666666663</v>
      </c>
      <c r="AD12" s="10">
        <f t="shared" ref="AD12:AD14" si="10">AC12*AB12*(1-O12)</f>
        <v>0.79166666666666663</v>
      </c>
      <c r="AE12" s="36">
        <f t="shared" si="8"/>
        <v>0.30555555555555552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117</v>
      </c>
      <c r="E13" s="53" t="s">
        <v>143</v>
      </c>
      <c r="F13" s="30" t="s">
        <v>138</v>
      </c>
      <c r="G13" s="33">
        <v>4</v>
      </c>
      <c r="H13" s="35">
        <v>24</v>
      </c>
      <c r="I13" s="7">
        <v>850000</v>
      </c>
      <c r="J13" s="14">
        <v>21560</v>
      </c>
      <c r="K13" s="15">
        <f>L13+20676+20704+882+19912+11748</f>
        <v>95482</v>
      </c>
      <c r="L13" s="15">
        <f>2996*4+2394*4</f>
        <v>21560</v>
      </c>
      <c r="M13" s="15">
        <f t="shared" si="1"/>
        <v>21560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10"/>
        <v>1</v>
      </c>
      <c r="AE13" s="36">
        <f t="shared" si="8"/>
        <v>0.30555555555555552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126</v>
      </c>
      <c r="D14" s="52" t="s">
        <v>156</v>
      </c>
      <c r="E14" s="53"/>
      <c r="F14" s="30" t="s">
        <v>138</v>
      </c>
      <c r="G14" s="33" t="s">
        <v>157</v>
      </c>
      <c r="H14" s="35">
        <v>24</v>
      </c>
      <c r="I14" s="7">
        <v>1300</v>
      </c>
      <c r="J14" s="5">
        <v>1742</v>
      </c>
      <c r="K14" s="15">
        <f>L14</f>
        <v>1742</v>
      </c>
      <c r="L14" s="15">
        <f>871*2</f>
        <v>1742</v>
      </c>
      <c r="M14" s="15">
        <f t="shared" si="1"/>
        <v>1742</v>
      </c>
      <c r="N14" s="15">
        <v>0</v>
      </c>
      <c r="O14" s="58">
        <f t="shared" si="2"/>
        <v>0</v>
      </c>
      <c r="P14" s="39">
        <f t="shared" si="3"/>
        <v>11</v>
      </c>
      <c r="Q14" s="40">
        <f t="shared" si="4"/>
        <v>13</v>
      </c>
      <c r="R14" s="7"/>
      <c r="S14" s="6"/>
      <c r="T14" s="16"/>
      <c r="U14" s="16"/>
      <c r="V14" s="17"/>
      <c r="W14" s="5">
        <v>13</v>
      </c>
      <c r="X14" s="16"/>
      <c r="Y14" s="16"/>
      <c r="Z14" s="16"/>
      <c r="AA14" s="18"/>
      <c r="AB14" s="8">
        <f t="shared" si="5"/>
        <v>1</v>
      </c>
      <c r="AC14" s="9">
        <f t="shared" si="6"/>
        <v>0.45833333333333331</v>
      </c>
      <c r="AD14" s="10">
        <f t="shared" si="10"/>
        <v>0.45833333333333331</v>
      </c>
      <c r="AE14" s="36">
        <f t="shared" si="8"/>
        <v>0.30555555555555552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158</v>
      </c>
      <c r="D15" s="52"/>
      <c r="E15" s="53" t="s">
        <v>159</v>
      </c>
      <c r="F15" s="12" t="s">
        <v>160</v>
      </c>
      <c r="G15" s="12" t="s">
        <v>157</v>
      </c>
      <c r="H15" s="13">
        <v>24</v>
      </c>
      <c r="I15" s="31">
        <v>2000</v>
      </c>
      <c r="J15" s="14">
        <v>2116</v>
      </c>
      <c r="K15" s="15">
        <f>L15</f>
        <v>2116</v>
      </c>
      <c r="L15" s="15">
        <f>1058*2</f>
        <v>2116</v>
      </c>
      <c r="M15" s="15">
        <f t="shared" si="1"/>
        <v>2116</v>
      </c>
      <c r="N15" s="15">
        <v>0</v>
      </c>
      <c r="O15" s="58">
        <f t="shared" si="2"/>
        <v>0</v>
      </c>
      <c r="P15" s="39">
        <f t="shared" si="3"/>
        <v>10</v>
      </c>
      <c r="Q15" s="40">
        <f t="shared" si="4"/>
        <v>14</v>
      </c>
      <c r="R15" s="7"/>
      <c r="S15" s="6">
        <v>14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0.41666666666666669</v>
      </c>
      <c r="AD15" s="10">
        <f t="shared" si="7"/>
        <v>0.41666666666666669</v>
      </c>
      <c r="AE15" s="36">
        <f t="shared" si="8"/>
        <v>0.30555555555555552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148</v>
      </c>
      <c r="D16" s="52"/>
      <c r="E16" s="53" t="s">
        <v>149</v>
      </c>
      <c r="F16" s="30" t="s">
        <v>124</v>
      </c>
      <c r="G16" s="12">
        <v>1</v>
      </c>
      <c r="H16" s="13">
        <v>28</v>
      </c>
      <c r="I16" s="7">
        <v>1000</v>
      </c>
      <c r="J16" s="14">
        <v>1192</v>
      </c>
      <c r="K16" s="15">
        <f>L16+1192</f>
        <v>1192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0.30555555555555552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123</v>
      </c>
      <c r="D17" s="52" t="s">
        <v>141</v>
      </c>
      <c r="E17" s="53" t="s">
        <v>145</v>
      </c>
      <c r="F17" s="30" t="s">
        <v>142</v>
      </c>
      <c r="G17" s="33">
        <v>1</v>
      </c>
      <c r="H17" s="35">
        <v>24</v>
      </c>
      <c r="I17" s="7">
        <v>2500</v>
      </c>
      <c r="J17" s="5">
        <v>2492</v>
      </c>
      <c r="K17" s="15">
        <f>L17+4424+2492</f>
        <v>6916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0.30555555555555552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158</v>
      </c>
      <c r="D18" s="52"/>
      <c r="E18" s="53" t="s">
        <v>161</v>
      </c>
      <c r="F18" s="30" t="s">
        <v>162</v>
      </c>
      <c r="G18" s="33" t="s">
        <v>157</v>
      </c>
      <c r="H18" s="35">
        <v>24</v>
      </c>
      <c r="I18" s="7">
        <v>2000</v>
      </c>
      <c r="J18" s="5">
        <v>3312</v>
      </c>
      <c r="K18" s="15">
        <f>L18</f>
        <v>3312</v>
      </c>
      <c r="L18" s="15">
        <f>1656*2</f>
        <v>3312</v>
      </c>
      <c r="M18" s="15">
        <f t="shared" si="1"/>
        <v>3312</v>
      </c>
      <c r="N18" s="15">
        <v>0</v>
      </c>
      <c r="O18" s="58">
        <f t="shared" si="2"/>
        <v>0</v>
      </c>
      <c r="P18" s="39">
        <f t="shared" si="3"/>
        <v>10</v>
      </c>
      <c r="Q18" s="40">
        <f t="shared" si="4"/>
        <v>14</v>
      </c>
      <c r="R18" s="7"/>
      <c r="S18" s="6">
        <v>14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0.41666666666666669</v>
      </c>
      <c r="AD18" s="10">
        <f>AC18*AB18*(1-O18)</f>
        <v>0.41666666666666669</v>
      </c>
      <c r="AE18" s="36">
        <f t="shared" si="8"/>
        <v>0.30555555555555552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114</v>
      </c>
      <c r="D19" s="52" t="s">
        <v>163</v>
      </c>
      <c r="E19" s="53" t="s">
        <v>164</v>
      </c>
      <c r="F19" s="30" t="s">
        <v>122</v>
      </c>
      <c r="G19" s="33">
        <v>1</v>
      </c>
      <c r="H19" s="35">
        <v>24</v>
      </c>
      <c r="I19" s="7">
        <v>820</v>
      </c>
      <c r="J19" s="14">
        <v>220</v>
      </c>
      <c r="K19" s="15">
        <f>L19</f>
        <v>220</v>
      </c>
      <c r="L19" s="15">
        <v>220</v>
      </c>
      <c r="M19" s="15">
        <f t="shared" si="1"/>
        <v>220</v>
      </c>
      <c r="N19" s="15">
        <v>0</v>
      </c>
      <c r="O19" s="58">
        <f t="shared" si="2"/>
        <v>0</v>
      </c>
      <c r="P19" s="39">
        <f t="shared" si="3"/>
        <v>2</v>
      </c>
      <c r="Q19" s="40">
        <f t="shared" si="4"/>
        <v>22</v>
      </c>
      <c r="R19" s="7"/>
      <c r="S19" s="6"/>
      <c r="T19" s="16"/>
      <c r="U19" s="16"/>
      <c r="V19" s="17"/>
      <c r="W19" s="5">
        <v>22</v>
      </c>
      <c r="X19" s="16"/>
      <c r="Y19" s="16"/>
      <c r="Z19" s="16"/>
      <c r="AA19" s="18"/>
      <c r="AB19" s="8">
        <f t="shared" si="5"/>
        <v>1</v>
      </c>
      <c r="AC19" s="9">
        <f t="shared" si="6"/>
        <v>8.3333333333333329E-2</v>
      </c>
      <c r="AD19" s="10">
        <f t="shared" ref="AD19" si="11">AC19*AB19*(1-O19)</f>
        <v>8.3333333333333329E-2</v>
      </c>
      <c r="AE19" s="36">
        <f t="shared" si="8"/>
        <v>0.30555555555555552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144</v>
      </c>
      <c r="F20" s="12" t="s">
        <v>116</v>
      </c>
      <c r="G20" s="12">
        <v>3</v>
      </c>
      <c r="H20" s="35">
        <v>20</v>
      </c>
      <c r="I20" s="7">
        <v>200000</v>
      </c>
      <c r="J20" s="14">
        <v>34300</v>
      </c>
      <c r="K20" s="15">
        <f>L20+22050+34300</f>
        <v>56350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0.30555555555555552</v>
      </c>
      <c r="AF20" s="87">
        <f t="shared" si="9"/>
        <v>15</v>
      </c>
    </row>
    <row r="21" spans="1:32" ht="31.5" customHeight="1" thickBot="1">
      <c r="A21" s="431" t="s">
        <v>34</v>
      </c>
      <c r="B21" s="432"/>
      <c r="C21" s="432"/>
      <c r="D21" s="432"/>
      <c r="E21" s="432"/>
      <c r="F21" s="432"/>
      <c r="G21" s="432"/>
      <c r="H21" s="433"/>
      <c r="I21" s="22">
        <f t="shared" ref="I21:N21" si="12">SUM(I6:I20)</f>
        <v>1453620</v>
      </c>
      <c r="J21" s="19">
        <f t="shared" si="12"/>
        <v>95260</v>
      </c>
      <c r="K21" s="20">
        <f t="shared" si="12"/>
        <v>605764</v>
      </c>
      <c r="L21" s="21">
        <f t="shared" si="12"/>
        <v>47047</v>
      </c>
      <c r="M21" s="20">
        <f t="shared" si="12"/>
        <v>47047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110</v>
      </c>
      <c r="Q21" s="43">
        <f t="shared" si="13"/>
        <v>250</v>
      </c>
      <c r="R21" s="23">
        <f t="shared" si="13"/>
        <v>24</v>
      </c>
      <c r="S21" s="24">
        <f t="shared" si="13"/>
        <v>47</v>
      </c>
      <c r="T21" s="24">
        <f t="shared" si="13"/>
        <v>0</v>
      </c>
      <c r="U21" s="24">
        <f t="shared" si="13"/>
        <v>0</v>
      </c>
      <c r="V21" s="25">
        <f t="shared" si="13"/>
        <v>24</v>
      </c>
      <c r="W21" s="26">
        <f t="shared" si="13"/>
        <v>155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0.53333333333333333</v>
      </c>
      <c r="AC21" s="4">
        <f>SUM(AC6:AC20)/15</f>
        <v>0.30555555555555552</v>
      </c>
      <c r="AD21" s="4">
        <f>SUM(AD6:AD20)/15</f>
        <v>0.30555555555555552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34" t="s">
        <v>45</v>
      </c>
      <c r="B48" s="434"/>
      <c r="C48" s="434"/>
      <c r="D48" s="434"/>
      <c r="E48" s="43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35" t="s">
        <v>179</v>
      </c>
      <c r="B49" s="436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7"/>
      <c r="N49" s="438" t="s">
        <v>180</v>
      </c>
      <c r="O49" s="439"/>
      <c r="P49" s="439"/>
      <c r="Q49" s="439"/>
      <c r="R49" s="439"/>
      <c r="S49" s="439"/>
      <c r="T49" s="439"/>
      <c r="U49" s="439"/>
      <c r="V49" s="439"/>
      <c r="W49" s="439"/>
      <c r="X49" s="439"/>
      <c r="Y49" s="439"/>
      <c r="Z49" s="439"/>
      <c r="AA49" s="439"/>
      <c r="AB49" s="439"/>
      <c r="AC49" s="439"/>
      <c r="AD49" s="440"/>
    </row>
    <row r="50" spans="1:32" ht="27" customHeight="1">
      <c r="A50" s="441" t="s">
        <v>2</v>
      </c>
      <c r="B50" s="442"/>
      <c r="C50" s="126" t="s">
        <v>46</v>
      </c>
      <c r="D50" s="126" t="s">
        <v>47</v>
      </c>
      <c r="E50" s="126" t="s">
        <v>108</v>
      </c>
      <c r="F50" s="442" t="s">
        <v>107</v>
      </c>
      <c r="G50" s="442"/>
      <c r="H50" s="442"/>
      <c r="I50" s="442"/>
      <c r="J50" s="442"/>
      <c r="K50" s="442"/>
      <c r="L50" s="442"/>
      <c r="M50" s="443"/>
      <c r="N50" s="67" t="s">
        <v>112</v>
      </c>
      <c r="O50" s="126" t="s">
        <v>46</v>
      </c>
      <c r="P50" s="444" t="s">
        <v>47</v>
      </c>
      <c r="Q50" s="445"/>
      <c r="R50" s="444" t="s">
        <v>38</v>
      </c>
      <c r="S50" s="446"/>
      <c r="T50" s="446"/>
      <c r="U50" s="445"/>
      <c r="V50" s="444" t="s">
        <v>48</v>
      </c>
      <c r="W50" s="446"/>
      <c r="X50" s="446"/>
      <c r="Y50" s="446"/>
      <c r="Z50" s="446"/>
      <c r="AA50" s="446"/>
      <c r="AB50" s="446"/>
      <c r="AC50" s="446"/>
      <c r="AD50" s="447"/>
    </row>
    <row r="51" spans="1:32" ht="27" customHeight="1">
      <c r="A51" s="412" t="s">
        <v>114</v>
      </c>
      <c r="B51" s="413"/>
      <c r="C51" s="128" t="s">
        <v>129</v>
      </c>
      <c r="D51" s="128" t="s">
        <v>133</v>
      </c>
      <c r="E51" s="128" t="s">
        <v>135</v>
      </c>
      <c r="F51" s="414" t="s">
        <v>166</v>
      </c>
      <c r="G51" s="415"/>
      <c r="H51" s="415"/>
      <c r="I51" s="415"/>
      <c r="J51" s="415"/>
      <c r="K51" s="415"/>
      <c r="L51" s="415"/>
      <c r="M51" s="416"/>
      <c r="N51" s="127" t="s">
        <v>114</v>
      </c>
      <c r="O51" s="133" t="s">
        <v>136</v>
      </c>
      <c r="P51" s="426" t="s">
        <v>117</v>
      </c>
      <c r="Q51" s="427"/>
      <c r="R51" s="426" t="s">
        <v>153</v>
      </c>
      <c r="S51" s="428"/>
      <c r="T51" s="428"/>
      <c r="U51" s="427"/>
      <c r="V51" s="396" t="s">
        <v>137</v>
      </c>
      <c r="W51" s="396"/>
      <c r="X51" s="396"/>
      <c r="Y51" s="396"/>
      <c r="Z51" s="396"/>
      <c r="AA51" s="396"/>
      <c r="AB51" s="396"/>
      <c r="AC51" s="396"/>
      <c r="AD51" s="417"/>
    </row>
    <row r="52" spans="1:32" ht="27" customHeight="1">
      <c r="A52" s="412" t="s">
        <v>114</v>
      </c>
      <c r="B52" s="413"/>
      <c r="C52" s="128" t="s">
        <v>136</v>
      </c>
      <c r="D52" s="128" t="s">
        <v>117</v>
      </c>
      <c r="E52" s="128" t="s">
        <v>134</v>
      </c>
      <c r="F52" s="414" t="s">
        <v>167</v>
      </c>
      <c r="G52" s="415"/>
      <c r="H52" s="415"/>
      <c r="I52" s="415"/>
      <c r="J52" s="415"/>
      <c r="K52" s="415"/>
      <c r="L52" s="415"/>
      <c r="M52" s="416"/>
      <c r="N52" s="127" t="s">
        <v>114</v>
      </c>
      <c r="O52" s="133" t="s">
        <v>181</v>
      </c>
      <c r="P52" s="426" t="s">
        <v>182</v>
      </c>
      <c r="Q52" s="427"/>
      <c r="R52" s="426" t="s">
        <v>183</v>
      </c>
      <c r="S52" s="428"/>
      <c r="T52" s="428"/>
      <c r="U52" s="427"/>
      <c r="V52" s="396" t="s">
        <v>137</v>
      </c>
      <c r="W52" s="396"/>
      <c r="X52" s="396"/>
      <c r="Y52" s="396"/>
      <c r="Z52" s="396"/>
      <c r="AA52" s="396"/>
      <c r="AB52" s="396"/>
      <c r="AC52" s="396"/>
      <c r="AD52" s="417"/>
    </row>
    <row r="53" spans="1:32" ht="27" customHeight="1">
      <c r="A53" s="412" t="s">
        <v>168</v>
      </c>
      <c r="B53" s="413"/>
      <c r="C53" s="128" t="s">
        <v>169</v>
      </c>
      <c r="D53" s="128"/>
      <c r="E53" s="128" t="s">
        <v>156</v>
      </c>
      <c r="F53" s="414" t="s">
        <v>120</v>
      </c>
      <c r="G53" s="415"/>
      <c r="H53" s="415"/>
      <c r="I53" s="415"/>
      <c r="J53" s="415"/>
      <c r="K53" s="415"/>
      <c r="L53" s="415"/>
      <c r="M53" s="416"/>
      <c r="N53" s="127" t="s">
        <v>170</v>
      </c>
      <c r="O53" s="133" t="s">
        <v>171</v>
      </c>
      <c r="P53" s="426"/>
      <c r="Q53" s="427"/>
      <c r="R53" s="426" t="s">
        <v>185</v>
      </c>
      <c r="S53" s="428"/>
      <c r="T53" s="428"/>
      <c r="U53" s="427"/>
      <c r="V53" s="396" t="s">
        <v>184</v>
      </c>
      <c r="W53" s="396"/>
      <c r="X53" s="396"/>
      <c r="Y53" s="396"/>
      <c r="Z53" s="396"/>
      <c r="AA53" s="396"/>
      <c r="AB53" s="396"/>
      <c r="AC53" s="396"/>
      <c r="AD53" s="417"/>
    </row>
    <row r="54" spans="1:32" ht="27" customHeight="1">
      <c r="A54" s="412" t="s">
        <v>131</v>
      </c>
      <c r="B54" s="413"/>
      <c r="C54" s="140" t="s">
        <v>139</v>
      </c>
      <c r="D54" s="140"/>
      <c r="E54" s="140" t="s">
        <v>152</v>
      </c>
      <c r="F54" s="414" t="s">
        <v>137</v>
      </c>
      <c r="G54" s="415"/>
      <c r="H54" s="415"/>
      <c r="I54" s="415"/>
      <c r="J54" s="415"/>
      <c r="K54" s="415"/>
      <c r="L54" s="415"/>
      <c r="M54" s="416"/>
      <c r="N54" s="127" t="s">
        <v>170</v>
      </c>
      <c r="O54" s="133" t="s">
        <v>186</v>
      </c>
      <c r="P54" s="426"/>
      <c r="Q54" s="427"/>
      <c r="R54" s="426" t="s">
        <v>187</v>
      </c>
      <c r="S54" s="428"/>
      <c r="T54" s="428"/>
      <c r="U54" s="427"/>
      <c r="V54" s="396" t="s">
        <v>184</v>
      </c>
      <c r="W54" s="396"/>
      <c r="X54" s="396"/>
      <c r="Y54" s="396"/>
      <c r="Z54" s="396"/>
      <c r="AA54" s="396"/>
      <c r="AB54" s="396"/>
      <c r="AC54" s="396"/>
      <c r="AD54" s="417"/>
    </row>
    <row r="55" spans="1:32" ht="27" customHeight="1">
      <c r="A55" s="412" t="s">
        <v>170</v>
      </c>
      <c r="B55" s="413"/>
      <c r="C55" s="128" t="s">
        <v>171</v>
      </c>
      <c r="D55" s="128"/>
      <c r="E55" s="128" t="s">
        <v>172</v>
      </c>
      <c r="F55" s="414" t="s">
        <v>120</v>
      </c>
      <c r="G55" s="415"/>
      <c r="H55" s="415"/>
      <c r="I55" s="415"/>
      <c r="J55" s="415"/>
      <c r="K55" s="415"/>
      <c r="L55" s="415"/>
      <c r="M55" s="416"/>
      <c r="N55" s="127" t="s">
        <v>114</v>
      </c>
      <c r="O55" s="133" t="s">
        <v>175</v>
      </c>
      <c r="P55" s="426" t="s">
        <v>176</v>
      </c>
      <c r="Q55" s="427"/>
      <c r="R55" s="426" t="s">
        <v>177</v>
      </c>
      <c r="S55" s="428"/>
      <c r="T55" s="428"/>
      <c r="U55" s="427"/>
      <c r="V55" s="396" t="s">
        <v>137</v>
      </c>
      <c r="W55" s="396"/>
      <c r="X55" s="396"/>
      <c r="Y55" s="396"/>
      <c r="Z55" s="396"/>
      <c r="AA55" s="396"/>
      <c r="AB55" s="396"/>
      <c r="AC55" s="396"/>
      <c r="AD55" s="417"/>
    </row>
    <row r="56" spans="1:32" ht="27" customHeight="1">
      <c r="A56" s="412" t="s">
        <v>170</v>
      </c>
      <c r="B56" s="413"/>
      <c r="C56" s="128" t="s">
        <v>173</v>
      </c>
      <c r="D56" s="128"/>
      <c r="E56" s="140" t="s">
        <v>174</v>
      </c>
      <c r="F56" s="414" t="s">
        <v>120</v>
      </c>
      <c r="G56" s="415"/>
      <c r="H56" s="415"/>
      <c r="I56" s="415"/>
      <c r="J56" s="415"/>
      <c r="K56" s="415"/>
      <c r="L56" s="415"/>
      <c r="M56" s="416"/>
      <c r="N56" s="127"/>
      <c r="O56" s="133"/>
      <c r="P56" s="426"/>
      <c r="Q56" s="427"/>
      <c r="R56" s="413"/>
      <c r="S56" s="413"/>
      <c r="T56" s="413"/>
      <c r="U56" s="413"/>
      <c r="V56" s="396"/>
      <c r="W56" s="396"/>
      <c r="X56" s="396"/>
      <c r="Y56" s="396"/>
      <c r="Z56" s="396"/>
      <c r="AA56" s="396"/>
      <c r="AB56" s="396"/>
      <c r="AC56" s="396"/>
      <c r="AD56" s="417"/>
    </row>
    <row r="57" spans="1:32" ht="27" customHeight="1">
      <c r="A57" s="412" t="s">
        <v>114</v>
      </c>
      <c r="B57" s="413"/>
      <c r="C57" s="128" t="s">
        <v>175</v>
      </c>
      <c r="D57" s="128" t="s">
        <v>176</v>
      </c>
      <c r="E57" s="128" t="s">
        <v>177</v>
      </c>
      <c r="F57" s="414" t="s">
        <v>178</v>
      </c>
      <c r="G57" s="415"/>
      <c r="H57" s="415"/>
      <c r="I57" s="415"/>
      <c r="J57" s="415"/>
      <c r="K57" s="415"/>
      <c r="L57" s="415"/>
      <c r="M57" s="416"/>
      <c r="N57" s="127"/>
      <c r="O57" s="133"/>
      <c r="P57" s="426"/>
      <c r="Q57" s="427"/>
      <c r="R57" s="413"/>
      <c r="S57" s="413"/>
      <c r="T57" s="413"/>
      <c r="U57" s="413"/>
      <c r="V57" s="396"/>
      <c r="W57" s="396"/>
      <c r="X57" s="396"/>
      <c r="Y57" s="396"/>
      <c r="Z57" s="396"/>
      <c r="AA57" s="396"/>
      <c r="AB57" s="396"/>
      <c r="AC57" s="396"/>
      <c r="AD57" s="417"/>
    </row>
    <row r="58" spans="1:32" ht="27" customHeight="1">
      <c r="A58" s="412"/>
      <c r="B58" s="413"/>
      <c r="C58" s="128"/>
      <c r="D58" s="128"/>
      <c r="E58" s="128"/>
      <c r="F58" s="414"/>
      <c r="G58" s="415"/>
      <c r="H58" s="415"/>
      <c r="I58" s="415"/>
      <c r="J58" s="415"/>
      <c r="K58" s="415"/>
      <c r="L58" s="415"/>
      <c r="M58" s="416"/>
      <c r="N58" s="127"/>
      <c r="O58" s="133"/>
      <c r="P58" s="426"/>
      <c r="Q58" s="427"/>
      <c r="R58" s="413"/>
      <c r="S58" s="413"/>
      <c r="T58" s="413"/>
      <c r="U58" s="413"/>
      <c r="V58" s="396"/>
      <c r="W58" s="396"/>
      <c r="X58" s="396"/>
      <c r="Y58" s="396"/>
      <c r="Z58" s="396"/>
      <c r="AA58" s="396"/>
      <c r="AB58" s="396"/>
      <c r="AC58" s="396"/>
      <c r="AD58" s="417"/>
    </row>
    <row r="59" spans="1:32" ht="27" customHeight="1">
      <c r="A59" s="412"/>
      <c r="B59" s="413"/>
      <c r="C59" s="128"/>
      <c r="D59" s="128"/>
      <c r="E59" s="128"/>
      <c r="F59" s="414"/>
      <c r="G59" s="415"/>
      <c r="H59" s="415"/>
      <c r="I59" s="415"/>
      <c r="J59" s="415"/>
      <c r="K59" s="415"/>
      <c r="L59" s="415"/>
      <c r="M59" s="416"/>
      <c r="N59" s="127"/>
      <c r="O59" s="133"/>
      <c r="P59" s="413"/>
      <c r="Q59" s="413"/>
      <c r="R59" s="413"/>
      <c r="S59" s="413"/>
      <c r="T59" s="413"/>
      <c r="U59" s="413"/>
      <c r="V59" s="396"/>
      <c r="W59" s="396"/>
      <c r="X59" s="396"/>
      <c r="Y59" s="396"/>
      <c r="Z59" s="396"/>
      <c r="AA59" s="396"/>
      <c r="AB59" s="396"/>
      <c r="AC59" s="396"/>
      <c r="AD59" s="417"/>
      <c r="AF59" s="87">
        <f>8*3000</f>
        <v>24000</v>
      </c>
    </row>
    <row r="60" spans="1:32" ht="27" customHeight="1" thickBot="1">
      <c r="A60" s="418"/>
      <c r="B60" s="419"/>
      <c r="C60" s="129"/>
      <c r="D60" s="130"/>
      <c r="E60" s="130"/>
      <c r="F60" s="420"/>
      <c r="G60" s="421"/>
      <c r="H60" s="421"/>
      <c r="I60" s="421"/>
      <c r="J60" s="421"/>
      <c r="K60" s="421"/>
      <c r="L60" s="421"/>
      <c r="M60" s="422"/>
      <c r="N60" s="124"/>
      <c r="O60" s="114"/>
      <c r="P60" s="423"/>
      <c r="Q60" s="423"/>
      <c r="R60" s="423"/>
      <c r="S60" s="423"/>
      <c r="T60" s="423"/>
      <c r="U60" s="423"/>
      <c r="V60" s="424"/>
      <c r="W60" s="424"/>
      <c r="X60" s="424"/>
      <c r="Y60" s="424"/>
      <c r="Z60" s="424"/>
      <c r="AA60" s="424"/>
      <c r="AB60" s="424"/>
      <c r="AC60" s="424"/>
      <c r="AD60" s="425"/>
      <c r="AF60" s="87">
        <f>16*3000</f>
        <v>48000</v>
      </c>
    </row>
    <row r="61" spans="1:32" ht="27.75" thickBot="1">
      <c r="A61" s="410" t="s">
        <v>188</v>
      </c>
      <c r="B61" s="410"/>
      <c r="C61" s="410"/>
      <c r="D61" s="410"/>
      <c r="E61" s="410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1" t="s">
        <v>113</v>
      </c>
      <c r="B62" s="406"/>
      <c r="C62" s="131" t="s">
        <v>2</v>
      </c>
      <c r="D62" s="131" t="s">
        <v>37</v>
      </c>
      <c r="E62" s="131" t="s">
        <v>3</v>
      </c>
      <c r="F62" s="406" t="s">
        <v>110</v>
      </c>
      <c r="G62" s="406"/>
      <c r="H62" s="406"/>
      <c r="I62" s="406"/>
      <c r="J62" s="406"/>
      <c r="K62" s="406" t="s">
        <v>39</v>
      </c>
      <c r="L62" s="406"/>
      <c r="M62" s="131" t="s">
        <v>40</v>
      </c>
      <c r="N62" s="406" t="s">
        <v>41</v>
      </c>
      <c r="O62" s="406"/>
      <c r="P62" s="403" t="s">
        <v>42</v>
      </c>
      <c r="Q62" s="405"/>
      <c r="R62" s="403" t="s">
        <v>43</v>
      </c>
      <c r="S62" s="404"/>
      <c r="T62" s="404"/>
      <c r="U62" s="404"/>
      <c r="V62" s="404"/>
      <c r="W62" s="404"/>
      <c r="X62" s="404"/>
      <c r="Y62" s="404"/>
      <c r="Z62" s="404"/>
      <c r="AA62" s="405"/>
      <c r="AB62" s="406" t="s">
        <v>44</v>
      </c>
      <c r="AC62" s="406"/>
      <c r="AD62" s="407"/>
      <c r="AF62" s="87">
        <f>SUM(AF59:AF61)</f>
        <v>96000</v>
      </c>
    </row>
    <row r="63" spans="1:32" ht="25.5" customHeight="1">
      <c r="A63" s="389">
        <v>1</v>
      </c>
      <c r="B63" s="390"/>
      <c r="C63" s="117" t="s">
        <v>131</v>
      </c>
      <c r="D63" s="135"/>
      <c r="E63" s="132"/>
      <c r="F63" s="391" t="s">
        <v>189</v>
      </c>
      <c r="G63" s="383"/>
      <c r="H63" s="383"/>
      <c r="I63" s="383"/>
      <c r="J63" s="383"/>
      <c r="K63" s="383" t="s">
        <v>121</v>
      </c>
      <c r="L63" s="383"/>
      <c r="M63" s="51" t="s">
        <v>154</v>
      </c>
      <c r="N63" s="401" t="s">
        <v>130</v>
      </c>
      <c r="O63" s="401"/>
      <c r="P63" s="402">
        <v>200</v>
      </c>
      <c r="Q63" s="402"/>
      <c r="R63" s="396" t="s">
        <v>190</v>
      </c>
      <c r="S63" s="396"/>
      <c r="T63" s="396"/>
      <c r="U63" s="396"/>
      <c r="V63" s="396"/>
      <c r="W63" s="396"/>
      <c r="X63" s="396"/>
      <c r="Y63" s="396"/>
      <c r="Z63" s="396"/>
      <c r="AA63" s="396"/>
      <c r="AB63" s="400"/>
      <c r="AC63" s="408"/>
      <c r="AD63" s="409"/>
      <c r="AF63" s="50"/>
    </row>
    <row r="64" spans="1:32" ht="25.5" customHeight="1">
      <c r="A64" s="389">
        <v>2</v>
      </c>
      <c r="B64" s="390"/>
      <c r="C64" s="117" t="s">
        <v>193</v>
      </c>
      <c r="D64" s="135"/>
      <c r="E64" s="132" t="s">
        <v>176</v>
      </c>
      <c r="F64" s="391" t="s">
        <v>191</v>
      </c>
      <c r="G64" s="383"/>
      <c r="H64" s="383"/>
      <c r="I64" s="383"/>
      <c r="J64" s="383"/>
      <c r="K64" s="383" t="s">
        <v>121</v>
      </c>
      <c r="L64" s="383"/>
      <c r="M64" s="51" t="s">
        <v>192</v>
      </c>
      <c r="N64" s="401" t="s">
        <v>175</v>
      </c>
      <c r="O64" s="401"/>
      <c r="P64" s="402">
        <v>200</v>
      </c>
      <c r="Q64" s="402"/>
      <c r="R64" s="396" t="s">
        <v>194</v>
      </c>
      <c r="S64" s="396"/>
      <c r="T64" s="396"/>
      <c r="U64" s="396"/>
      <c r="V64" s="396"/>
      <c r="W64" s="396"/>
      <c r="X64" s="396"/>
      <c r="Y64" s="396"/>
      <c r="Z64" s="396"/>
      <c r="AA64" s="396"/>
      <c r="AB64" s="383"/>
      <c r="AC64" s="383"/>
      <c r="AD64" s="384"/>
      <c r="AF64" s="50"/>
    </row>
    <row r="65" spans="1:32" ht="25.5" customHeight="1">
      <c r="A65" s="389">
        <v>3</v>
      </c>
      <c r="B65" s="390"/>
      <c r="C65" s="117"/>
      <c r="D65" s="135"/>
      <c r="E65" s="132"/>
      <c r="F65" s="397"/>
      <c r="G65" s="398"/>
      <c r="H65" s="398"/>
      <c r="I65" s="398"/>
      <c r="J65" s="399"/>
      <c r="K65" s="383"/>
      <c r="L65" s="383"/>
      <c r="M65" s="51"/>
      <c r="N65" s="401"/>
      <c r="O65" s="401"/>
      <c r="P65" s="402"/>
      <c r="Q65" s="402"/>
      <c r="R65" s="396"/>
      <c r="S65" s="396"/>
      <c r="T65" s="396"/>
      <c r="U65" s="396"/>
      <c r="V65" s="396"/>
      <c r="W65" s="396"/>
      <c r="X65" s="396"/>
      <c r="Y65" s="396"/>
      <c r="Z65" s="396"/>
      <c r="AA65" s="396"/>
      <c r="AB65" s="383"/>
      <c r="AC65" s="383"/>
      <c r="AD65" s="384"/>
      <c r="AF65" s="50"/>
    </row>
    <row r="66" spans="1:32" ht="25.5" customHeight="1">
      <c r="A66" s="389">
        <v>4</v>
      </c>
      <c r="B66" s="390"/>
      <c r="C66" s="117"/>
      <c r="D66" s="135"/>
      <c r="E66" s="132"/>
      <c r="F66" s="397"/>
      <c r="G66" s="398"/>
      <c r="H66" s="398"/>
      <c r="I66" s="398"/>
      <c r="J66" s="399"/>
      <c r="K66" s="383"/>
      <c r="L66" s="383"/>
      <c r="M66" s="51"/>
      <c r="N66" s="401"/>
      <c r="O66" s="401"/>
      <c r="P66" s="402"/>
      <c r="Q66" s="402"/>
      <c r="R66" s="396"/>
      <c r="S66" s="396"/>
      <c r="T66" s="396"/>
      <c r="U66" s="396"/>
      <c r="V66" s="396"/>
      <c r="W66" s="396"/>
      <c r="X66" s="396"/>
      <c r="Y66" s="396"/>
      <c r="Z66" s="396"/>
      <c r="AA66" s="396"/>
      <c r="AB66" s="383"/>
      <c r="AC66" s="383"/>
      <c r="AD66" s="384"/>
      <c r="AF66" s="50"/>
    </row>
    <row r="67" spans="1:32" ht="25.5" customHeight="1">
      <c r="A67" s="389">
        <v>5</v>
      </c>
      <c r="B67" s="390"/>
      <c r="C67" s="117"/>
      <c r="D67" s="135"/>
      <c r="E67" s="132"/>
      <c r="F67" s="397"/>
      <c r="G67" s="398"/>
      <c r="H67" s="398"/>
      <c r="I67" s="398"/>
      <c r="J67" s="399"/>
      <c r="K67" s="400"/>
      <c r="L67" s="390"/>
      <c r="M67" s="51"/>
      <c r="N67" s="401"/>
      <c r="O67" s="401"/>
      <c r="P67" s="402"/>
      <c r="Q67" s="402"/>
      <c r="R67" s="396"/>
      <c r="S67" s="396"/>
      <c r="T67" s="396"/>
      <c r="U67" s="396"/>
      <c r="V67" s="396"/>
      <c r="W67" s="396"/>
      <c r="X67" s="396"/>
      <c r="Y67" s="396"/>
      <c r="Z67" s="396"/>
      <c r="AA67" s="396"/>
      <c r="AB67" s="383"/>
      <c r="AC67" s="383"/>
      <c r="AD67" s="384"/>
      <c r="AF67" s="50"/>
    </row>
    <row r="68" spans="1:32" ht="25.5" customHeight="1">
      <c r="A68" s="389">
        <v>6</v>
      </c>
      <c r="B68" s="390"/>
      <c r="C68" s="117"/>
      <c r="D68" s="135"/>
      <c r="E68" s="132"/>
      <c r="F68" s="391"/>
      <c r="G68" s="383"/>
      <c r="H68" s="383"/>
      <c r="I68" s="383"/>
      <c r="J68" s="383"/>
      <c r="K68" s="383"/>
      <c r="L68" s="383"/>
      <c r="M68" s="51"/>
      <c r="N68" s="392"/>
      <c r="O68" s="393"/>
      <c r="P68" s="394"/>
      <c r="Q68" s="395"/>
      <c r="R68" s="396"/>
      <c r="S68" s="396"/>
      <c r="T68" s="396"/>
      <c r="U68" s="396"/>
      <c r="V68" s="396"/>
      <c r="W68" s="396"/>
      <c r="X68" s="396"/>
      <c r="Y68" s="396"/>
      <c r="Z68" s="396"/>
      <c r="AA68" s="396"/>
      <c r="AB68" s="383"/>
      <c r="AC68" s="383"/>
      <c r="AD68" s="384"/>
      <c r="AF68" s="50"/>
    </row>
    <row r="69" spans="1:32" ht="25.5" customHeight="1">
      <c r="A69" s="389">
        <v>7</v>
      </c>
      <c r="B69" s="390"/>
      <c r="C69" s="117"/>
      <c r="D69" s="135"/>
      <c r="E69" s="132"/>
      <c r="F69" s="391"/>
      <c r="G69" s="383"/>
      <c r="H69" s="383"/>
      <c r="I69" s="383"/>
      <c r="J69" s="383"/>
      <c r="K69" s="383"/>
      <c r="L69" s="383"/>
      <c r="M69" s="51"/>
      <c r="N69" s="392"/>
      <c r="O69" s="393"/>
      <c r="P69" s="394"/>
      <c r="Q69" s="395"/>
      <c r="R69" s="396"/>
      <c r="S69" s="396"/>
      <c r="T69" s="396"/>
      <c r="U69" s="396"/>
      <c r="V69" s="396"/>
      <c r="W69" s="396"/>
      <c r="X69" s="396"/>
      <c r="Y69" s="396"/>
      <c r="Z69" s="396"/>
      <c r="AA69" s="396"/>
      <c r="AB69" s="383"/>
      <c r="AC69" s="383"/>
      <c r="AD69" s="384"/>
      <c r="AF69" s="50"/>
    </row>
    <row r="70" spans="1:32" ht="25.5" customHeight="1">
      <c r="A70" s="389">
        <v>8</v>
      </c>
      <c r="B70" s="390"/>
      <c r="C70" s="117"/>
      <c r="D70" s="135"/>
      <c r="E70" s="132"/>
      <c r="F70" s="391"/>
      <c r="G70" s="383"/>
      <c r="H70" s="383"/>
      <c r="I70" s="383"/>
      <c r="J70" s="383"/>
      <c r="K70" s="383"/>
      <c r="L70" s="383"/>
      <c r="M70" s="51"/>
      <c r="N70" s="392"/>
      <c r="O70" s="393"/>
      <c r="P70" s="394"/>
      <c r="Q70" s="395"/>
      <c r="R70" s="396"/>
      <c r="S70" s="396"/>
      <c r="T70" s="396"/>
      <c r="U70" s="396"/>
      <c r="V70" s="396"/>
      <c r="W70" s="396"/>
      <c r="X70" s="396"/>
      <c r="Y70" s="396"/>
      <c r="Z70" s="396"/>
      <c r="AA70" s="396"/>
      <c r="AB70" s="383"/>
      <c r="AC70" s="383"/>
      <c r="AD70" s="384"/>
      <c r="AF70" s="50"/>
    </row>
    <row r="71" spans="1:32" ht="26.25" customHeight="1" thickBot="1">
      <c r="A71" s="363" t="s">
        <v>195</v>
      </c>
      <c r="B71" s="363"/>
      <c r="C71" s="363"/>
      <c r="D71" s="363"/>
      <c r="E71" s="363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64" t="s">
        <v>113</v>
      </c>
      <c r="B72" s="365"/>
      <c r="C72" s="134" t="s">
        <v>2</v>
      </c>
      <c r="D72" s="134" t="s">
        <v>37</v>
      </c>
      <c r="E72" s="134" t="s">
        <v>3</v>
      </c>
      <c r="F72" s="365" t="s">
        <v>38</v>
      </c>
      <c r="G72" s="365"/>
      <c r="H72" s="365"/>
      <c r="I72" s="365"/>
      <c r="J72" s="365"/>
      <c r="K72" s="385" t="s">
        <v>58</v>
      </c>
      <c r="L72" s="386"/>
      <c r="M72" s="386"/>
      <c r="N72" s="386"/>
      <c r="O72" s="386"/>
      <c r="P72" s="386"/>
      <c r="Q72" s="386"/>
      <c r="R72" s="386"/>
      <c r="S72" s="387"/>
      <c r="T72" s="365" t="s">
        <v>49</v>
      </c>
      <c r="U72" s="365"/>
      <c r="V72" s="385" t="s">
        <v>50</v>
      </c>
      <c r="W72" s="387"/>
      <c r="X72" s="386" t="s">
        <v>51</v>
      </c>
      <c r="Y72" s="386"/>
      <c r="Z72" s="386"/>
      <c r="AA72" s="386"/>
      <c r="AB72" s="386"/>
      <c r="AC72" s="386"/>
      <c r="AD72" s="388"/>
      <c r="AF72" s="50"/>
    </row>
    <row r="73" spans="1:32" ht="33.75" customHeight="1">
      <c r="A73" s="357">
        <v>1</v>
      </c>
      <c r="B73" s="358"/>
      <c r="C73" s="136" t="s">
        <v>114</v>
      </c>
      <c r="D73" s="136"/>
      <c r="E73" s="65" t="s">
        <v>119</v>
      </c>
      <c r="F73" s="372" t="s">
        <v>118</v>
      </c>
      <c r="G73" s="373"/>
      <c r="H73" s="373"/>
      <c r="I73" s="373"/>
      <c r="J73" s="374"/>
      <c r="K73" s="375" t="s">
        <v>128</v>
      </c>
      <c r="L73" s="376"/>
      <c r="M73" s="376"/>
      <c r="N73" s="376"/>
      <c r="O73" s="376"/>
      <c r="P73" s="376"/>
      <c r="Q73" s="376"/>
      <c r="R73" s="376"/>
      <c r="S73" s="377"/>
      <c r="T73" s="378">
        <v>43675</v>
      </c>
      <c r="U73" s="379"/>
      <c r="V73" s="380"/>
      <c r="W73" s="380"/>
      <c r="X73" s="381"/>
      <c r="Y73" s="381"/>
      <c r="Z73" s="381"/>
      <c r="AA73" s="381"/>
      <c r="AB73" s="381"/>
      <c r="AC73" s="381"/>
      <c r="AD73" s="382"/>
      <c r="AF73" s="50"/>
    </row>
    <row r="74" spans="1:32" ht="30" customHeight="1">
      <c r="A74" s="350">
        <f>A73+1</f>
        <v>2</v>
      </c>
      <c r="B74" s="351"/>
      <c r="C74" s="135"/>
      <c r="D74" s="135"/>
      <c r="E74" s="32"/>
      <c r="F74" s="351"/>
      <c r="G74" s="351"/>
      <c r="H74" s="351"/>
      <c r="I74" s="351"/>
      <c r="J74" s="351"/>
      <c r="K74" s="366"/>
      <c r="L74" s="367"/>
      <c r="M74" s="367"/>
      <c r="N74" s="367"/>
      <c r="O74" s="367"/>
      <c r="P74" s="367"/>
      <c r="Q74" s="367"/>
      <c r="R74" s="367"/>
      <c r="S74" s="368"/>
      <c r="T74" s="369"/>
      <c r="U74" s="369"/>
      <c r="V74" s="369"/>
      <c r="W74" s="369"/>
      <c r="X74" s="370"/>
      <c r="Y74" s="370"/>
      <c r="Z74" s="370"/>
      <c r="AA74" s="370"/>
      <c r="AB74" s="370"/>
      <c r="AC74" s="370"/>
      <c r="AD74" s="371"/>
      <c r="AF74" s="50"/>
    </row>
    <row r="75" spans="1:32" ht="30" customHeight="1">
      <c r="A75" s="350">
        <f t="shared" ref="A75:A81" si="14">A74+1</f>
        <v>3</v>
      </c>
      <c r="B75" s="351"/>
      <c r="C75" s="135"/>
      <c r="D75" s="135"/>
      <c r="E75" s="32"/>
      <c r="F75" s="351"/>
      <c r="G75" s="351"/>
      <c r="H75" s="351"/>
      <c r="I75" s="351"/>
      <c r="J75" s="351"/>
      <c r="K75" s="366"/>
      <c r="L75" s="367"/>
      <c r="M75" s="367"/>
      <c r="N75" s="367"/>
      <c r="O75" s="367"/>
      <c r="P75" s="367"/>
      <c r="Q75" s="367"/>
      <c r="R75" s="367"/>
      <c r="S75" s="368"/>
      <c r="T75" s="369"/>
      <c r="U75" s="369"/>
      <c r="V75" s="369"/>
      <c r="W75" s="369"/>
      <c r="X75" s="370"/>
      <c r="Y75" s="370"/>
      <c r="Z75" s="370"/>
      <c r="AA75" s="370"/>
      <c r="AB75" s="370"/>
      <c r="AC75" s="370"/>
      <c r="AD75" s="371"/>
      <c r="AF75" s="50"/>
    </row>
    <row r="76" spans="1:32" ht="30" customHeight="1">
      <c r="A76" s="350">
        <f t="shared" si="14"/>
        <v>4</v>
      </c>
      <c r="B76" s="351"/>
      <c r="C76" s="135"/>
      <c r="D76" s="135"/>
      <c r="E76" s="32"/>
      <c r="F76" s="351"/>
      <c r="G76" s="351"/>
      <c r="H76" s="351"/>
      <c r="I76" s="351"/>
      <c r="J76" s="351"/>
      <c r="K76" s="366"/>
      <c r="L76" s="367"/>
      <c r="M76" s="367"/>
      <c r="N76" s="367"/>
      <c r="O76" s="367"/>
      <c r="P76" s="367"/>
      <c r="Q76" s="367"/>
      <c r="R76" s="367"/>
      <c r="S76" s="368"/>
      <c r="T76" s="369"/>
      <c r="U76" s="369"/>
      <c r="V76" s="369"/>
      <c r="W76" s="369"/>
      <c r="X76" s="370"/>
      <c r="Y76" s="370"/>
      <c r="Z76" s="370"/>
      <c r="AA76" s="370"/>
      <c r="AB76" s="370"/>
      <c r="AC76" s="370"/>
      <c r="AD76" s="371"/>
      <c r="AF76" s="50"/>
    </row>
    <row r="77" spans="1:32" ht="30" customHeight="1">
      <c r="A77" s="350">
        <f t="shared" si="14"/>
        <v>5</v>
      </c>
      <c r="B77" s="351"/>
      <c r="C77" s="135"/>
      <c r="D77" s="135"/>
      <c r="E77" s="32"/>
      <c r="F77" s="351"/>
      <c r="G77" s="351"/>
      <c r="H77" s="351"/>
      <c r="I77" s="351"/>
      <c r="J77" s="351"/>
      <c r="K77" s="366"/>
      <c r="L77" s="367"/>
      <c r="M77" s="367"/>
      <c r="N77" s="367"/>
      <c r="O77" s="367"/>
      <c r="P77" s="367"/>
      <c r="Q77" s="367"/>
      <c r="R77" s="367"/>
      <c r="S77" s="368"/>
      <c r="T77" s="369"/>
      <c r="U77" s="369"/>
      <c r="V77" s="369"/>
      <c r="W77" s="369"/>
      <c r="X77" s="370"/>
      <c r="Y77" s="370"/>
      <c r="Z77" s="370"/>
      <c r="AA77" s="370"/>
      <c r="AB77" s="370"/>
      <c r="AC77" s="370"/>
      <c r="AD77" s="371"/>
      <c r="AF77" s="50"/>
    </row>
    <row r="78" spans="1:32" ht="30" customHeight="1">
      <c r="A78" s="350">
        <f t="shared" si="14"/>
        <v>6</v>
      </c>
      <c r="B78" s="351"/>
      <c r="C78" s="135"/>
      <c r="D78" s="135"/>
      <c r="E78" s="32"/>
      <c r="F78" s="351"/>
      <c r="G78" s="351"/>
      <c r="H78" s="351"/>
      <c r="I78" s="351"/>
      <c r="J78" s="351"/>
      <c r="K78" s="366"/>
      <c r="L78" s="367"/>
      <c r="M78" s="367"/>
      <c r="N78" s="367"/>
      <c r="O78" s="367"/>
      <c r="P78" s="367"/>
      <c r="Q78" s="367"/>
      <c r="R78" s="367"/>
      <c r="S78" s="368"/>
      <c r="T78" s="369"/>
      <c r="U78" s="369"/>
      <c r="V78" s="369"/>
      <c r="W78" s="369"/>
      <c r="X78" s="370"/>
      <c r="Y78" s="370"/>
      <c r="Z78" s="370"/>
      <c r="AA78" s="370"/>
      <c r="AB78" s="370"/>
      <c r="AC78" s="370"/>
      <c r="AD78" s="371"/>
      <c r="AF78" s="50"/>
    </row>
    <row r="79" spans="1:32" ht="30" customHeight="1">
      <c r="A79" s="350">
        <f t="shared" si="14"/>
        <v>7</v>
      </c>
      <c r="B79" s="351"/>
      <c r="C79" s="135"/>
      <c r="D79" s="135"/>
      <c r="E79" s="32"/>
      <c r="F79" s="351"/>
      <c r="G79" s="351"/>
      <c r="H79" s="351"/>
      <c r="I79" s="351"/>
      <c r="J79" s="351"/>
      <c r="K79" s="366"/>
      <c r="L79" s="367"/>
      <c r="M79" s="367"/>
      <c r="N79" s="367"/>
      <c r="O79" s="367"/>
      <c r="P79" s="367"/>
      <c r="Q79" s="367"/>
      <c r="R79" s="367"/>
      <c r="S79" s="368"/>
      <c r="T79" s="369"/>
      <c r="U79" s="369"/>
      <c r="V79" s="369"/>
      <c r="W79" s="369"/>
      <c r="X79" s="370"/>
      <c r="Y79" s="370"/>
      <c r="Z79" s="370"/>
      <c r="AA79" s="370"/>
      <c r="AB79" s="370"/>
      <c r="AC79" s="370"/>
      <c r="AD79" s="371"/>
      <c r="AF79" s="50"/>
    </row>
    <row r="80" spans="1:32" ht="30" customHeight="1">
      <c r="A80" s="350">
        <f t="shared" si="14"/>
        <v>8</v>
      </c>
      <c r="B80" s="351"/>
      <c r="C80" s="135"/>
      <c r="D80" s="135"/>
      <c r="E80" s="32"/>
      <c r="F80" s="351"/>
      <c r="G80" s="351"/>
      <c r="H80" s="351"/>
      <c r="I80" s="351"/>
      <c r="J80" s="351"/>
      <c r="K80" s="366"/>
      <c r="L80" s="367"/>
      <c r="M80" s="367"/>
      <c r="N80" s="367"/>
      <c r="O80" s="367"/>
      <c r="P80" s="367"/>
      <c r="Q80" s="367"/>
      <c r="R80" s="367"/>
      <c r="S80" s="368"/>
      <c r="T80" s="369"/>
      <c r="U80" s="369"/>
      <c r="V80" s="369"/>
      <c r="W80" s="369"/>
      <c r="X80" s="370"/>
      <c r="Y80" s="370"/>
      <c r="Z80" s="370"/>
      <c r="AA80" s="370"/>
      <c r="AB80" s="370"/>
      <c r="AC80" s="370"/>
      <c r="AD80" s="371"/>
      <c r="AF80" s="50"/>
    </row>
    <row r="81" spans="1:32" ht="30" customHeight="1">
      <c r="A81" s="350">
        <f t="shared" si="14"/>
        <v>9</v>
      </c>
      <c r="B81" s="351"/>
      <c r="C81" s="135"/>
      <c r="D81" s="135"/>
      <c r="E81" s="32"/>
      <c r="F81" s="351"/>
      <c r="G81" s="351"/>
      <c r="H81" s="351"/>
      <c r="I81" s="351"/>
      <c r="J81" s="351"/>
      <c r="K81" s="366"/>
      <c r="L81" s="367"/>
      <c r="M81" s="367"/>
      <c r="N81" s="367"/>
      <c r="O81" s="367"/>
      <c r="P81" s="367"/>
      <c r="Q81" s="367"/>
      <c r="R81" s="367"/>
      <c r="S81" s="368"/>
      <c r="T81" s="369"/>
      <c r="U81" s="369"/>
      <c r="V81" s="369"/>
      <c r="W81" s="369"/>
      <c r="X81" s="370"/>
      <c r="Y81" s="370"/>
      <c r="Z81" s="370"/>
      <c r="AA81" s="370"/>
      <c r="AB81" s="370"/>
      <c r="AC81" s="370"/>
      <c r="AD81" s="371"/>
      <c r="AF81" s="50"/>
    </row>
    <row r="82" spans="1:32" ht="36" thickBot="1">
      <c r="A82" s="363" t="s">
        <v>196</v>
      </c>
      <c r="B82" s="363"/>
      <c r="C82" s="363"/>
      <c r="D82" s="363"/>
      <c r="E82" s="363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64" t="s">
        <v>113</v>
      </c>
      <c r="B83" s="365"/>
      <c r="C83" s="355" t="s">
        <v>52</v>
      </c>
      <c r="D83" s="355"/>
      <c r="E83" s="355" t="s">
        <v>53</v>
      </c>
      <c r="F83" s="355"/>
      <c r="G83" s="355"/>
      <c r="H83" s="355"/>
      <c r="I83" s="355"/>
      <c r="J83" s="355"/>
      <c r="K83" s="355" t="s">
        <v>54</v>
      </c>
      <c r="L83" s="355"/>
      <c r="M83" s="355"/>
      <c r="N83" s="355"/>
      <c r="O83" s="355"/>
      <c r="P83" s="355"/>
      <c r="Q83" s="355"/>
      <c r="R83" s="355"/>
      <c r="S83" s="355"/>
      <c r="T83" s="355" t="s">
        <v>55</v>
      </c>
      <c r="U83" s="355"/>
      <c r="V83" s="355" t="s">
        <v>56</v>
      </c>
      <c r="W83" s="355"/>
      <c r="X83" s="355"/>
      <c r="Y83" s="355" t="s">
        <v>51</v>
      </c>
      <c r="Z83" s="355"/>
      <c r="AA83" s="355"/>
      <c r="AB83" s="355"/>
      <c r="AC83" s="355"/>
      <c r="AD83" s="356"/>
      <c r="AF83" s="50"/>
    </row>
    <row r="84" spans="1:32" ht="30.75" customHeight="1">
      <c r="A84" s="357">
        <v>1</v>
      </c>
      <c r="B84" s="358"/>
      <c r="C84" s="359"/>
      <c r="D84" s="359"/>
      <c r="E84" s="359"/>
      <c r="F84" s="359"/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/>
      <c r="R84" s="359"/>
      <c r="S84" s="359"/>
      <c r="T84" s="359"/>
      <c r="U84" s="359"/>
      <c r="V84" s="360"/>
      <c r="W84" s="360"/>
      <c r="X84" s="360"/>
      <c r="Y84" s="361"/>
      <c r="Z84" s="361"/>
      <c r="AA84" s="361"/>
      <c r="AB84" s="361"/>
      <c r="AC84" s="361"/>
      <c r="AD84" s="362"/>
      <c r="AF84" s="50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0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9F97-30F7-4204-BBEE-8D1CF80CD62D}">
  <dimension ref="A1:AF87"/>
  <sheetViews>
    <sheetView zoomScale="72" zoomScaleNormal="72" zoomScaleSheetLayoutView="70" workbookViewId="0">
      <selection activeCell="A11" sqref="A11:XFD1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58" t="s">
        <v>197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8"/>
      <c r="B2" s="458"/>
      <c r="C2" s="458"/>
      <c r="D2" s="458"/>
      <c r="E2" s="458"/>
      <c r="F2" s="458"/>
      <c r="G2" s="458"/>
      <c r="H2" s="458"/>
      <c r="I2" s="458"/>
      <c r="J2" s="458"/>
      <c r="K2" s="458"/>
      <c r="L2" s="458"/>
      <c r="M2" s="458"/>
      <c r="N2" s="458"/>
      <c r="O2" s="45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9"/>
      <c r="B3" s="459"/>
      <c r="C3" s="459"/>
      <c r="D3" s="459"/>
      <c r="E3" s="459"/>
      <c r="F3" s="459"/>
      <c r="G3" s="45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0" t="s">
        <v>0</v>
      </c>
      <c r="B4" s="462" t="s">
        <v>1</v>
      </c>
      <c r="C4" s="462" t="s">
        <v>2</v>
      </c>
      <c r="D4" s="465" t="s">
        <v>3</v>
      </c>
      <c r="E4" s="467" t="s">
        <v>4</v>
      </c>
      <c r="F4" s="465" t="s">
        <v>5</v>
      </c>
      <c r="G4" s="462" t="s">
        <v>6</v>
      </c>
      <c r="H4" s="468" t="s">
        <v>7</v>
      </c>
      <c r="I4" s="448" t="s">
        <v>8</v>
      </c>
      <c r="J4" s="449"/>
      <c r="K4" s="449"/>
      <c r="L4" s="449"/>
      <c r="M4" s="449"/>
      <c r="N4" s="449"/>
      <c r="O4" s="450"/>
      <c r="P4" s="451" t="s">
        <v>9</v>
      </c>
      <c r="Q4" s="452"/>
      <c r="R4" s="453" t="s">
        <v>10</v>
      </c>
      <c r="S4" s="453"/>
      <c r="T4" s="453"/>
      <c r="U4" s="453"/>
      <c r="V4" s="453"/>
      <c r="W4" s="454" t="s">
        <v>11</v>
      </c>
      <c r="X4" s="453"/>
      <c r="Y4" s="453"/>
      <c r="Z4" s="453"/>
      <c r="AA4" s="455"/>
      <c r="AB4" s="456" t="s">
        <v>12</v>
      </c>
      <c r="AC4" s="429" t="s">
        <v>13</v>
      </c>
      <c r="AD4" s="429" t="s">
        <v>14</v>
      </c>
      <c r="AE4" s="54"/>
    </row>
    <row r="5" spans="1:32" ht="51" customHeight="1" thickBot="1">
      <c r="A5" s="461"/>
      <c r="B5" s="463"/>
      <c r="C5" s="464"/>
      <c r="D5" s="466"/>
      <c r="E5" s="466"/>
      <c r="F5" s="466"/>
      <c r="G5" s="463"/>
      <c r="H5" s="469"/>
      <c r="I5" s="55" t="s">
        <v>15</v>
      </c>
      <c r="J5" s="56" t="s">
        <v>16</v>
      </c>
      <c r="K5" s="137" t="s">
        <v>17</v>
      </c>
      <c r="L5" s="137" t="s">
        <v>18</v>
      </c>
      <c r="M5" s="137" t="s">
        <v>19</v>
      </c>
      <c r="N5" s="13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57"/>
      <c r="AC5" s="430"/>
      <c r="AD5" s="43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0.31666666666666665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126</v>
      </c>
      <c r="D7" s="52" t="s">
        <v>127</v>
      </c>
      <c r="E7" s="53" t="s">
        <v>125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0.31666666666666665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123</v>
      </c>
      <c r="D8" s="52" t="s">
        <v>146</v>
      </c>
      <c r="E8" s="53" t="s">
        <v>151</v>
      </c>
      <c r="F8" s="30" t="s">
        <v>140</v>
      </c>
      <c r="G8" s="33">
        <v>2</v>
      </c>
      <c r="H8" s="35">
        <v>24</v>
      </c>
      <c r="I8" s="7">
        <v>2000</v>
      </c>
      <c r="J8" s="14">
        <v>7228</v>
      </c>
      <c r="K8" s="15">
        <f>L8+7228</f>
        <v>7228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0.31666666666666665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133</v>
      </c>
      <c r="E9" s="53" t="s">
        <v>135</v>
      </c>
      <c r="F9" s="30" t="s">
        <v>124</v>
      </c>
      <c r="G9" s="33">
        <v>1</v>
      </c>
      <c r="H9" s="35">
        <v>24</v>
      </c>
      <c r="I9" s="7">
        <v>140000</v>
      </c>
      <c r="J9" s="14">
        <v>849</v>
      </c>
      <c r="K9" s="15">
        <f>L9+1036+2500+4639+2951+2392+2902+2784+3566+4110+4299+4289+1910+4734+4854+3892+4611+3795+5160+1762+3528+5214+2558+4569+2950+2156+1926+2008+4959+2003+5012+1587+3659+4383+3050+1774+2365+4990+1951+2870+4719+4021+1991+2339+4564+1209+2580+4170+4218+1852+4150+3691+452+2336+4213+3072+3089+2806+2527+366+3419+3294+2446</f>
        <v>198071</v>
      </c>
      <c r="L9" s="15">
        <f>849</f>
        <v>849</v>
      </c>
      <c r="M9" s="15">
        <f t="shared" si="1"/>
        <v>849</v>
      </c>
      <c r="N9" s="15">
        <v>0</v>
      </c>
      <c r="O9" s="58">
        <f t="shared" si="2"/>
        <v>0</v>
      </c>
      <c r="P9" s="39">
        <f t="shared" si="3"/>
        <v>5</v>
      </c>
      <c r="Q9" s="40">
        <f t="shared" si="4"/>
        <v>19</v>
      </c>
      <c r="R9" s="7"/>
      <c r="S9" s="6">
        <v>19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0.20833333333333334</v>
      </c>
      <c r="AD9" s="10">
        <f t="shared" si="7"/>
        <v>0.20833333333333334</v>
      </c>
      <c r="AE9" s="36">
        <f t="shared" si="8"/>
        <v>0.31666666666666665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131</v>
      </c>
      <c r="D10" s="52" t="s">
        <v>150</v>
      </c>
      <c r="E10" s="53" t="s">
        <v>152</v>
      </c>
      <c r="F10" s="30" t="s">
        <v>121</v>
      </c>
      <c r="G10" s="33">
        <v>2</v>
      </c>
      <c r="H10" s="35">
        <v>24</v>
      </c>
      <c r="I10" s="7">
        <v>130000</v>
      </c>
      <c r="J10" s="5">
        <v>1676</v>
      </c>
      <c r="K10" s="15">
        <f>L10+13288+10116+14610+5976+7143+12482</f>
        <v>65291</v>
      </c>
      <c r="L10" s="15">
        <f>838*2</f>
        <v>1676</v>
      </c>
      <c r="M10" s="15">
        <f t="shared" si="1"/>
        <v>1676</v>
      </c>
      <c r="N10" s="15">
        <v>0</v>
      </c>
      <c r="O10" s="58">
        <f t="shared" si="2"/>
        <v>0</v>
      </c>
      <c r="P10" s="39">
        <f t="shared" si="3"/>
        <v>4</v>
      </c>
      <c r="Q10" s="40">
        <f t="shared" si="4"/>
        <v>20</v>
      </c>
      <c r="R10" s="7"/>
      <c r="S10" s="6">
        <v>20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0.16666666666666666</v>
      </c>
      <c r="AD10" s="10">
        <f>AC10*AB10*(1-O10)</f>
        <v>0.16666666666666666</v>
      </c>
      <c r="AE10" s="36">
        <f t="shared" si="8"/>
        <v>0.31666666666666665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158</v>
      </c>
      <c r="D11" s="52" t="s">
        <v>198</v>
      </c>
      <c r="E11" s="53" t="s">
        <v>199</v>
      </c>
      <c r="F11" s="30" t="s">
        <v>162</v>
      </c>
      <c r="G11" s="33">
        <v>2</v>
      </c>
      <c r="H11" s="35">
        <v>24</v>
      </c>
      <c r="I11" s="7">
        <v>42000</v>
      </c>
      <c r="J11" s="5">
        <v>12678</v>
      </c>
      <c r="K11" s="15">
        <f>L11</f>
        <v>12678</v>
      </c>
      <c r="L11" s="15">
        <f>3694*2+2645*2</f>
        <v>12678</v>
      </c>
      <c r="M11" s="15">
        <f t="shared" si="1"/>
        <v>12678</v>
      </c>
      <c r="N11" s="15">
        <v>0</v>
      </c>
      <c r="O11" s="58">
        <f t="shared" si="2"/>
        <v>0</v>
      </c>
      <c r="P11" s="39">
        <f t="shared" si="3"/>
        <v>23</v>
      </c>
      <c r="Q11" s="40">
        <f t="shared" si="4"/>
        <v>1</v>
      </c>
      <c r="R11" s="7"/>
      <c r="S11" s="6"/>
      <c r="T11" s="16">
        <v>1</v>
      </c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0.95833333333333337</v>
      </c>
      <c r="AD11" s="10">
        <f>AC11*AB11*(1-O11)</f>
        <v>0.95833333333333337</v>
      </c>
      <c r="AE11" s="36">
        <f t="shared" si="8"/>
        <v>0.31666666666666665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134</v>
      </c>
      <c r="F12" s="30" t="s">
        <v>121</v>
      </c>
      <c r="G12" s="33">
        <v>1</v>
      </c>
      <c r="H12" s="35">
        <v>24</v>
      </c>
      <c r="I12" s="7">
        <v>100000</v>
      </c>
      <c r="J12" s="14">
        <v>2832</v>
      </c>
      <c r="K12" s="15">
        <f>L12+2036+3193+2673+3958+1875+401+3155+4199+2859+2339+1952+1208+2933+3415+1960+4032+870+1602+872+2860+3148+2498+463+1324+1687+1943+4107+3383+1502+790+4143+3077+2335+2648+3828+4343+1632+3883+3120+1722+927+911+582+3950+4147+4076+3496+4082+3413+654+2354+3732+4055+3968+4076+4172+1706+869+3574+3169</f>
        <v>160713</v>
      </c>
      <c r="L12" s="15">
        <f>2186+646</f>
        <v>2832</v>
      </c>
      <c r="M12" s="15">
        <f t="shared" si="1"/>
        <v>2832</v>
      </c>
      <c r="N12" s="15">
        <v>0</v>
      </c>
      <c r="O12" s="58">
        <f t="shared" si="2"/>
        <v>0</v>
      </c>
      <c r="P12" s="39">
        <f t="shared" si="3"/>
        <v>18</v>
      </c>
      <c r="Q12" s="40">
        <f t="shared" si="4"/>
        <v>6</v>
      </c>
      <c r="R12" s="7"/>
      <c r="S12" s="6">
        <v>6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0.75</v>
      </c>
      <c r="AD12" s="10">
        <f t="shared" ref="AD12:AD14" si="10">AC12*AB12*(1-O12)</f>
        <v>0.75</v>
      </c>
      <c r="AE12" s="36">
        <f t="shared" si="8"/>
        <v>0.31666666666666665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117</v>
      </c>
      <c r="E13" s="53" t="s">
        <v>143</v>
      </c>
      <c r="F13" s="30" t="s">
        <v>138</v>
      </c>
      <c r="G13" s="33">
        <v>4</v>
      </c>
      <c r="H13" s="35">
        <v>24</v>
      </c>
      <c r="I13" s="7">
        <v>850000</v>
      </c>
      <c r="J13" s="14">
        <v>18812</v>
      </c>
      <c r="K13" s="15">
        <f>L13+20676+20704+882+19912+11748+21560</f>
        <v>114294</v>
      </c>
      <c r="L13" s="15">
        <f>2888*4+1815*4</f>
        <v>18812</v>
      </c>
      <c r="M13" s="15">
        <f t="shared" si="1"/>
        <v>18812</v>
      </c>
      <c r="N13" s="15">
        <v>0</v>
      </c>
      <c r="O13" s="58">
        <f t="shared" si="2"/>
        <v>0</v>
      </c>
      <c r="P13" s="39">
        <f t="shared" si="3"/>
        <v>21</v>
      </c>
      <c r="Q13" s="40">
        <f t="shared" si="4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0.875</v>
      </c>
      <c r="AD13" s="10">
        <f t="shared" si="10"/>
        <v>0.875</v>
      </c>
      <c r="AE13" s="36">
        <f t="shared" si="8"/>
        <v>0.31666666666666665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126</v>
      </c>
      <c r="D14" s="52" t="s">
        <v>156</v>
      </c>
      <c r="E14" s="53"/>
      <c r="F14" s="30" t="s">
        <v>138</v>
      </c>
      <c r="G14" s="33" t="s">
        <v>157</v>
      </c>
      <c r="H14" s="35">
        <v>24</v>
      </c>
      <c r="I14" s="7">
        <v>1300</v>
      </c>
      <c r="J14" s="5">
        <v>1742</v>
      </c>
      <c r="K14" s="15">
        <f>L14+1742</f>
        <v>1742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10"/>
        <v>0</v>
      </c>
      <c r="AE14" s="36">
        <f t="shared" si="8"/>
        <v>0.31666666666666665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158</v>
      </c>
      <c r="D15" s="52" t="s">
        <v>200</v>
      </c>
      <c r="E15" s="53" t="s">
        <v>201</v>
      </c>
      <c r="F15" s="12" t="s">
        <v>160</v>
      </c>
      <c r="G15" s="12" t="s">
        <v>157</v>
      </c>
      <c r="H15" s="13">
        <v>24</v>
      </c>
      <c r="I15" s="31">
        <v>42000</v>
      </c>
      <c r="J15" s="14">
        <v>9554</v>
      </c>
      <c r="K15" s="15">
        <f>L15</f>
        <v>9554</v>
      </c>
      <c r="L15" s="15">
        <f>1547*2+3230*2</f>
        <v>9554</v>
      </c>
      <c r="M15" s="15">
        <f t="shared" si="1"/>
        <v>9554</v>
      </c>
      <c r="N15" s="15">
        <v>0</v>
      </c>
      <c r="O15" s="58">
        <f t="shared" si="2"/>
        <v>0</v>
      </c>
      <c r="P15" s="39">
        <f t="shared" si="3"/>
        <v>22</v>
      </c>
      <c r="Q15" s="40">
        <f t="shared" si="4"/>
        <v>2</v>
      </c>
      <c r="R15" s="7"/>
      <c r="S15" s="6"/>
      <c r="T15" s="16">
        <v>2</v>
      </c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0.91666666666666663</v>
      </c>
      <c r="AD15" s="10">
        <f t="shared" si="7"/>
        <v>0.91666666666666663</v>
      </c>
      <c r="AE15" s="36">
        <f t="shared" si="8"/>
        <v>0.31666666666666665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148</v>
      </c>
      <c r="D16" s="52"/>
      <c r="E16" s="53" t="s">
        <v>149</v>
      </c>
      <c r="F16" s="30" t="s">
        <v>124</v>
      </c>
      <c r="G16" s="12">
        <v>1</v>
      </c>
      <c r="H16" s="13">
        <v>28</v>
      </c>
      <c r="I16" s="7">
        <v>1000</v>
      </c>
      <c r="J16" s="14">
        <v>1192</v>
      </c>
      <c r="K16" s="15">
        <f>L16+1192</f>
        <v>1192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0.31666666666666665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123</v>
      </c>
      <c r="D17" s="52" t="s">
        <v>141</v>
      </c>
      <c r="E17" s="53" t="s">
        <v>145</v>
      </c>
      <c r="F17" s="30" t="s">
        <v>142</v>
      </c>
      <c r="G17" s="33">
        <v>1</v>
      </c>
      <c r="H17" s="35">
        <v>24</v>
      </c>
      <c r="I17" s="7">
        <v>2500</v>
      </c>
      <c r="J17" s="5">
        <v>2492</v>
      </c>
      <c r="K17" s="15">
        <f>L17+4424+2492</f>
        <v>6916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0.31666666666666665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158</v>
      </c>
      <c r="D18" s="52"/>
      <c r="E18" s="53" t="s">
        <v>161</v>
      </c>
      <c r="F18" s="30" t="s">
        <v>162</v>
      </c>
      <c r="G18" s="33" t="s">
        <v>157</v>
      </c>
      <c r="H18" s="35">
        <v>24</v>
      </c>
      <c r="I18" s="7">
        <v>2000</v>
      </c>
      <c r="J18" s="5">
        <v>3312</v>
      </c>
      <c r="K18" s="15">
        <f>L18+3312</f>
        <v>3312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5"/>
        <v>0</v>
      </c>
      <c r="AC18" s="9">
        <f t="shared" si="6"/>
        <v>0</v>
      </c>
      <c r="AD18" s="10">
        <f>AC18*AB18*(1-O18)</f>
        <v>0</v>
      </c>
      <c r="AE18" s="36">
        <f t="shared" si="8"/>
        <v>0.31666666666666665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114</v>
      </c>
      <c r="D19" s="52" t="s">
        <v>202</v>
      </c>
      <c r="E19" s="53" t="s">
        <v>203</v>
      </c>
      <c r="F19" s="30" t="s">
        <v>122</v>
      </c>
      <c r="G19" s="33" t="s">
        <v>204</v>
      </c>
      <c r="H19" s="35">
        <v>24</v>
      </c>
      <c r="I19" s="7">
        <v>100</v>
      </c>
      <c r="J19" s="14">
        <v>601</v>
      </c>
      <c r="K19" s="15">
        <f>L19</f>
        <v>601</v>
      </c>
      <c r="L19" s="15">
        <v>601</v>
      </c>
      <c r="M19" s="15">
        <f t="shared" ref="M19" si="11">L19-N19</f>
        <v>601</v>
      </c>
      <c r="N19" s="15">
        <v>0</v>
      </c>
      <c r="O19" s="58">
        <f t="shared" ref="O19" si="12">IF(L19=0,"0",N19/L19)</f>
        <v>0</v>
      </c>
      <c r="P19" s="39">
        <f t="shared" ref="P19" si="13">IF(L19=0,"0",(24-Q19))</f>
        <v>4</v>
      </c>
      <c r="Q19" s="40">
        <f t="shared" ref="Q19" si="14">SUM(R19:AA19)</f>
        <v>20</v>
      </c>
      <c r="R19" s="7"/>
      <c r="S19" s="6"/>
      <c r="T19" s="16"/>
      <c r="U19" s="16"/>
      <c r="V19" s="17"/>
      <c r="W19" s="5">
        <v>20</v>
      </c>
      <c r="X19" s="16"/>
      <c r="Y19" s="16"/>
      <c r="Z19" s="16"/>
      <c r="AA19" s="18"/>
      <c r="AB19" s="8">
        <f t="shared" ref="AB19" si="15">IF(J19=0,"0",(L19/J19))</f>
        <v>1</v>
      </c>
      <c r="AC19" s="9">
        <f t="shared" ref="AC19" si="16">IF(P19=0,"0",(P19/24))</f>
        <v>0.16666666666666666</v>
      </c>
      <c r="AD19" s="10">
        <f t="shared" ref="AD19" si="17">AC19*AB19*(1-O19)</f>
        <v>0.16666666666666666</v>
      </c>
      <c r="AE19" s="36">
        <f t="shared" si="8"/>
        <v>0.31666666666666665</v>
      </c>
      <c r="AF19" s="87">
        <f t="shared" ref="AF19" si="18">A19</f>
        <v>14</v>
      </c>
    </row>
    <row r="20" spans="1:32" ht="27" customHeight="1">
      <c r="A20" s="103">
        <v>14</v>
      </c>
      <c r="B20" s="11" t="s">
        <v>57</v>
      </c>
      <c r="C20" s="11" t="s">
        <v>126</v>
      </c>
      <c r="D20" s="52" t="s">
        <v>202</v>
      </c>
      <c r="E20" s="53" t="s">
        <v>205</v>
      </c>
      <c r="F20" s="30" t="s">
        <v>138</v>
      </c>
      <c r="G20" s="33">
        <v>4</v>
      </c>
      <c r="H20" s="35">
        <v>24</v>
      </c>
      <c r="I20" s="7">
        <v>800000</v>
      </c>
      <c r="J20" s="14">
        <v>12980</v>
      </c>
      <c r="K20" s="15">
        <f>L20</f>
        <v>12980</v>
      </c>
      <c r="L20" s="15">
        <f>449*4+2796*4</f>
        <v>12980</v>
      </c>
      <c r="M20" s="15">
        <f t="shared" si="1"/>
        <v>12980</v>
      </c>
      <c r="N20" s="15">
        <v>0</v>
      </c>
      <c r="O20" s="58">
        <f t="shared" si="2"/>
        <v>0</v>
      </c>
      <c r="P20" s="39">
        <f t="shared" si="3"/>
        <v>17</v>
      </c>
      <c r="Q20" s="40">
        <f t="shared" si="4"/>
        <v>7</v>
      </c>
      <c r="R20" s="7"/>
      <c r="S20" s="6"/>
      <c r="T20" s="16">
        <v>7</v>
      </c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0.70833333333333337</v>
      </c>
      <c r="AD20" s="10">
        <f t="shared" ref="AD20" si="19">AC20*AB20*(1-O20)</f>
        <v>0.70833333333333337</v>
      </c>
      <c r="AE20" s="36">
        <f t="shared" si="8"/>
        <v>0.31666666666666665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144</v>
      </c>
      <c r="F21" s="12" t="s">
        <v>116</v>
      </c>
      <c r="G21" s="12">
        <v>3</v>
      </c>
      <c r="H21" s="35">
        <v>20</v>
      </c>
      <c r="I21" s="7">
        <v>200000</v>
      </c>
      <c r="J21" s="14">
        <v>34300</v>
      </c>
      <c r="K21" s="15">
        <f>L21+22050+34300</f>
        <v>56350</v>
      </c>
      <c r="L21" s="15"/>
      <c r="M21" s="15">
        <f t="shared" si="1"/>
        <v>0</v>
      </c>
      <c r="N21" s="15">
        <v>0</v>
      </c>
      <c r="O21" s="58" t="str">
        <f t="shared" si="2"/>
        <v>0</v>
      </c>
      <c r="P21" s="39" t="str">
        <f t="shared" si="3"/>
        <v>0</v>
      </c>
      <c r="Q21" s="40">
        <f t="shared" si="4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5"/>
        <v>0</v>
      </c>
      <c r="AC21" s="9">
        <f t="shared" si="6"/>
        <v>0</v>
      </c>
      <c r="AD21" s="10">
        <f t="shared" si="7"/>
        <v>0</v>
      </c>
      <c r="AE21" s="36">
        <f t="shared" si="8"/>
        <v>0.31666666666666665</v>
      </c>
      <c r="AF21" s="87">
        <f t="shared" si="9"/>
        <v>15</v>
      </c>
    </row>
    <row r="22" spans="1:32" ht="31.5" customHeight="1" thickBot="1">
      <c r="A22" s="431" t="s">
        <v>34</v>
      </c>
      <c r="B22" s="432"/>
      <c r="C22" s="432"/>
      <c r="D22" s="432"/>
      <c r="E22" s="432"/>
      <c r="F22" s="432"/>
      <c r="G22" s="432"/>
      <c r="H22" s="433"/>
      <c r="I22" s="22">
        <f t="shared" ref="I22:N22" si="20">SUM(I6:I21)</f>
        <v>2333900</v>
      </c>
      <c r="J22" s="19">
        <f t="shared" si="20"/>
        <v>112309</v>
      </c>
      <c r="K22" s="20">
        <f t="shared" si="20"/>
        <v>662470</v>
      </c>
      <c r="L22" s="21">
        <f t="shared" si="20"/>
        <v>59982</v>
      </c>
      <c r="M22" s="20">
        <f t="shared" si="20"/>
        <v>59982</v>
      </c>
      <c r="N22" s="21">
        <f t="shared" si="20"/>
        <v>0</v>
      </c>
      <c r="O22" s="41">
        <f t="shared" si="2"/>
        <v>0</v>
      </c>
      <c r="P22" s="42">
        <f t="shared" ref="P22:AA22" si="21">SUM(P6:P21)</f>
        <v>114</v>
      </c>
      <c r="Q22" s="43">
        <f t="shared" si="21"/>
        <v>270</v>
      </c>
      <c r="R22" s="23">
        <f t="shared" si="21"/>
        <v>24</v>
      </c>
      <c r="S22" s="24">
        <f t="shared" si="21"/>
        <v>48</v>
      </c>
      <c r="T22" s="24">
        <f t="shared" si="21"/>
        <v>10</v>
      </c>
      <c r="U22" s="24">
        <f t="shared" si="21"/>
        <v>0</v>
      </c>
      <c r="V22" s="25">
        <f t="shared" si="21"/>
        <v>24</v>
      </c>
      <c r="W22" s="26">
        <f t="shared" si="21"/>
        <v>140</v>
      </c>
      <c r="X22" s="27">
        <f t="shared" si="21"/>
        <v>0</v>
      </c>
      <c r="Y22" s="27">
        <f t="shared" si="21"/>
        <v>0</v>
      </c>
      <c r="Z22" s="27">
        <f t="shared" si="21"/>
        <v>0</v>
      </c>
      <c r="AA22" s="27">
        <f t="shared" si="21"/>
        <v>24</v>
      </c>
      <c r="AB22" s="28">
        <f>SUM(AB6:AB21)/15</f>
        <v>0.53333333333333333</v>
      </c>
      <c r="AC22" s="4">
        <f>SUM(AC6:AC21)/15</f>
        <v>0.31666666666666665</v>
      </c>
      <c r="AD22" s="4">
        <f>SUM(AD6:AD21)/15</f>
        <v>0.31666666666666665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34" t="s">
        <v>45</v>
      </c>
      <c r="B49" s="434"/>
      <c r="C49" s="434"/>
      <c r="D49" s="434"/>
      <c r="E49" s="434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35" t="s">
        <v>206</v>
      </c>
      <c r="B50" s="436"/>
      <c r="C50" s="436"/>
      <c r="D50" s="436"/>
      <c r="E50" s="436"/>
      <c r="F50" s="436"/>
      <c r="G50" s="436"/>
      <c r="H50" s="436"/>
      <c r="I50" s="436"/>
      <c r="J50" s="436"/>
      <c r="K50" s="436"/>
      <c r="L50" s="436"/>
      <c r="M50" s="437"/>
      <c r="N50" s="438" t="s">
        <v>214</v>
      </c>
      <c r="O50" s="439"/>
      <c r="P50" s="439"/>
      <c r="Q50" s="439"/>
      <c r="R50" s="439"/>
      <c r="S50" s="439"/>
      <c r="T50" s="439"/>
      <c r="U50" s="439"/>
      <c r="V50" s="439"/>
      <c r="W50" s="439"/>
      <c r="X50" s="439"/>
      <c r="Y50" s="439"/>
      <c r="Z50" s="439"/>
      <c r="AA50" s="439"/>
      <c r="AB50" s="439"/>
      <c r="AC50" s="439"/>
      <c r="AD50" s="440"/>
    </row>
    <row r="51" spans="1:32" ht="27" customHeight="1">
      <c r="A51" s="441" t="s">
        <v>2</v>
      </c>
      <c r="B51" s="442"/>
      <c r="C51" s="138" t="s">
        <v>46</v>
      </c>
      <c r="D51" s="138" t="s">
        <v>47</v>
      </c>
      <c r="E51" s="138" t="s">
        <v>108</v>
      </c>
      <c r="F51" s="442" t="s">
        <v>107</v>
      </c>
      <c r="G51" s="442"/>
      <c r="H51" s="442"/>
      <c r="I51" s="442"/>
      <c r="J51" s="442"/>
      <c r="K51" s="442"/>
      <c r="L51" s="442"/>
      <c r="M51" s="443"/>
      <c r="N51" s="67" t="s">
        <v>112</v>
      </c>
      <c r="O51" s="138" t="s">
        <v>46</v>
      </c>
      <c r="P51" s="444" t="s">
        <v>47</v>
      </c>
      <c r="Q51" s="445"/>
      <c r="R51" s="444" t="s">
        <v>38</v>
      </c>
      <c r="S51" s="446"/>
      <c r="T51" s="446"/>
      <c r="U51" s="445"/>
      <c r="V51" s="444" t="s">
        <v>48</v>
      </c>
      <c r="W51" s="446"/>
      <c r="X51" s="446"/>
      <c r="Y51" s="446"/>
      <c r="Z51" s="446"/>
      <c r="AA51" s="446"/>
      <c r="AB51" s="446"/>
      <c r="AC51" s="446"/>
      <c r="AD51" s="447"/>
    </row>
    <row r="52" spans="1:32" ht="27" customHeight="1">
      <c r="A52" s="412" t="s">
        <v>114</v>
      </c>
      <c r="B52" s="413"/>
      <c r="C52" s="140" t="s">
        <v>129</v>
      </c>
      <c r="D52" s="140" t="s">
        <v>133</v>
      </c>
      <c r="E52" s="140" t="s">
        <v>135</v>
      </c>
      <c r="F52" s="414" t="s">
        <v>207</v>
      </c>
      <c r="G52" s="415"/>
      <c r="H52" s="415"/>
      <c r="I52" s="415"/>
      <c r="J52" s="415"/>
      <c r="K52" s="415"/>
      <c r="L52" s="415"/>
      <c r="M52" s="416"/>
      <c r="N52" s="149" t="s">
        <v>114</v>
      </c>
      <c r="O52" s="152" t="s">
        <v>129</v>
      </c>
      <c r="P52" s="426" t="s">
        <v>133</v>
      </c>
      <c r="Q52" s="427"/>
      <c r="R52" s="426" t="s">
        <v>135</v>
      </c>
      <c r="S52" s="428"/>
      <c r="T52" s="428"/>
      <c r="U52" s="427"/>
      <c r="V52" s="396" t="s">
        <v>137</v>
      </c>
      <c r="W52" s="396"/>
      <c r="X52" s="396"/>
      <c r="Y52" s="396"/>
      <c r="Z52" s="396"/>
      <c r="AA52" s="396"/>
      <c r="AB52" s="396"/>
      <c r="AC52" s="396"/>
      <c r="AD52" s="417"/>
    </row>
    <row r="53" spans="1:32" ht="27" customHeight="1">
      <c r="A53" s="412" t="s">
        <v>114</v>
      </c>
      <c r="B53" s="413"/>
      <c r="C53" s="140" t="s">
        <v>136</v>
      </c>
      <c r="D53" s="140" t="s">
        <v>117</v>
      </c>
      <c r="E53" s="140" t="s">
        <v>134</v>
      </c>
      <c r="F53" s="414" t="s">
        <v>208</v>
      </c>
      <c r="G53" s="415"/>
      <c r="H53" s="415"/>
      <c r="I53" s="415"/>
      <c r="J53" s="415"/>
      <c r="K53" s="415"/>
      <c r="L53" s="415"/>
      <c r="M53" s="416"/>
      <c r="N53" s="149" t="s">
        <v>158</v>
      </c>
      <c r="O53" s="152" t="s">
        <v>171</v>
      </c>
      <c r="P53" s="426"/>
      <c r="Q53" s="427"/>
      <c r="R53" s="426" t="s">
        <v>215</v>
      </c>
      <c r="S53" s="428"/>
      <c r="T53" s="428"/>
      <c r="U53" s="427"/>
      <c r="V53" s="396" t="s">
        <v>120</v>
      </c>
      <c r="W53" s="396"/>
      <c r="X53" s="396"/>
      <c r="Y53" s="396"/>
      <c r="Z53" s="396"/>
      <c r="AA53" s="396"/>
      <c r="AB53" s="396"/>
      <c r="AC53" s="396"/>
      <c r="AD53" s="417"/>
    </row>
    <row r="54" spans="1:32" ht="27" customHeight="1">
      <c r="A54" s="412" t="s">
        <v>131</v>
      </c>
      <c r="B54" s="413"/>
      <c r="C54" s="150" t="s">
        <v>139</v>
      </c>
      <c r="D54" s="150"/>
      <c r="E54" s="150" t="s">
        <v>152</v>
      </c>
      <c r="F54" s="414" t="s">
        <v>209</v>
      </c>
      <c r="G54" s="415"/>
      <c r="H54" s="415"/>
      <c r="I54" s="415"/>
      <c r="J54" s="415"/>
      <c r="K54" s="415"/>
      <c r="L54" s="415"/>
      <c r="M54" s="416"/>
      <c r="N54" s="139" t="s">
        <v>216</v>
      </c>
      <c r="O54" s="145" t="s">
        <v>217</v>
      </c>
      <c r="P54" s="426" t="s">
        <v>218</v>
      </c>
      <c r="Q54" s="427"/>
      <c r="R54" s="426" t="s">
        <v>219</v>
      </c>
      <c r="S54" s="428"/>
      <c r="T54" s="428"/>
      <c r="U54" s="427"/>
      <c r="V54" s="396" t="s">
        <v>120</v>
      </c>
      <c r="W54" s="396"/>
      <c r="X54" s="396"/>
      <c r="Y54" s="396"/>
      <c r="Z54" s="396"/>
      <c r="AA54" s="396"/>
      <c r="AB54" s="396"/>
      <c r="AC54" s="396"/>
      <c r="AD54" s="417"/>
    </row>
    <row r="55" spans="1:32" ht="27" customHeight="1">
      <c r="A55" s="412" t="s">
        <v>158</v>
      </c>
      <c r="B55" s="413"/>
      <c r="C55" s="150" t="s">
        <v>171</v>
      </c>
      <c r="D55" s="150"/>
      <c r="E55" s="150" t="s">
        <v>185</v>
      </c>
      <c r="F55" s="414" t="s">
        <v>120</v>
      </c>
      <c r="G55" s="415"/>
      <c r="H55" s="415"/>
      <c r="I55" s="415"/>
      <c r="J55" s="415"/>
      <c r="K55" s="415"/>
      <c r="L55" s="415"/>
      <c r="M55" s="416"/>
      <c r="N55" s="139"/>
      <c r="O55" s="145"/>
      <c r="P55" s="426"/>
      <c r="Q55" s="427"/>
      <c r="R55" s="426"/>
      <c r="S55" s="428"/>
      <c r="T55" s="428"/>
      <c r="U55" s="427"/>
      <c r="V55" s="396"/>
      <c r="W55" s="396"/>
      <c r="X55" s="396"/>
      <c r="Y55" s="396"/>
      <c r="Z55" s="396"/>
      <c r="AA55" s="396"/>
      <c r="AB55" s="396"/>
      <c r="AC55" s="396"/>
      <c r="AD55" s="417"/>
    </row>
    <row r="56" spans="1:32" ht="27" customHeight="1">
      <c r="A56" s="412" t="s">
        <v>170</v>
      </c>
      <c r="B56" s="413"/>
      <c r="C56" s="140" t="s">
        <v>130</v>
      </c>
      <c r="D56" s="140"/>
      <c r="E56" s="150" t="s">
        <v>187</v>
      </c>
      <c r="F56" s="414" t="s">
        <v>120</v>
      </c>
      <c r="G56" s="415"/>
      <c r="H56" s="415"/>
      <c r="I56" s="415"/>
      <c r="J56" s="415"/>
      <c r="K56" s="415"/>
      <c r="L56" s="415"/>
      <c r="M56" s="416"/>
      <c r="N56" s="139"/>
      <c r="O56" s="145"/>
      <c r="P56" s="426"/>
      <c r="Q56" s="427"/>
      <c r="R56" s="426"/>
      <c r="S56" s="428"/>
      <c r="T56" s="428"/>
      <c r="U56" s="427"/>
      <c r="V56" s="396"/>
      <c r="W56" s="396"/>
      <c r="X56" s="396"/>
      <c r="Y56" s="396"/>
      <c r="Z56" s="396"/>
      <c r="AA56" s="396"/>
      <c r="AB56" s="396"/>
      <c r="AC56" s="396"/>
      <c r="AD56" s="417"/>
    </row>
    <row r="57" spans="1:32" ht="27" customHeight="1">
      <c r="A57" s="412" t="s">
        <v>126</v>
      </c>
      <c r="B57" s="413"/>
      <c r="C57" s="140" t="s">
        <v>210</v>
      </c>
      <c r="D57" s="140" t="s">
        <v>117</v>
      </c>
      <c r="E57" s="140" t="s">
        <v>211</v>
      </c>
      <c r="F57" s="414" t="s">
        <v>212</v>
      </c>
      <c r="G57" s="415"/>
      <c r="H57" s="415"/>
      <c r="I57" s="415"/>
      <c r="J57" s="415"/>
      <c r="K57" s="415"/>
      <c r="L57" s="415"/>
      <c r="M57" s="416"/>
      <c r="N57" s="139"/>
      <c r="O57" s="145"/>
      <c r="P57" s="426"/>
      <c r="Q57" s="427"/>
      <c r="R57" s="413"/>
      <c r="S57" s="413"/>
      <c r="T57" s="413"/>
      <c r="U57" s="413"/>
      <c r="V57" s="396"/>
      <c r="W57" s="396"/>
      <c r="X57" s="396"/>
      <c r="Y57" s="396"/>
      <c r="Z57" s="396"/>
      <c r="AA57" s="396"/>
      <c r="AB57" s="396"/>
      <c r="AC57" s="396"/>
      <c r="AD57" s="417"/>
    </row>
    <row r="58" spans="1:32" ht="27" customHeight="1">
      <c r="A58" s="412" t="s">
        <v>126</v>
      </c>
      <c r="B58" s="413"/>
      <c r="C58" s="140" t="s">
        <v>175</v>
      </c>
      <c r="D58" s="140" t="s">
        <v>202</v>
      </c>
      <c r="E58" s="150" t="s">
        <v>213</v>
      </c>
      <c r="F58" s="414" t="s">
        <v>120</v>
      </c>
      <c r="G58" s="415"/>
      <c r="H58" s="415"/>
      <c r="I58" s="415"/>
      <c r="J58" s="415"/>
      <c r="K58" s="415"/>
      <c r="L58" s="415"/>
      <c r="M58" s="416"/>
      <c r="N58" s="139"/>
      <c r="O58" s="145"/>
      <c r="P58" s="426"/>
      <c r="Q58" s="427"/>
      <c r="R58" s="413"/>
      <c r="S58" s="413"/>
      <c r="T58" s="413"/>
      <c r="U58" s="413"/>
      <c r="V58" s="396"/>
      <c r="W58" s="396"/>
      <c r="X58" s="396"/>
      <c r="Y58" s="396"/>
      <c r="Z58" s="396"/>
      <c r="AA58" s="396"/>
      <c r="AB58" s="396"/>
      <c r="AC58" s="396"/>
      <c r="AD58" s="417"/>
    </row>
    <row r="59" spans="1:32" ht="27" customHeight="1">
      <c r="A59" s="412"/>
      <c r="B59" s="413"/>
      <c r="C59" s="140"/>
      <c r="D59" s="140"/>
      <c r="E59" s="140"/>
      <c r="F59" s="414"/>
      <c r="G59" s="415"/>
      <c r="H59" s="415"/>
      <c r="I59" s="415"/>
      <c r="J59" s="415"/>
      <c r="K59" s="415"/>
      <c r="L59" s="415"/>
      <c r="M59" s="416"/>
      <c r="N59" s="139"/>
      <c r="O59" s="145"/>
      <c r="P59" s="426"/>
      <c r="Q59" s="427"/>
      <c r="R59" s="413"/>
      <c r="S59" s="413"/>
      <c r="T59" s="413"/>
      <c r="U59" s="413"/>
      <c r="V59" s="396"/>
      <c r="W59" s="396"/>
      <c r="X59" s="396"/>
      <c r="Y59" s="396"/>
      <c r="Z59" s="396"/>
      <c r="AA59" s="396"/>
      <c r="AB59" s="396"/>
      <c r="AC59" s="396"/>
      <c r="AD59" s="417"/>
    </row>
    <row r="60" spans="1:32" ht="27" customHeight="1">
      <c r="A60" s="412"/>
      <c r="B60" s="413"/>
      <c r="C60" s="140"/>
      <c r="D60" s="140"/>
      <c r="E60" s="140"/>
      <c r="F60" s="414"/>
      <c r="G60" s="415"/>
      <c r="H60" s="415"/>
      <c r="I60" s="415"/>
      <c r="J60" s="415"/>
      <c r="K60" s="415"/>
      <c r="L60" s="415"/>
      <c r="M60" s="416"/>
      <c r="N60" s="139"/>
      <c r="O60" s="145"/>
      <c r="P60" s="413"/>
      <c r="Q60" s="413"/>
      <c r="R60" s="413"/>
      <c r="S60" s="413"/>
      <c r="T60" s="413"/>
      <c r="U60" s="413"/>
      <c r="V60" s="396"/>
      <c r="W60" s="396"/>
      <c r="X60" s="396"/>
      <c r="Y60" s="396"/>
      <c r="Z60" s="396"/>
      <c r="AA60" s="396"/>
      <c r="AB60" s="396"/>
      <c r="AC60" s="396"/>
      <c r="AD60" s="417"/>
      <c r="AF60" s="87">
        <f>8*3000</f>
        <v>24000</v>
      </c>
    </row>
    <row r="61" spans="1:32" ht="27" customHeight="1" thickBot="1">
      <c r="A61" s="418"/>
      <c r="B61" s="419"/>
      <c r="C61" s="141"/>
      <c r="D61" s="142"/>
      <c r="E61" s="142"/>
      <c r="F61" s="420"/>
      <c r="G61" s="421"/>
      <c r="H61" s="421"/>
      <c r="I61" s="421"/>
      <c r="J61" s="421"/>
      <c r="K61" s="421"/>
      <c r="L61" s="421"/>
      <c r="M61" s="422"/>
      <c r="N61" s="124"/>
      <c r="O61" s="114"/>
      <c r="P61" s="423"/>
      <c r="Q61" s="423"/>
      <c r="R61" s="423"/>
      <c r="S61" s="423"/>
      <c r="T61" s="423"/>
      <c r="U61" s="423"/>
      <c r="V61" s="424"/>
      <c r="W61" s="424"/>
      <c r="X61" s="424"/>
      <c r="Y61" s="424"/>
      <c r="Z61" s="424"/>
      <c r="AA61" s="424"/>
      <c r="AB61" s="424"/>
      <c r="AC61" s="424"/>
      <c r="AD61" s="425"/>
      <c r="AF61" s="87">
        <f>16*3000</f>
        <v>48000</v>
      </c>
    </row>
    <row r="62" spans="1:32" ht="27.75" thickBot="1">
      <c r="A62" s="410" t="s">
        <v>220</v>
      </c>
      <c r="B62" s="410"/>
      <c r="C62" s="410"/>
      <c r="D62" s="410"/>
      <c r="E62" s="41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11" t="s">
        <v>113</v>
      </c>
      <c r="B63" s="406"/>
      <c r="C63" s="143" t="s">
        <v>2</v>
      </c>
      <c r="D63" s="143" t="s">
        <v>37</v>
      </c>
      <c r="E63" s="143" t="s">
        <v>3</v>
      </c>
      <c r="F63" s="406" t="s">
        <v>110</v>
      </c>
      <c r="G63" s="406"/>
      <c r="H63" s="406"/>
      <c r="I63" s="406"/>
      <c r="J63" s="406"/>
      <c r="K63" s="406" t="s">
        <v>39</v>
      </c>
      <c r="L63" s="406"/>
      <c r="M63" s="143" t="s">
        <v>40</v>
      </c>
      <c r="N63" s="406" t="s">
        <v>41</v>
      </c>
      <c r="O63" s="406"/>
      <c r="P63" s="403" t="s">
        <v>42</v>
      </c>
      <c r="Q63" s="405"/>
      <c r="R63" s="403" t="s">
        <v>43</v>
      </c>
      <c r="S63" s="404"/>
      <c r="T63" s="404"/>
      <c r="U63" s="404"/>
      <c r="V63" s="404"/>
      <c r="W63" s="404"/>
      <c r="X63" s="404"/>
      <c r="Y63" s="404"/>
      <c r="Z63" s="404"/>
      <c r="AA63" s="405"/>
      <c r="AB63" s="406" t="s">
        <v>44</v>
      </c>
      <c r="AC63" s="406"/>
      <c r="AD63" s="407"/>
      <c r="AF63" s="87">
        <f>SUM(AF60:AF62)</f>
        <v>96000</v>
      </c>
    </row>
    <row r="64" spans="1:32" ht="25.5" customHeight="1">
      <c r="A64" s="389">
        <v>1</v>
      </c>
      <c r="B64" s="390"/>
      <c r="C64" s="117" t="s">
        <v>114</v>
      </c>
      <c r="D64" s="147"/>
      <c r="E64" s="151" t="s">
        <v>163</v>
      </c>
      <c r="F64" s="391" t="s">
        <v>225</v>
      </c>
      <c r="G64" s="383"/>
      <c r="H64" s="383"/>
      <c r="I64" s="383"/>
      <c r="J64" s="383"/>
      <c r="K64" s="383" t="s">
        <v>221</v>
      </c>
      <c r="L64" s="383"/>
      <c r="M64" s="51" t="s">
        <v>222</v>
      </c>
      <c r="N64" s="401" t="s">
        <v>173</v>
      </c>
      <c r="O64" s="401"/>
      <c r="P64" s="402">
        <v>100</v>
      </c>
      <c r="Q64" s="402"/>
      <c r="R64" s="396" t="s">
        <v>223</v>
      </c>
      <c r="S64" s="396"/>
      <c r="T64" s="396"/>
      <c r="U64" s="396"/>
      <c r="V64" s="396"/>
      <c r="W64" s="396"/>
      <c r="X64" s="396"/>
      <c r="Y64" s="396"/>
      <c r="Z64" s="396"/>
      <c r="AA64" s="396"/>
      <c r="AB64" s="400"/>
      <c r="AC64" s="408"/>
      <c r="AD64" s="409"/>
      <c r="AF64" s="50"/>
    </row>
    <row r="65" spans="1:32" ht="25.5" customHeight="1">
      <c r="A65" s="389">
        <v>2</v>
      </c>
      <c r="B65" s="390"/>
      <c r="C65" s="117" t="s">
        <v>114</v>
      </c>
      <c r="D65" s="147"/>
      <c r="E65" s="144" t="s">
        <v>224</v>
      </c>
      <c r="F65" s="391" t="s">
        <v>226</v>
      </c>
      <c r="G65" s="383"/>
      <c r="H65" s="383"/>
      <c r="I65" s="383"/>
      <c r="J65" s="383"/>
      <c r="K65" s="383" t="s">
        <v>227</v>
      </c>
      <c r="L65" s="383"/>
      <c r="M65" s="51" t="s">
        <v>222</v>
      </c>
      <c r="N65" s="401" t="s">
        <v>173</v>
      </c>
      <c r="O65" s="401"/>
      <c r="P65" s="402"/>
      <c r="Q65" s="402"/>
      <c r="R65" s="396" t="s">
        <v>228</v>
      </c>
      <c r="S65" s="396"/>
      <c r="T65" s="396"/>
      <c r="U65" s="396"/>
      <c r="V65" s="396"/>
      <c r="W65" s="396"/>
      <c r="X65" s="396"/>
      <c r="Y65" s="396"/>
      <c r="Z65" s="396"/>
      <c r="AA65" s="396"/>
      <c r="AB65" s="383"/>
      <c r="AC65" s="383"/>
      <c r="AD65" s="384"/>
      <c r="AF65" s="50"/>
    </row>
    <row r="66" spans="1:32" ht="25.5" customHeight="1">
      <c r="A66" s="389">
        <v>3</v>
      </c>
      <c r="B66" s="390"/>
      <c r="C66" s="117"/>
      <c r="D66" s="147"/>
      <c r="E66" s="144"/>
      <c r="F66" s="397"/>
      <c r="G66" s="398"/>
      <c r="H66" s="398"/>
      <c r="I66" s="398"/>
      <c r="J66" s="399"/>
      <c r="K66" s="383"/>
      <c r="L66" s="383"/>
      <c r="M66" s="51"/>
      <c r="N66" s="401"/>
      <c r="O66" s="401"/>
      <c r="P66" s="402"/>
      <c r="Q66" s="402"/>
      <c r="R66" s="396"/>
      <c r="S66" s="396"/>
      <c r="T66" s="396"/>
      <c r="U66" s="396"/>
      <c r="V66" s="396"/>
      <c r="W66" s="396"/>
      <c r="X66" s="396"/>
      <c r="Y66" s="396"/>
      <c r="Z66" s="396"/>
      <c r="AA66" s="396"/>
      <c r="AB66" s="383"/>
      <c r="AC66" s="383"/>
      <c r="AD66" s="384"/>
      <c r="AF66" s="50"/>
    </row>
    <row r="67" spans="1:32" ht="25.5" customHeight="1">
      <c r="A67" s="389">
        <v>4</v>
      </c>
      <c r="B67" s="390"/>
      <c r="C67" s="117"/>
      <c r="D67" s="147"/>
      <c r="E67" s="144"/>
      <c r="F67" s="397"/>
      <c r="G67" s="398"/>
      <c r="H67" s="398"/>
      <c r="I67" s="398"/>
      <c r="J67" s="399"/>
      <c r="K67" s="383"/>
      <c r="L67" s="383"/>
      <c r="M67" s="51"/>
      <c r="N67" s="401"/>
      <c r="O67" s="401"/>
      <c r="P67" s="402"/>
      <c r="Q67" s="402"/>
      <c r="R67" s="396"/>
      <c r="S67" s="396"/>
      <c r="T67" s="396"/>
      <c r="U67" s="396"/>
      <c r="V67" s="396"/>
      <c r="W67" s="396"/>
      <c r="X67" s="396"/>
      <c r="Y67" s="396"/>
      <c r="Z67" s="396"/>
      <c r="AA67" s="396"/>
      <c r="AB67" s="383"/>
      <c r="AC67" s="383"/>
      <c r="AD67" s="384"/>
      <c r="AF67" s="50"/>
    </row>
    <row r="68" spans="1:32" ht="25.5" customHeight="1">
      <c r="A68" s="389">
        <v>5</v>
      </c>
      <c r="B68" s="390"/>
      <c r="C68" s="117"/>
      <c r="D68" s="147"/>
      <c r="E68" s="144"/>
      <c r="F68" s="397"/>
      <c r="G68" s="398"/>
      <c r="H68" s="398"/>
      <c r="I68" s="398"/>
      <c r="J68" s="399"/>
      <c r="K68" s="400"/>
      <c r="L68" s="390"/>
      <c r="M68" s="51"/>
      <c r="N68" s="401"/>
      <c r="O68" s="401"/>
      <c r="P68" s="402"/>
      <c r="Q68" s="402"/>
      <c r="R68" s="396"/>
      <c r="S68" s="396"/>
      <c r="T68" s="396"/>
      <c r="U68" s="396"/>
      <c r="V68" s="396"/>
      <c r="W68" s="396"/>
      <c r="X68" s="396"/>
      <c r="Y68" s="396"/>
      <c r="Z68" s="396"/>
      <c r="AA68" s="396"/>
      <c r="AB68" s="383"/>
      <c r="AC68" s="383"/>
      <c r="AD68" s="384"/>
      <c r="AF68" s="50"/>
    </row>
    <row r="69" spans="1:32" ht="25.5" customHeight="1">
      <c r="A69" s="389">
        <v>6</v>
      </c>
      <c r="B69" s="390"/>
      <c r="C69" s="117"/>
      <c r="D69" s="147"/>
      <c r="E69" s="144"/>
      <c r="F69" s="391"/>
      <c r="G69" s="383"/>
      <c r="H69" s="383"/>
      <c r="I69" s="383"/>
      <c r="J69" s="383"/>
      <c r="K69" s="383"/>
      <c r="L69" s="383"/>
      <c r="M69" s="51"/>
      <c r="N69" s="392"/>
      <c r="O69" s="393"/>
      <c r="P69" s="394"/>
      <c r="Q69" s="395"/>
      <c r="R69" s="396"/>
      <c r="S69" s="396"/>
      <c r="T69" s="396"/>
      <c r="U69" s="396"/>
      <c r="V69" s="396"/>
      <c r="W69" s="396"/>
      <c r="X69" s="396"/>
      <c r="Y69" s="396"/>
      <c r="Z69" s="396"/>
      <c r="AA69" s="396"/>
      <c r="AB69" s="383"/>
      <c r="AC69" s="383"/>
      <c r="AD69" s="384"/>
      <c r="AF69" s="50"/>
    </row>
    <row r="70" spans="1:32" ht="25.5" customHeight="1">
      <c r="A70" s="389">
        <v>7</v>
      </c>
      <c r="B70" s="390"/>
      <c r="C70" s="117"/>
      <c r="D70" s="147"/>
      <c r="E70" s="144"/>
      <c r="F70" s="391"/>
      <c r="G70" s="383"/>
      <c r="H70" s="383"/>
      <c r="I70" s="383"/>
      <c r="J70" s="383"/>
      <c r="K70" s="383"/>
      <c r="L70" s="383"/>
      <c r="M70" s="51"/>
      <c r="N70" s="392"/>
      <c r="O70" s="393"/>
      <c r="P70" s="394"/>
      <c r="Q70" s="395"/>
      <c r="R70" s="396"/>
      <c r="S70" s="396"/>
      <c r="T70" s="396"/>
      <c r="U70" s="396"/>
      <c r="V70" s="396"/>
      <c r="W70" s="396"/>
      <c r="X70" s="396"/>
      <c r="Y70" s="396"/>
      <c r="Z70" s="396"/>
      <c r="AA70" s="396"/>
      <c r="AB70" s="383"/>
      <c r="AC70" s="383"/>
      <c r="AD70" s="384"/>
      <c r="AF70" s="50"/>
    </row>
    <row r="71" spans="1:32" ht="25.5" customHeight="1">
      <c r="A71" s="389">
        <v>8</v>
      </c>
      <c r="B71" s="390"/>
      <c r="C71" s="117"/>
      <c r="D71" s="147"/>
      <c r="E71" s="144"/>
      <c r="F71" s="391"/>
      <c r="G71" s="383"/>
      <c r="H71" s="383"/>
      <c r="I71" s="383"/>
      <c r="J71" s="383"/>
      <c r="K71" s="383"/>
      <c r="L71" s="383"/>
      <c r="M71" s="51"/>
      <c r="N71" s="392"/>
      <c r="O71" s="393"/>
      <c r="P71" s="394"/>
      <c r="Q71" s="395"/>
      <c r="R71" s="396"/>
      <c r="S71" s="396"/>
      <c r="T71" s="396"/>
      <c r="U71" s="396"/>
      <c r="V71" s="396"/>
      <c r="W71" s="396"/>
      <c r="X71" s="396"/>
      <c r="Y71" s="396"/>
      <c r="Z71" s="396"/>
      <c r="AA71" s="396"/>
      <c r="AB71" s="383"/>
      <c r="AC71" s="383"/>
      <c r="AD71" s="384"/>
      <c r="AF71" s="50"/>
    </row>
    <row r="72" spans="1:32" ht="26.25" customHeight="1" thickBot="1">
      <c r="A72" s="363" t="s">
        <v>229</v>
      </c>
      <c r="B72" s="363"/>
      <c r="C72" s="363"/>
      <c r="D72" s="363"/>
      <c r="E72" s="363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364" t="s">
        <v>113</v>
      </c>
      <c r="B73" s="365"/>
      <c r="C73" s="146" t="s">
        <v>2</v>
      </c>
      <c r="D73" s="146" t="s">
        <v>37</v>
      </c>
      <c r="E73" s="146" t="s">
        <v>3</v>
      </c>
      <c r="F73" s="365" t="s">
        <v>38</v>
      </c>
      <c r="G73" s="365"/>
      <c r="H73" s="365"/>
      <c r="I73" s="365"/>
      <c r="J73" s="365"/>
      <c r="K73" s="385" t="s">
        <v>58</v>
      </c>
      <c r="L73" s="386"/>
      <c r="M73" s="386"/>
      <c r="N73" s="386"/>
      <c r="O73" s="386"/>
      <c r="P73" s="386"/>
      <c r="Q73" s="386"/>
      <c r="R73" s="386"/>
      <c r="S73" s="387"/>
      <c r="T73" s="365" t="s">
        <v>49</v>
      </c>
      <c r="U73" s="365"/>
      <c r="V73" s="385" t="s">
        <v>50</v>
      </c>
      <c r="W73" s="387"/>
      <c r="X73" s="386" t="s">
        <v>51</v>
      </c>
      <c r="Y73" s="386"/>
      <c r="Z73" s="386"/>
      <c r="AA73" s="386"/>
      <c r="AB73" s="386"/>
      <c r="AC73" s="386"/>
      <c r="AD73" s="388"/>
      <c r="AF73" s="50"/>
    </row>
    <row r="74" spans="1:32" ht="33.75" customHeight="1">
      <c r="A74" s="357">
        <v>1</v>
      </c>
      <c r="B74" s="358"/>
      <c r="C74" s="148" t="s">
        <v>114</v>
      </c>
      <c r="D74" s="148"/>
      <c r="E74" s="65" t="s">
        <v>119</v>
      </c>
      <c r="F74" s="372" t="s">
        <v>118</v>
      </c>
      <c r="G74" s="373"/>
      <c r="H74" s="373"/>
      <c r="I74" s="373"/>
      <c r="J74" s="374"/>
      <c r="K74" s="375" t="s">
        <v>128</v>
      </c>
      <c r="L74" s="376"/>
      <c r="M74" s="376"/>
      <c r="N74" s="376"/>
      <c r="O74" s="376"/>
      <c r="P74" s="376"/>
      <c r="Q74" s="376"/>
      <c r="R74" s="376"/>
      <c r="S74" s="377"/>
      <c r="T74" s="378">
        <v>43675</v>
      </c>
      <c r="U74" s="379"/>
      <c r="V74" s="380"/>
      <c r="W74" s="380"/>
      <c r="X74" s="381"/>
      <c r="Y74" s="381"/>
      <c r="Z74" s="381"/>
      <c r="AA74" s="381"/>
      <c r="AB74" s="381"/>
      <c r="AC74" s="381"/>
      <c r="AD74" s="382"/>
      <c r="AF74" s="50"/>
    </row>
    <row r="75" spans="1:32" ht="30" customHeight="1">
      <c r="A75" s="350">
        <f>A74+1</f>
        <v>2</v>
      </c>
      <c r="B75" s="351"/>
      <c r="C75" s="147"/>
      <c r="D75" s="147"/>
      <c r="E75" s="32"/>
      <c r="F75" s="351"/>
      <c r="G75" s="351"/>
      <c r="H75" s="351"/>
      <c r="I75" s="351"/>
      <c r="J75" s="351"/>
      <c r="K75" s="366"/>
      <c r="L75" s="367"/>
      <c r="M75" s="367"/>
      <c r="N75" s="367"/>
      <c r="O75" s="367"/>
      <c r="P75" s="367"/>
      <c r="Q75" s="367"/>
      <c r="R75" s="367"/>
      <c r="S75" s="368"/>
      <c r="T75" s="369"/>
      <c r="U75" s="369"/>
      <c r="V75" s="369"/>
      <c r="W75" s="369"/>
      <c r="X75" s="370"/>
      <c r="Y75" s="370"/>
      <c r="Z75" s="370"/>
      <c r="AA75" s="370"/>
      <c r="AB75" s="370"/>
      <c r="AC75" s="370"/>
      <c r="AD75" s="371"/>
      <c r="AF75" s="50"/>
    </row>
    <row r="76" spans="1:32" ht="30" customHeight="1">
      <c r="A76" s="350">
        <f t="shared" ref="A76:A82" si="22">A75+1</f>
        <v>3</v>
      </c>
      <c r="B76" s="351"/>
      <c r="C76" s="147"/>
      <c r="D76" s="147"/>
      <c r="E76" s="32"/>
      <c r="F76" s="351"/>
      <c r="G76" s="351"/>
      <c r="H76" s="351"/>
      <c r="I76" s="351"/>
      <c r="J76" s="351"/>
      <c r="K76" s="366"/>
      <c r="L76" s="367"/>
      <c r="M76" s="367"/>
      <c r="N76" s="367"/>
      <c r="O76" s="367"/>
      <c r="P76" s="367"/>
      <c r="Q76" s="367"/>
      <c r="R76" s="367"/>
      <c r="S76" s="368"/>
      <c r="T76" s="369"/>
      <c r="U76" s="369"/>
      <c r="V76" s="369"/>
      <c r="W76" s="369"/>
      <c r="X76" s="370"/>
      <c r="Y76" s="370"/>
      <c r="Z76" s="370"/>
      <c r="AA76" s="370"/>
      <c r="AB76" s="370"/>
      <c r="AC76" s="370"/>
      <c r="AD76" s="371"/>
      <c r="AF76" s="50"/>
    </row>
    <row r="77" spans="1:32" ht="30" customHeight="1">
      <c r="A77" s="350">
        <f t="shared" si="22"/>
        <v>4</v>
      </c>
      <c r="B77" s="351"/>
      <c r="C77" s="147"/>
      <c r="D77" s="147"/>
      <c r="E77" s="32"/>
      <c r="F77" s="351"/>
      <c r="G77" s="351"/>
      <c r="H77" s="351"/>
      <c r="I77" s="351"/>
      <c r="J77" s="351"/>
      <c r="K77" s="366"/>
      <c r="L77" s="367"/>
      <c r="M77" s="367"/>
      <c r="N77" s="367"/>
      <c r="O77" s="367"/>
      <c r="P77" s="367"/>
      <c r="Q77" s="367"/>
      <c r="R77" s="367"/>
      <c r="S77" s="368"/>
      <c r="T77" s="369"/>
      <c r="U77" s="369"/>
      <c r="V77" s="369"/>
      <c r="W77" s="369"/>
      <c r="X77" s="370"/>
      <c r="Y77" s="370"/>
      <c r="Z77" s="370"/>
      <c r="AA77" s="370"/>
      <c r="AB77" s="370"/>
      <c r="AC77" s="370"/>
      <c r="AD77" s="371"/>
      <c r="AF77" s="50"/>
    </row>
    <row r="78" spans="1:32" ht="30" customHeight="1">
      <c r="A78" s="350">
        <f t="shared" si="22"/>
        <v>5</v>
      </c>
      <c r="B78" s="351"/>
      <c r="C78" s="147"/>
      <c r="D78" s="147"/>
      <c r="E78" s="32"/>
      <c r="F78" s="351"/>
      <c r="G78" s="351"/>
      <c r="H78" s="351"/>
      <c r="I78" s="351"/>
      <c r="J78" s="351"/>
      <c r="K78" s="366"/>
      <c r="L78" s="367"/>
      <c r="M78" s="367"/>
      <c r="N78" s="367"/>
      <c r="O78" s="367"/>
      <c r="P78" s="367"/>
      <c r="Q78" s="367"/>
      <c r="R78" s="367"/>
      <c r="S78" s="368"/>
      <c r="T78" s="369"/>
      <c r="U78" s="369"/>
      <c r="V78" s="369"/>
      <c r="W78" s="369"/>
      <c r="X78" s="370"/>
      <c r="Y78" s="370"/>
      <c r="Z78" s="370"/>
      <c r="AA78" s="370"/>
      <c r="AB78" s="370"/>
      <c r="AC78" s="370"/>
      <c r="AD78" s="371"/>
      <c r="AF78" s="50"/>
    </row>
    <row r="79" spans="1:32" ht="30" customHeight="1">
      <c r="A79" s="350">
        <f t="shared" si="22"/>
        <v>6</v>
      </c>
      <c r="B79" s="351"/>
      <c r="C79" s="147"/>
      <c r="D79" s="147"/>
      <c r="E79" s="32"/>
      <c r="F79" s="351"/>
      <c r="G79" s="351"/>
      <c r="H79" s="351"/>
      <c r="I79" s="351"/>
      <c r="J79" s="351"/>
      <c r="K79" s="366"/>
      <c r="L79" s="367"/>
      <c r="M79" s="367"/>
      <c r="N79" s="367"/>
      <c r="O79" s="367"/>
      <c r="P79" s="367"/>
      <c r="Q79" s="367"/>
      <c r="R79" s="367"/>
      <c r="S79" s="368"/>
      <c r="T79" s="369"/>
      <c r="U79" s="369"/>
      <c r="V79" s="369"/>
      <c r="W79" s="369"/>
      <c r="X79" s="370"/>
      <c r="Y79" s="370"/>
      <c r="Z79" s="370"/>
      <c r="AA79" s="370"/>
      <c r="AB79" s="370"/>
      <c r="AC79" s="370"/>
      <c r="AD79" s="371"/>
      <c r="AF79" s="50"/>
    </row>
    <row r="80" spans="1:32" ht="30" customHeight="1">
      <c r="A80" s="350">
        <f t="shared" si="22"/>
        <v>7</v>
      </c>
      <c r="B80" s="351"/>
      <c r="C80" s="147"/>
      <c r="D80" s="147"/>
      <c r="E80" s="32"/>
      <c r="F80" s="351"/>
      <c r="G80" s="351"/>
      <c r="H80" s="351"/>
      <c r="I80" s="351"/>
      <c r="J80" s="351"/>
      <c r="K80" s="366"/>
      <c r="L80" s="367"/>
      <c r="M80" s="367"/>
      <c r="N80" s="367"/>
      <c r="O80" s="367"/>
      <c r="P80" s="367"/>
      <c r="Q80" s="367"/>
      <c r="R80" s="367"/>
      <c r="S80" s="368"/>
      <c r="T80" s="369"/>
      <c r="U80" s="369"/>
      <c r="V80" s="369"/>
      <c r="W80" s="369"/>
      <c r="X80" s="370"/>
      <c r="Y80" s="370"/>
      <c r="Z80" s="370"/>
      <c r="AA80" s="370"/>
      <c r="AB80" s="370"/>
      <c r="AC80" s="370"/>
      <c r="AD80" s="371"/>
      <c r="AF80" s="50"/>
    </row>
    <row r="81" spans="1:32" ht="30" customHeight="1">
      <c r="A81" s="350">
        <f t="shared" si="22"/>
        <v>8</v>
      </c>
      <c r="B81" s="351"/>
      <c r="C81" s="147"/>
      <c r="D81" s="147"/>
      <c r="E81" s="32"/>
      <c r="F81" s="351"/>
      <c r="G81" s="351"/>
      <c r="H81" s="351"/>
      <c r="I81" s="351"/>
      <c r="J81" s="351"/>
      <c r="K81" s="366"/>
      <c r="L81" s="367"/>
      <c r="M81" s="367"/>
      <c r="N81" s="367"/>
      <c r="O81" s="367"/>
      <c r="P81" s="367"/>
      <c r="Q81" s="367"/>
      <c r="R81" s="367"/>
      <c r="S81" s="368"/>
      <c r="T81" s="369"/>
      <c r="U81" s="369"/>
      <c r="V81" s="369"/>
      <c r="W81" s="369"/>
      <c r="X81" s="370"/>
      <c r="Y81" s="370"/>
      <c r="Z81" s="370"/>
      <c r="AA81" s="370"/>
      <c r="AB81" s="370"/>
      <c r="AC81" s="370"/>
      <c r="AD81" s="371"/>
      <c r="AF81" s="50"/>
    </row>
    <row r="82" spans="1:32" ht="30" customHeight="1">
      <c r="A82" s="350">
        <f t="shared" si="22"/>
        <v>9</v>
      </c>
      <c r="B82" s="351"/>
      <c r="C82" s="147"/>
      <c r="D82" s="147"/>
      <c r="E82" s="32"/>
      <c r="F82" s="351"/>
      <c r="G82" s="351"/>
      <c r="H82" s="351"/>
      <c r="I82" s="351"/>
      <c r="J82" s="351"/>
      <c r="K82" s="366"/>
      <c r="L82" s="367"/>
      <c r="M82" s="367"/>
      <c r="N82" s="367"/>
      <c r="O82" s="367"/>
      <c r="P82" s="367"/>
      <c r="Q82" s="367"/>
      <c r="R82" s="367"/>
      <c r="S82" s="368"/>
      <c r="T82" s="369"/>
      <c r="U82" s="369"/>
      <c r="V82" s="369"/>
      <c r="W82" s="369"/>
      <c r="X82" s="370"/>
      <c r="Y82" s="370"/>
      <c r="Z82" s="370"/>
      <c r="AA82" s="370"/>
      <c r="AB82" s="370"/>
      <c r="AC82" s="370"/>
      <c r="AD82" s="371"/>
      <c r="AF82" s="50"/>
    </row>
    <row r="83" spans="1:32" ht="36" thickBot="1">
      <c r="A83" s="363" t="s">
        <v>230</v>
      </c>
      <c r="B83" s="363"/>
      <c r="C83" s="363"/>
      <c r="D83" s="363"/>
      <c r="E83" s="363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64" t="s">
        <v>113</v>
      </c>
      <c r="B84" s="365"/>
      <c r="C84" s="355" t="s">
        <v>52</v>
      </c>
      <c r="D84" s="355"/>
      <c r="E84" s="355" t="s">
        <v>53</v>
      </c>
      <c r="F84" s="355"/>
      <c r="G84" s="355"/>
      <c r="H84" s="355"/>
      <c r="I84" s="355"/>
      <c r="J84" s="355"/>
      <c r="K84" s="355" t="s">
        <v>54</v>
      </c>
      <c r="L84" s="355"/>
      <c r="M84" s="355"/>
      <c r="N84" s="355"/>
      <c r="O84" s="355"/>
      <c r="P84" s="355"/>
      <c r="Q84" s="355"/>
      <c r="R84" s="355"/>
      <c r="S84" s="355"/>
      <c r="T84" s="355" t="s">
        <v>55</v>
      </c>
      <c r="U84" s="355"/>
      <c r="V84" s="355" t="s">
        <v>56</v>
      </c>
      <c r="W84" s="355"/>
      <c r="X84" s="355"/>
      <c r="Y84" s="355" t="s">
        <v>51</v>
      </c>
      <c r="Z84" s="355"/>
      <c r="AA84" s="355"/>
      <c r="AB84" s="355"/>
      <c r="AC84" s="355"/>
      <c r="AD84" s="356"/>
      <c r="AF84" s="50"/>
    </row>
    <row r="85" spans="1:32" ht="30.75" customHeight="1">
      <c r="A85" s="357">
        <v>1</v>
      </c>
      <c r="B85" s="358"/>
      <c r="C85" s="359"/>
      <c r="D85" s="359"/>
      <c r="E85" s="359"/>
      <c r="F85" s="359"/>
      <c r="G85" s="359"/>
      <c r="H85" s="359"/>
      <c r="I85" s="359"/>
      <c r="J85" s="359"/>
      <c r="K85" s="359"/>
      <c r="L85" s="359"/>
      <c r="M85" s="359"/>
      <c r="N85" s="359"/>
      <c r="O85" s="359"/>
      <c r="P85" s="359"/>
      <c r="Q85" s="359"/>
      <c r="R85" s="359"/>
      <c r="S85" s="359"/>
      <c r="T85" s="359"/>
      <c r="U85" s="359"/>
      <c r="V85" s="360"/>
      <c r="W85" s="360"/>
      <c r="X85" s="360"/>
      <c r="Y85" s="361"/>
      <c r="Z85" s="361"/>
      <c r="AA85" s="361"/>
      <c r="AB85" s="361"/>
      <c r="AC85" s="361"/>
      <c r="AD85" s="362"/>
      <c r="AF85" s="50"/>
    </row>
    <row r="86" spans="1:32" ht="30.75" customHeight="1">
      <c r="A86" s="350">
        <v>2</v>
      </c>
      <c r="B86" s="351"/>
      <c r="C86" s="352"/>
      <c r="D86" s="352"/>
      <c r="E86" s="352"/>
      <c r="F86" s="352"/>
      <c r="G86" s="352"/>
      <c r="H86" s="352"/>
      <c r="I86" s="352"/>
      <c r="J86" s="352"/>
      <c r="K86" s="352"/>
      <c r="L86" s="352"/>
      <c r="M86" s="352"/>
      <c r="N86" s="352"/>
      <c r="O86" s="352"/>
      <c r="P86" s="352"/>
      <c r="Q86" s="352"/>
      <c r="R86" s="352"/>
      <c r="S86" s="352"/>
      <c r="T86" s="353"/>
      <c r="U86" s="353"/>
      <c r="V86" s="354"/>
      <c r="W86" s="354"/>
      <c r="X86" s="354"/>
      <c r="Y86" s="343"/>
      <c r="Z86" s="343"/>
      <c r="AA86" s="343"/>
      <c r="AB86" s="343"/>
      <c r="AC86" s="343"/>
      <c r="AD86" s="344"/>
      <c r="AF86" s="50"/>
    </row>
    <row r="87" spans="1:32" ht="30.75" customHeight="1" thickBot="1">
      <c r="A87" s="345">
        <v>3</v>
      </c>
      <c r="B87" s="346"/>
      <c r="C87" s="347"/>
      <c r="D87" s="347"/>
      <c r="E87" s="347"/>
      <c r="F87" s="347"/>
      <c r="G87" s="347"/>
      <c r="H87" s="347"/>
      <c r="I87" s="347"/>
      <c r="J87" s="347"/>
      <c r="K87" s="347"/>
      <c r="L87" s="347"/>
      <c r="M87" s="347"/>
      <c r="N87" s="347"/>
      <c r="O87" s="347"/>
      <c r="P87" s="347"/>
      <c r="Q87" s="347"/>
      <c r="R87" s="347"/>
      <c r="S87" s="347"/>
      <c r="T87" s="347"/>
      <c r="U87" s="347"/>
      <c r="V87" s="347"/>
      <c r="W87" s="347"/>
      <c r="X87" s="347"/>
      <c r="Y87" s="348"/>
      <c r="Z87" s="348"/>
      <c r="AA87" s="348"/>
      <c r="AB87" s="348"/>
      <c r="AC87" s="348"/>
      <c r="AD87" s="349"/>
      <c r="AF87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B04E-2D10-4506-B794-D92531790D98}">
  <dimension ref="A1:AF87"/>
  <sheetViews>
    <sheetView zoomScale="72" zoomScaleNormal="72" zoomScaleSheetLayoutView="70" workbookViewId="0">
      <selection activeCell="L8" sqref="L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58" t="s">
        <v>231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8"/>
      <c r="B2" s="458"/>
      <c r="C2" s="458"/>
      <c r="D2" s="458"/>
      <c r="E2" s="458"/>
      <c r="F2" s="458"/>
      <c r="G2" s="458"/>
      <c r="H2" s="458"/>
      <c r="I2" s="458"/>
      <c r="J2" s="458"/>
      <c r="K2" s="458"/>
      <c r="L2" s="458"/>
      <c r="M2" s="458"/>
      <c r="N2" s="458"/>
      <c r="O2" s="45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9"/>
      <c r="B3" s="459"/>
      <c r="C3" s="459"/>
      <c r="D3" s="459"/>
      <c r="E3" s="459"/>
      <c r="F3" s="459"/>
      <c r="G3" s="45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0" t="s">
        <v>0</v>
      </c>
      <c r="B4" s="462" t="s">
        <v>1</v>
      </c>
      <c r="C4" s="462" t="s">
        <v>2</v>
      </c>
      <c r="D4" s="465" t="s">
        <v>3</v>
      </c>
      <c r="E4" s="467" t="s">
        <v>4</v>
      </c>
      <c r="F4" s="465" t="s">
        <v>5</v>
      </c>
      <c r="G4" s="462" t="s">
        <v>6</v>
      </c>
      <c r="H4" s="468" t="s">
        <v>7</v>
      </c>
      <c r="I4" s="448" t="s">
        <v>8</v>
      </c>
      <c r="J4" s="449"/>
      <c r="K4" s="449"/>
      <c r="L4" s="449"/>
      <c r="M4" s="449"/>
      <c r="N4" s="449"/>
      <c r="O4" s="450"/>
      <c r="P4" s="451" t="s">
        <v>9</v>
      </c>
      <c r="Q4" s="452"/>
      <c r="R4" s="453" t="s">
        <v>10</v>
      </c>
      <c r="S4" s="453"/>
      <c r="T4" s="453"/>
      <c r="U4" s="453"/>
      <c r="V4" s="453"/>
      <c r="W4" s="454" t="s">
        <v>11</v>
      </c>
      <c r="X4" s="453"/>
      <c r="Y4" s="453"/>
      <c r="Z4" s="453"/>
      <c r="AA4" s="455"/>
      <c r="AB4" s="456" t="s">
        <v>12</v>
      </c>
      <c r="AC4" s="429" t="s">
        <v>13</v>
      </c>
      <c r="AD4" s="429" t="s">
        <v>14</v>
      </c>
      <c r="AE4" s="54"/>
    </row>
    <row r="5" spans="1:32" ht="51" customHeight="1" thickBot="1">
      <c r="A5" s="461"/>
      <c r="B5" s="463"/>
      <c r="C5" s="464"/>
      <c r="D5" s="466"/>
      <c r="E5" s="466"/>
      <c r="F5" s="466"/>
      <c r="G5" s="463"/>
      <c r="H5" s="469"/>
      <c r="I5" s="55" t="s">
        <v>15</v>
      </c>
      <c r="J5" s="56" t="s">
        <v>16</v>
      </c>
      <c r="K5" s="164" t="s">
        <v>17</v>
      </c>
      <c r="L5" s="164" t="s">
        <v>18</v>
      </c>
      <c r="M5" s="164" t="s">
        <v>19</v>
      </c>
      <c r="N5" s="16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57"/>
      <c r="AC5" s="430"/>
      <c r="AD5" s="43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0.38611111111111113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126</v>
      </c>
      <c r="D7" s="52" t="s">
        <v>127</v>
      </c>
      <c r="E7" s="53" t="s">
        <v>125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0.38611111111111113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123</v>
      </c>
      <c r="D8" s="52" t="s">
        <v>146</v>
      </c>
      <c r="E8" s="53" t="s">
        <v>151</v>
      </c>
      <c r="F8" s="30" t="s">
        <v>140</v>
      </c>
      <c r="G8" s="33">
        <v>2</v>
      </c>
      <c r="H8" s="35">
        <v>24</v>
      </c>
      <c r="I8" s="7">
        <v>2000</v>
      </c>
      <c r="J8" s="14">
        <v>7228</v>
      </c>
      <c r="K8" s="15">
        <f>L8+7228</f>
        <v>7228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0.38611111111111113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133</v>
      </c>
      <c r="E9" s="53" t="s">
        <v>135</v>
      </c>
      <c r="F9" s="30" t="s">
        <v>124</v>
      </c>
      <c r="G9" s="33">
        <v>1</v>
      </c>
      <c r="H9" s="35">
        <v>24</v>
      </c>
      <c r="I9" s="7">
        <v>140000</v>
      </c>
      <c r="J9" s="14">
        <v>652</v>
      </c>
      <c r="K9" s="15">
        <f>L9+1036+2500+4639+2951+2392+2902+2784+3566+4110+4299+4289+1910+4734+4854+3892+4611+3795+5160+1762+3528+5214+2558+4569+2950+2156+1926+2008+4959+2003+5012+1587+3659+4383+3050+1774+2365+4990+1951+2870+4719+4021+1991+2339+4564+1209+2580+4170+4218+1852+4150+3691+452+2336+4213+3072+3089+2806+2527+366+3419+3294+2446+849</f>
        <v>198723</v>
      </c>
      <c r="L9" s="15">
        <v>652</v>
      </c>
      <c r="M9" s="15">
        <f t="shared" si="1"/>
        <v>652</v>
      </c>
      <c r="N9" s="15">
        <v>0</v>
      </c>
      <c r="O9" s="58">
        <f t="shared" si="2"/>
        <v>0</v>
      </c>
      <c r="P9" s="39">
        <f t="shared" si="3"/>
        <v>4</v>
      </c>
      <c r="Q9" s="40">
        <f t="shared" si="4"/>
        <v>20</v>
      </c>
      <c r="R9" s="7"/>
      <c r="S9" s="6">
        <v>20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0.16666666666666666</v>
      </c>
      <c r="AD9" s="10">
        <f t="shared" si="7"/>
        <v>0.16666666666666666</v>
      </c>
      <c r="AE9" s="36">
        <f t="shared" si="8"/>
        <v>0.38611111111111113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131</v>
      </c>
      <c r="D10" s="52" t="s">
        <v>150</v>
      </c>
      <c r="E10" s="53" t="s">
        <v>152</v>
      </c>
      <c r="F10" s="30" t="s">
        <v>121</v>
      </c>
      <c r="G10" s="33">
        <v>2</v>
      </c>
      <c r="H10" s="35">
        <v>24</v>
      </c>
      <c r="I10" s="7">
        <v>130000</v>
      </c>
      <c r="J10" s="5">
        <v>11964</v>
      </c>
      <c r="K10" s="15">
        <f>L10+13288+10116+14610+5976+7143+12482+1676</f>
        <v>77255</v>
      </c>
      <c r="L10" s="15">
        <f>3593*2+2389*2</f>
        <v>11964</v>
      </c>
      <c r="M10" s="15">
        <f t="shared" si="1"/>
        <v>11964</v>
      </c>
      <c r="N10" s="15">
        <v>0</v>
      </c>
      <c r="O10" s="58">
        <f t="shared" si="2"/>
        <v>0</v>
      </c>
      <c r="P10" s="39">
        <f t="shared" si="3"/>
        <v>21</v>
      </c>
      <c r="Q10" s="40">
        <f t="shared" si="4"/>
        <v>3</v>
      </c>
      <c r="R10" s="7"/>
      <c r="S10" s="6">
        <v>3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0.875</v>
      </c>
      <c r="AD10" s="10">
        <f>AC10*AB10*(1-O10)</f>
        <v>0.875</v>
      </c>
      <c r="AE10" s="36">
        <f t="shared" si="8"/>
        <v>0.38611111111111113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123</v>
      </c>
      <c r="D11" s="52" t="s">
        <v>218</v>
      </c>
      <c r="E11" s="53" t="s">
        <v>219</v>
      </c>
      <c r="F11" s="30" t="s">
        <v>124</v>
      </c>
      <c r="G11" s="33">
        <v>1</v>
      </c>
      <c r="H11" s="35">
        <v>24</v>
      </c>
      <c r="I11" s="7">
        <v>3000</v>
      </c>
      <c r="J11" s="5">
        <v>2015</v>
      </c>
      <c r="K11" s="15">
        <f>L11</f>
        <v>2015</v>
      </c>
      <c r="L11" s="15">
        <f>2015</f>
        <v>2015</v>
      </c>
      <c r="M11" s="15">
        <f t="shared" si="1"/>
        <v>2015</v>
      </c>
      <c r="N11" s="15">
        <v>0</v>
      </c>
      <c r="O11" s="58">
        <f t="shared" si="2"/>
        <v>0</v>
      </c>
      <c r="P11" s="39">
        <f t="shared" si="3"/>
        <v>10</v>
      </c>
      <c r="Q11" s="40">
        <f t="shared" si="4"/>
        <v>14</v>
      </c>
      <c r="R11" s="7"/>
      <c r="S11" s="6">
        <v>14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0.41666666666666669</v>
      </c>
      <c r="AD11" s="10">
        <f>AC11*AB11*(1-O11)</f>
        <v>0.41666666666666669</v>
      </c>
      <c r="AE11" s="36">
        <f t="shared" si="8"/>
        <v>0.38611111111111113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134</v>
      </c>
      <c r="F12" s="30" t="s">
        <v>121</v>
      </c>
      <c r="G12" s="33">
        <v>1</v>
      </c>
      <c r="H12" s="35">
        <v>24</v>
      </c>
      <c r="I12" s="7">
        <v>100000</v>
      </c>
      <c r="J12" s="14">
        <v>3751</v>
      </c>
      <c r="K12" s="15">
        <f>L12+2036+3193+2673+3958+1875+401+3155+4199+2859+2339+1952+1208+2933+3415+1960+4032+870+1602+872+2860+3148+2498+463+1324+1687+1943+4107+3383+1502+790+4143+3077+2335+2648+3828+4343+1632+3883+3120+1722+927+911+582+3950+4147+4076+3496+4082+3413+654+2354+3732+4055+3968+4076+4172+1706+869+3574+3169+2832</f>
        <v>164464</v>
      </c>
      <c r="L12" s="15">
        <f>1921+1830</f>
        <v>3751</v>
      </c>
      <c r="M12" s="15">
        <f t="shared" si="1"/>
        <v>3751</v>
      </c>
      <c r="N12" s="15">
        <v>0</v>
      </c>
      <c r="O12" s="58">
        <f t="shared" si="2"/>
        <v>0</v>
      </c>
      <c r="P12" s="39">
        <f t="shared" si="3"/>
        <v>21</v>
      </c>
      <c r="Q12" s="40">
        <f t="shared" si="4"/>
        <v>3</v>
      </c>
      <c r="R12" s="7"/>
      <c r="S12" s="6"/>
      <c r="T12" s="16"/>
      <c r="U12" s="16"/>
      <c r="V12" s="17"/>
      <c r="W12" s="5">
        <v>3</v>
      </c>
      <c r="X12" s="16"/>
      <c r="Y12" s="16"/>
      <c r="Z12" s="16"/>
      <c r="AA12" s="18"/>
      <c r="AB12" s="8">
        <f t="shared" si="5"/>
        <v>1</v>
      </c>
      <c r="AC12" s="9">
        <f t="shared" si="6"/>
        <v>0.875</v>
      </c>
      <c r="AD12" s="10">
        <f t="shared" ref="AD12:AD15" si="10">AC12*AB12*(1-O12)</f>
        <v>0.875</v>
      </c>
      <c r="AE12" s="36">
        <f t="shared" si="8"/>
        <v>0.38611111111111113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117</v>
      </c>
      <c r="E13" s="53" t="s">
        <v>143</v>
      </c>
      <c r="F13" s="30" t="s">
        <v>138</v>
      </c>
      <c r="G13" s="33">
        <v>4</v>
      </c>
      <c r="H13" s="35">
        <v>24</v>
      </c>
      <c r="I13" s="7">
        <v>850000</v>
      </c>
      <c r="J13" s="14">
        <v>17048</v>
      </c>
      <c r="K13" s="15">
        <f>L13+20676+20704+882+19912+11748+21560+18812</f>
        <v>131342</v>
      </c>
      <c r="L13" s="15">
        <f>2670*4+1592*4</f>
        <v>17048</v>
      </c>
      <c r="M13" s="15">
        <f t="shared" si="1"/>
        <v>17048</v>
      </c>
      <c r="N13" s="15">
        <v>0</v>
      </c>
      <c r="O13" s="58">
        <f t="shared" si="2"/>
        <v>0</v>
      </c>
      <c r="P13" s="39">
        <f t="shared" si="3"/>
        <v>22</v>
      </c>
      <c r="Q13" s="40">
        <f t="shared" si="4"/>
        <v>2</v>
      </c>
      <c r="R13" s="7"/>
      <c r="S13" s="6">
        <v>2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0.91666666666666663</v>
      </c>
      <c r="AD13" s="10">
        <f t="shared" si="10"/>
        <v>0.91666666666666663</v>
      </c>
      <c r="AE13" s="36">
        <f t="shared" si="8"/>
        <v>0.38611111111111113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126</v>
      </c>
      <c r="D14" s="52" t="s">
        <v>156</v>
      </c>
      <c r="E14" s="53"/>
      <c r="F14" s="30" t="s">
        <v>138</v>
      </c>
      <c r="G14" s="33" t="s">
        <v>157</v>
      </c>
      <c r="H14" s="35">
        <v>24</v>
      </c>
      <c r="I14" s="7">
        <v>1300</v>
      </c>
      <c r="J14" s="5">
        <v>1742</v>
      </c>
      <c r="K14" s="15">
        <f>L14+1742</f>
        <v>1742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10"/>
        <v>0</v>
      </c>
      <c r="AE14" s="36">
        <f t="shared" si="8"/>
        <v>0.38611111111111113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158</v>
      </c>
      <c r="D15" s="52" t="s">
        <v>119</v>
      </c>
      <c r="E15" s="53" t="s">
        <v>232</v>
      </c>
      <c r="F15" s="12" t="s">
        <v>160</v>
      </c>
      <c r="G15" s="12">
        <v>2</v>
      </c>
      <c r="H15" s="13">
        <v>24</v>
      </c>
      <c r="I15" s="31">
        <v>500</v>
      </c>
      <c r="J15" s="14">
        <v>2280</v>
      </c>
      <c r="K15" s="15">
        <f>L15</f>
        <v>2280</v>
      </c>
      <c r="L15" s="15">
        <f>1140*2</f>
        <v>2280</v>
      </c>
      <c r="M15" s="15">
        <f t="shared" ref="M15" si="11">L15-N15</f>
        <v>2280</v>
      </c>
      <c r="N15" s="15">
        <v>0</v>
      </c>
      <c r="O15" s="58">
        <f t="shared" ref="O15" si="12">IF(L15=0,"0",N15/L15)</f>
        <v>0</v>
      </c>
      <c r="P15" s="39">
        <f t="shared" ref="P15" si="13">IF(L15=0,"0",(24-Q15))</f>
        <v>5</v>
      </c>
      <c r="Q15" s="40">
        <f t="shared" ref="Q15" si="14">SUM(R15:AA15)</f>
        <v>19</v>
      </c>
      <c r="R15" s="7"/>
      <c r="S15" s="6"/>
      <c r="T15" s="16"/>
      <c r="U15" s="16"/>
      <c r="V15" s="17"/>
      <c r="W15" s="5">
        <v>19</v>
      </c>
      <c r="X15" s="16"/>
      <c r="Y15" s="16"/>
      <c r="Z15" s="16"/>
      <c r="AA15" s="18"/>
      <c r="AB15" s="8">
        <f t="shared" ref="AB15" si="15">IF(J15=0,"0",(L15/J15))</f>
        <v>1</v>
      </c>
      <c r="AC15" s="9">
        <f t="shared" ref="AC15" si="16">IF(P15=0,"0",(P15/24))</f>
        <v>0.20833333333333334</v>
      </c>
      <c r="AD15" s="10">
        <f t="shared" si="10"/>
        <v>0.20833333333333334</v>
      </c>
      <c r="AE15" s="36">
        <f t="shared" si="8"/>
        <v>0.38611111111111113</v>
      </c>
      <c r="AF15" s="87">
        <f t="shared" ref="AF15" si="17">A15</f>
        <v>10</v>
      </c>
    </row>
    <row r="16" spans="1:32" ht="27" customHeight="1">
      <c r="A16" s="102">
        <v>10</v>
      </c>
      <c r="B16" s="11" t="s">
        <v>57</v>
      </c>
      <c r="C16" s="34" t="s">
        <v>158</v>
      </c>
      <c r="D16" s="52" t="s">
        <v>119</v>
      </c>
      <c r="E16" s="53" t="s">
        <v>201</v>
      </c>
      <c r="F16" s="12" t="s">
        <v>160</v>
      </c>
      <c r="G16" s="12">
        <v>2</v>
      </c>
      <c r="H16" s="13">
        <v>24</v>
      </c>
      <c r="I16" s="31">
        <v>42000</v>
      </c>
      <c r="J16" s="14">
        <v>7814</v>
      </c>
      <c r="K16" s="15">
        <f>L16+9554</f>
        <v>17368</v>
      </c>
      <c r="L16" s="15">
        <f>2873*2+1034*2</f>
        <v>7814</v>
      </c>
      <c r="M16" s="15">
        <f t="shared" si="1"/>
        <v>7814</v>
      </c>
      <c r="N16" s="15">
        <v>0</v>
      </c>
      <c r="O16" s="58">
        <f t="shared" si="2"/>
        <v>0</v>
      </c>
      <c r="P16" s="39">
        <f t="shared" si="3"/>
        <v>18</v>
      </c>
      <c r="Q16" s="40">
        <f t="shared" si="4"/>
        <v>6</v>
      </c>
      <c r="R16" s="7"/>
      <c r="S16" s="6"/>
      <c r="T16" s="16">
        <v>6</v>
      </c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0.75</v>
      </c>
      <c r="AD16" s="10">
        <f t="shared" si="7"/>
        <v>0.75</v>
      </c>
      <c r="AE16" s="36">
        <f t="shared" si="8"/>
        <v>0.38611111111111113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148</v>
      </c>
      <c r="D17" s="52"/>
      <c r="E17" s="53" t="s">
        <v>149</v>
      </c>
      <c r="F17" s="30" t="s">
        <v>124</v>
      </c>
      <c r="G17" s="12">
        <v>1</v>
      </c>
      <c r="H17" s="13">
        <v>28</v>
      </c>
      <c r="I17" s="7">
        <v>1000</v>
      </c>
      <c r="J17" s="14">
        <v>1192</v>
      </c>
      <c r="K17" s="15">
        <f>L17+1192</f>
        <v>1192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0.38611111111111113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34" t="s">
        <v>126</v>
      </c>
      <c r="D18" s="52" t="s">
        <v>233</v>
      </c>
      <c r="E18" s="53" t="s">
        <v>234</v>
      </c>
      <c r="F18" s="30" t="s">
        <v>142</v>
      </c>
      <c r="G18" s="33">
        <v>1</v>
      </c>
      <c r="H18" s="35">
        <v>24</v>
      </c>
      <c r="I18" s="7">
        <v>2000</v>
      </c>
      <c r="J18" s="5">
        <v>2363</v>
      </c>
      <c r="K18" s="15">
        <f>L18</f>
        <v>2363</v>
      </c>
      <c r="L18" s="15">
        <f>1455+908</f>
        <v>2363</v>
      </c>
      <c r="M18" s="15">
        <f t="shared" si="1"/>
        <v>2363</v>
      </c>
      <c r="N18" s="15">
        <v>0</v>
      </c>
      <c r="O18" s="58">
        <f t="shared" si="2"/>
        <v>0</v>
      </c>
      <c r="P18" s="39">
        <f t="shared" si="3"/>
        <v>14</v>
      </c>
      <c r="Q18" s="40">
        <f t="shared" si="4"/>
        <v>10</v>
      </c>
      <c r="R18" s="7"/>
      <c r="S18" s="6"/>
      <c r="T18" s="16"/>
      <c r="U18" s="16"/>
      <c r="V18" s="17"/>
      <c r="W18" s="5">
        <v>10</v>
      </c>
      <c r="X18" s="16"/>
      <c r="Y18" s="16"/>
      <c r="Z18" s="16"/>
      <c r="AA18" s="18"/>
      <c r="AB18" s="8">
        <f t="shared" si="5"/>
        <v>1</v>
      </c>
      <c r="AC18" s="9">
        <f t="shared" si="6"/>
        <v>0.58333333333333337</v>
      </c>
      <c r="AD18" s="10">
        <f t="shared" si="7"/>
        <v>0.58333333333333337</v>
      </c>
      <c r="AE18" s="36">
        <f t="shared" si="8"/>
        <v>0.38611111111111113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158</v>
      </c>
      <c r="D19" s="52"/>
      <c r="E19" s="53" t="s">
        <v>161</v>
      </c>
      <c r="F19" s="30" t="s">
        <v>162</v>
      </c>
      <c r="G19" s="33" t="s">
        <v>157</v>
      </c>
      <c r="H19" s="35">
        <v>24</v>
      </c>
      <c r="I19" s="7">
        <v>2000</v>
      </c>
      <c r="J19" s="5">
        <v>3312</v>
      </c>
      <c r="K19" s="15">
        <f>L19+3312</f>
        <v>3312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5"/>
        <v>0</v>
      </c>
      <c r="AC19" s="9">
        <f t="shared" si="6"/>
        <v>0</v>
      </c>
      <c r="AD19" s="10">
        <f>AC19*AB19*(1-O19)</f>
        <v>0</v>
      </c>
      <c r="AE19" s="36">
        <f t="shared" si="8"/>
        <v>0.38611111111111113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126</v>
      </c>
      <c r="D20" s="52" t="s">
        <v>202</v>
      </c>
      <c r="E20" s="53" t="s">
        <v>205</v>
      </c>
      <c r="F20" s="30" t="s">
        <v>138</v>
      </c>
      <c r="G20" s="33">
        <v>4</v>
      </c>
      <c r="H20" s="35">
        <v>24</v>
      </c>
      <c r="I20" s="7">
        <v>800000</v>
      </c>
      <c r="J20" s="14">
        <v>20160</v>
      </c>
      <c r="K20" s="15">
        <f>L20+12980</f>
        <v>33140</v>
      </c>
      <c r="L20" s="15">
        <f>2453*4+2587*4</f>
        <v>20160</v>
      </c>
      <c r="M20" s="15">
        <f t="shared" si="1"/>
        <v>20160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 t="shared" ref="AD20" si="18">AC20*AB20*(1-O20)</f>
        <v>1</v>
      </c>
      <c r="AE20" s="36">
        <f t="shared" si="8"/>
        <v>0.38611111111111113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144</v>
      </c>
      <c r="F21" s="12" t="s">
        <v>116</v>
      </c>
      <c r="G21" s="12">
        <v>3</v>
      </c>
      <c r="H21" s="35">
        <v>20</v>
      </c>
      <c r="I21" s="7">
        <v>200000</v>
      </c>
      <c r="J21" s="14">
        <v>34300</v>
      </c>
      <c r="K21" s="15">
        <f>L21+22050+34300</f>
        <v>56350</v>
      </c>
      <c r="L21" s="15"/>
      <c r="M21" s="15">
        <f t="shared" si="1"/>
        <v>0</v>
      </c>
      <c r="N21" s="15">
        <v>0</v>
      </c>
      <c r="O21" s="58" t="str">
        <f t="shared" si="2"/>
        <v>0</v>
      </c>
      <c r="P21" s="39" t="str">
        <f t="shared" si="3"/>
        <v>0</v>
      </c>
      <c r="Q21" s="40">
        <f t="shared" si="4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5"/>
        <v>0</v>
      </c>
      <c r="AC21" s="9">
        <f t="shared" si="6"/>
        <v>0</v>
      </c>
      <c r="AD21" s="10">
        <f t="shared" si="7"/>
        <v>0</v>
      </c>
      <c r="AE21" s="36">
        <f t="shared" si="8"/>
        <v>0.38611111111111113</v>
      </c>
      <c r="AF21" s="87">
        <f t="shared" si="9"/>
        <v>15</v>
      </c>
    </row>
    <row r="22" spans="1:32" ht="31.5" customHeight="1" thickBot="1">
      <c r="A22" s="431" t="s">
        <v>34</v>
      </c>
      <c r="B22" s="432"/>
      <c r="C22" s="432"/>
      <c r="D22" s="432"/>
      <c r="E22" s="432"/>
      <c r="F22" s="432"/>
      <c r="G22" s="432"/>
      <c r="H22" s="433"/>
      <c r="I22" s="22">
        <f t="shared" ref="I22:N22" si="19">SUM(I6:I21)</f>
        <v>2294800</v>
      </c>
      <c r="J22" s="19">
        <f t="shared" si="19"/>
        <v>117882</v>
      </c>
      <c r="K22" s="20">
        <f t="shared" si="19"/>
        <v>710322</v>
      </c>
      <c r="L22" s="21">
        <f t="shared" si="19"/>
        <v>68047</v>
      </c>
      <c r="M22" s="20">
        <f t="shared" si="19"/>
        <v>68047</v>
      </c>
      <c r="N22" s="21">
        <f t="shared" si="19"/>
        <v>0</v>
      </c>
      <c r="O22" s="41">
        <f t="shared" si="2"/>
        <v>0</v>
      </c>
      <c r="P22" s="42">
        <f t="shared" ref="P22:AA22" si="20">SUM(P6:P21)</f>
        <v>139</v>
      </c>
      <c r="Q22" s="43">
        <f t="shared" si="20"/>
        <v>245</v>
      </c>
      <c r="R22" s="23">
        <f t="shared" si="20"/>
        <v>24</v>
      </c>
      <c r="S22" s="24">
        <f t="shared" si="20"/>
        <v>39</v>
      </c>
      <c r="T22" s="24">
        <f t="shared" si="20"/>
        <v>6</v>
      </c>
      <c r="U22" s="24">
        <f t="shared" si="20"/>
        <v>0</v>
      </c>
      <c r="V22" s="25">
        <f t="shared" si="20"/>
        <v>24</v>
      </c>
      <c r="W22" s="26">
        <f t="shared" si="20"/>
        <v>128</v>
      </c>
      <c r="X22" s="27">
        <f t="shared" si="20"/>
        <v>0</v>
      </c>
      <c r="Y22" s="27">
        <f t="shared" si="20"/>
        <v>0</v>
      </c>
      <c r="Z22" s="27">
        <f t="shared" si="20"/>
        <v>0</v>
      </c>
      <c r="AA22" s="27">
        <f t="shared" si="20"/>
        <v>24</v>
      </c>
      <c r="AB22" s="28">
        <f>SUM(AB6:AB21)/15</f>
        <v>0.6</v>
      </c>
      <c r="AC22" s="4">
        <f>SUM(AC6:AC21)/15</f>
        <v>0.38611111111111113</v>
      </c>
      <c r="AD22" s="4">
        <f>SUM(AD6:AD21)/15</f>
        <v>0.38611111111111113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34" t="s">
        <v>45</v>
      </c>
      <c r="B49" s="434"/>
      <c r="C49" s="434"/>
      <c r="D49" s="434"/>
      <c r="E49" s="434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35" t="s">
        <v>235</v>
      </c>
      <c r="B50" s="436"/>
      <c r="C50" s="436"/>
      <c r="D50" s="436"/>
      <c r="E50" s="436"/>
      <c r="F50" s="436"/>
      <c r="G50" s="436"/>
      <c r="H50" s="436"/>
      <c r="I50" s="436"/>
      <c r="J50" s="436"/>
      <c r="K50" s="436"/>
      <c r="L50" s="436"/>
      <c r="M50" s="437"/>
      <c r="N50" s="438" t="s">
        <v>238</v>
      </c>
      <c r="O50" s="439"/>
      <c r="P50" s="439"/>
      <c r="Q50" s="439"/>
      <c r="R50" s="439"/>
      <c r="S50" s="439"/>
      <c r="T50" s="439"/>
      <c r="U50" s="439"/>
      <c r="V50" s="439"/>
      <c r="W50" s="439"/>
      <c r="X50" s="439"/>
      <c r="Y50" s="439"/>
      <c r="Z50" s="439"/>
      <c r="AA50" s="439"/>
      <c r="AB50" s="439"/>
      <c r="AC50" s="439"/>
      <c r="AD50" s="440"/>
    </row>
    <row r="51" spans="1:32" ht="27" customHeight="1">
      <c r="A51" s="441" t="s">
        <v>2</v>
      </c>
      <c r="B51" s="442"/>
      <c r="C51" s="163" t="s">
        <v>46</v>
      </c>
      <c r="D51" s="163" t="s">
        <v>47</v>
      </c>
      <c r="E51" s="163" t="s">
        <v>108</v>
      </c>
      <c r="F51" s="442" t="s">
        <v>107</v>
      </c>
      <c r="G51" s="442"/>
      <c r="H51" s="442"/>
      <c r="I51" s="442"/>
      <c r="J51" s="442"/>
      <c r="K51" s="442"/>
      <c r="L51" s="442"/>
      <c r="M51" s="443"/>
      <c r="N51" s="67" t="s">
        <v>112</v>
      </c>
      <c r="O51" s="163" t="s">
        <v>46</v>
      </c>
      <c r="P51" s="444" t="s">
        <v>47</v>
      </c>
      <c r="Q51" s="445"/>
      <c r="R51" s="444" t="s">
        <v>38</v>
      </c>
      <c r="S51" s="446"/>
      <c r="T51" s="446"/>
      <c r="U51" s="445"/>
      <c r="V51" s="444" t="s">
        <v>48</v>
      </c>
      <c r="W51" s="446"/>
      <c r="X51" s="446"/>
      <c r="Y51" s="446"/>
      <c r="Z51" s="446"/>
      <c r="AA51" s="446"/>
      <c r="AB51" s="446"/>
      <c r="AC51" s="446"/>
      <c r="AD51" s="447"/>
    </row>
    <row r="52" spans="1:32" ht="27" customHeight="1">
      <c r="A52" s="412" t="s">
        <v>114</v>
      </c>
      <c r="B52" s="413"/>
      <c r="C52" s="160" t="s">
        <v>129</v>
      </c>
      <c r="D52" s="160" t="s">
        <v>133</v>
      </c>
      <c r="E52" s="160" t="s">
        <v>135</v>
      </c>
      <c r="F52" s="414" t="s">
        <v>207</v>
      </c>
      <c r="G52" s="415"/>
      <c r="H52" s="415"/>
      <c r="I52" s="415"/>
      <c r="J52" s="415"/>
      <c r="K52" s="415"/>
      <c r="L52" s="415"/>
      <c r="M52" s="416"/>
      <c r="N52" s="159" t="s">
        <v>114</v>
      </c>
      <c r="O52" s="157" t="s">
        <v>129</v>
      </c>
      <c r="P52" s="426" t="s">
        <v>133</v>
      </c>
      <c r="Q52" s="427"/>
      <c r="R52" s="426" t="s">
        <v>135</v>
      </c>
      <c r="S52" s="428"/>
      <c r="T52" s="428"/>
      <c r="U52" s="427"/>
      <c r="V52" s="396" t="s">
        <v>137</v>
      </c>
      <c r="W52" s="396"/>
      <c r="X52" s="396"/>
      <c r="Y52" s="396"/>
      <c r="Z52" s="396"/>
      <c r="AA52" s="396"/>
      <c r="AB52" s="396"/>
      <c r="AC52" s="396"/>
      <c r="AD52" s="417"/>
    </row>
    <row r="53" spans="1:32" ht="27" customHeight="1">
      <c r="A53" s="412" t="s">
        <v>131</v>
      </c>
      <c r="B53" s="413"/>
      <c r="C53" s="160" t="s">
        <v>139</v>
      </c>
      <c r="D53" s="160"/>
      <c r="E53" s="160" t="s">
        <v>152</v>
      </c>
      <c r="F53" s="414" t="s">
        <v>137</v>
      </c>
      <c r="G53" s="415"/>
      <c r="H53" s="415"/>
      <c r="I53" s="415"/>
      <c r="J53" s="415"/>
      <c r="K53" s="415"/>
      <c r="L53" s="415"/>
      <c r="M53" s="416"/>
      <c r="N53" s="159" t="s">
        <v>123</v>
      </c>
      <c r="O53" s="157" t="s">
        <v>130</v>
      </c>
      <c r="P53" s="426" t="s">
        <v>218</v>
      </c>
      <c r="Q53" s="427"/>
      <c r="R53" s="426" t="s">
        <v>219</v>
      </c>
      <c r="S53" s="428"/>
      <c r="T53" s="428"/>
      <c r="U53" s="427"/>
      <c r="V53" s="396" t="s">
        <v>137</v>
      </c>
      <c r="W53" s="396"/>
      <c r="X53" s="396"/>
      <c r="Y53" s="396"/>
      <c r="Z53" s="396"/>
      <c r="AA53" s="396"/>
      <c r="AB53" s="396"/>
      <c r="AC53" s="396"/>
      <c r="AD53" s="417"/>
    </row>
    <row r="54" spans="1:32" ht="27" customHeight="1">
      <c r="A54" s="412" t="s">
        <v>158</v>
      </c>
      <c r="B54" s="413"/>
      <c r="C54" s="160" t="s">
        <v>171</v>
      </c>
      <c r="D54" s="160"/>
      <c r="E54" s="160" t="s">
        <v>215</v>
      </c>
      <c r="F54" s="414" t="s">
        <v>120</v>
      </c>
      <c r="G54" s="415"/>
      <c r="H54" s="415"/>
      <c r="I54" s="415"/>
      <c r="J54" s="415"/>
      <c r="K54" s="415"/>
      <c r="L54" s="415"/>
      <c r="M54" s="416"/>
      <c r="N54" s="159" t="s">
        <v>114</v>
      </c>
      <c r="O54" s="157" t="s">
        <v>169</v>
      </c>
      <c r="P54" s="426" t="s">
        <v>117</v>
      </c>
      <c r="Q54" s="427"/>
      <c r="R54" s="426" t="s">
        <v>239</v>
      </c>
      <c r="S54" s="428"/>
      <c r="T54" s="428"/>
      <c r="U54" s="427"/>
      <c r="V54" s="396" t="s">
        <v>120</v>
      </c>
      <c r="W54" s="396"/>
      <c r="X54" s="396"/>
      <c r="Y54" s="396"/>
      <c r="Z54" s="396"/>
      <c r="AA54" s="396"/>
      <c r="AB54" s="396"/>
      <c r="AC54" s="396"/>
      <c r="AD54" s="417"/>
    </row>
    <row r="55" spans="1:32" ht="27" customHeight="1">
      <c r="A55" s="412" t="s">
        <v>126</v>
      </c>
      <c r="B55" s="413"/>
      <c r="C55" s="160" t="s">
        <v>210</v>
      </c>
      <c r="D55" s="160" t="s">
        <v>117</v>
      </c>
      <c r="E55" s="160" t="s">
        <v>211</v>
      </c>
      <c r="F55" s="414" t="s">
        <v>236</v>
      </c>
      <c r="G55" s="415"/>
      <c r="H55" s="415"/>
      <c r="I55" s="415"/>
      <c r="J55" s="415"/>
      <c r="K55" s="415"/>
      <c r="L55" s="415"/>
      <c r="M55" s="416"/>
      <c r="N55" s="159"/>
      <c r="O55" s="157"/>
      <c r="P55" s="426"/>
      <c r="Q55" s="427"/>
      <c r="R55" s="426"/>
      <c r="S55" s="428"/>
      <c r="T55" s="428"/>
      <c r="U55" s="427"/>
      <c r="V55" s="396"/>
      <c r="W55" s="396"/>
      <c r="X55" s="396"/>
      <c r="Y55" s="396"/>
      <c r="Z55" s="396"/>
      <c r="AA55" s="396"/>
      <c r="AB55" s="396"/>
      <c r="AC55" s="396"/>
      <c r="AD55" s="417"/>
    </row>
    <row r="56" spans="1:32" ht="27" customHeight="1">
      <c r="A56" s="412" t="s">
        <v>126</v>
      </c>
      <c r="B56" s="413"/>
      <c r="C56" s="160" t="s">
        <v>237</v>
      </c>
      <c r="D56" s="160" t="s">
        <v>233</v>
      </c>
      <c r="E56" s="160" t="s">
        <v>234</v>
      </c>
      <c r="F56" s="414" t="s">
        <v>120</v>
      </c>
      <c r="G56" s="415"/>
      <c r="H56" s="415"/>
      <c r="I56" s="415"/>
      <c r="J56" s="415"/>
      <c r="K56" s="415"/>
      <c r="L56" s="415"/>
      <c r="M56" s="416"/>
      <c r="N56" s="159"/>
      <c r="O56" s="157"/>
      <c r="P56" s="426"/>
      <c r="Q56" s="427"/>
      <c r="R56" s="426"/>
      <c r="S56" s="428"/>
      <c r="T56" s="428"/>
      <c r="U56" s="427"/>
      <c r="V56" s="396"/>
      <c r="W56" s="396"/>
      <c r="X56" s="396"/>
      <c r="Y56" s="396"/>
      <c r="Z56" s="396"/>
      <c r="AA56" s="396"/>
      <c r="AB56" s="396"/>
      <c r="AC56" s="396"/>
      <c r="AD56" s="417"/>
    </row>
    <row r="57" spans="1:32" ht="27" customHeight="1">
      <c r="A57" s="412" t="s">
        <v>123</v>
      </c>
      <c r="B57" s="413"/>
      <c r="C57" s="160" t="s">
        <v>130</v>
      </c>
      <c r="D57" s="160" t="s">
        <v>218</v>
      </c>
      <c r="E57" s="160" t="s">
        <v>219</v>
      </c>
      <c r="F57" s="414" t="s">
        <v>178</v>
      </c>
      <c r="G57" s="415"/>
      <c r="H57" s="415"/>
      <c r="I57" s="415"/>
      <c r="J57" s="415"/>
      <c r="K57" s="415"/>
      <c r="L57" s="415"/>
      <c r="M57" s="416"/>
      <c r="N57" s="159"/>
      <c r="O57" s="157"/>
      <c r="P57" s="426"/>
      <c r="Q57" s="427"/>
      <c r="R57" s="413"/>
      <c r="S57" s="413"/>
      <c r="T57" s="413"/>
      <c r="U57" s="413"/>
      <c r="V57" s="396"/>
      <c r="W57" s="396"/>
      <c r="X57" s="396"/>
      <c r="Y57" s="396"/>
      <c r="Z57" s="396"/>
      <c r="AA57" s="396"/>
      <c r="AB57" s="396"/>
      <c r="AC57" s="396"/>
      <c r="AD57" s="417"/>
    </row>
    <row r="58" spans="1:32" ht="27" customHeight="1">
      <c r="A58" s="412"/>
      <c r="B58" s="413"/>
      <c r="C58" s="160"/>
      <c r="D58" s="160"/>
      <c r="E58" s="160"/>
      <c r="F58" s="414"/>
      <c r="G58" s="415"/>
      <c r="H58" s="415"/>
      <c r="I58" s="415"/>
      <c r="J58" s="415"/>
      <c r="K58" s="415"/>
      <c r="L58" s="415"/>
      <c r="M58" s="416"/>
      <c r="N58" s="159"/>
      <c r="O58" s="157"/>
      <c r="P58" s="426"/>
      <c r="Q58" s="427"/>
      <c r="R58" s="413"/>
      <c r="S58" s="413"/>
      <c r="T58" s="413"/>
      <c r="U58" s="413"/>
      <c r="V58" s="396"/>
      <c r="W58" s="396"/>
      <c r="X58" s="396"/>
      <c r="Y58" s="396"/>
      <c r="Z58" s="396"/>
      <c r="AA58" s="396"/>
      <c r="AB58" s="396"/>
      <c r="AC58" s="396"/>
      <c r="AD58" s="417"/>
    </row>
    <row r="59" spans="1:32" ht="27" customHeight="1">
      <c r="A59" s="412"/>
      <c r="B59" s="413"/>
      <c r="C59" s="160"/>
      <c r="D59" s="160"/>
      <c r="E59" s="160"/>
      <c r="F59" s="414"/>
      <c r="G59" s="415"/>
      <c r="H59" s="415"/>
      <c r="I59" s="415"/>
      <c r="J59" s="415"/>
      <c r="K59" s="415"/>
      <c r="L59" s="415"/>
      <c r="M59" s="416"/>
      <c r="N59" s="159"/>
      <c r="O59" s="157"/>
      <c r="P59" s="426"/>
      <c r="Q59" s="427"/>
      <c r="R59" s="413"/>
      <c r="S59" s="413"/>
      <c r="T59" s="413"/>
      <c r="U59" s="413"/>
      <c r="V59" s="396"/>
      <c r="W59" s="396"/>
      <c r="X59" s="396"/>
      <c r="Y59" s="396"/>
      <c r="Z59" s="396"/>
      <c r="AA59" s="396"/>
      <c r="AB59" s="396"/>
      <c r="AC59" s="396"/>
      <c r="AD59" s="417"/>
    </row>
    <row r="60" spans="1:32" ht="27" customHeight="1">
      <c r="A60" s="412"/>
      <c r="B60" s="413"/>
      <c r="C60" s="160"/>
      <c r="D60" s="160"/>
      <c r="E60" s="160"/>
      <c r="F60" s="414"/>
      <c r="G60" s="415"/>
      <c r="H60" s="415"/>
      <c r="I60" s="415"/>
      <c r="J60" s="415"/>
      <c r="K60" s="415"/>
      <c r="L60" s="415"/>
      <c r="M60" s="416"/>
      <c r="N60" s="159"/>
      <c r="O60" s="157"/>
      <c r="P60" s="413"/>
      <c r="Q60" s="413"/>
      <c r="R60" s="413"/>
      <c r="S60" s="413"/>
      <c r="T60" s="413"/>
      <c r="U60" s="413"/>
      <c r="V60" s="396"/>
      <c r="W60" s="396"/>
      <c r="X60" s="396"/>
      <c r="Y60" s="396"/>
      <c r="Z60" s="396"/>
      <c r="AA60" s="396"/>
      <c r="AB60" s="396"/>
      <c r="AC60" s="396"/>
      <c r="AD60" s="417"/>
      <c r="AF60" s="87">
        <f>8*3000</f>
        <v>24000</v>
      </c>
    </row>
    <row r="61" spans="1:32" ht="27" customHeight="1" thickBot="1">
      <c r="A61" s="418"/>
      <c r="B61" s="419"/>
      <c r="C61" s="161"/>
      <c r="D61" s="162"/>
      <c r="E61" s="162"/>
      <c r="F61" s="420"/>
      <c r="G61" s="421"/>
      <c r="H61" s="421"/>
      <c r="I61" s="421"/>
      <c r="J61" s="421"/>
      <c r="K61" s="421"/>
      <c r="L61" s="421"/>
      <c r="M61" s="422"/>
      <c r="N61" s="124"/>
      <c r="O61" s="114"/>
      <c r="P61" s="423"/>
      <c r="Q61" s="423"/>
      <c r="R61" s="423"/>
      <c r="S61" s="423"/>
      <c r="T61" s="423"/>
      <c r="U61" s="423"/>
      <c r="V61" s="424"/>
      <c r="W61" s="424"/>
      <c r="X61" s="424"/>
      <c r="Y61" s="424"/>
      <c r="Z61" s="424"/>
      <c r="AA61" s="424"/>
      <c r="AB61" s="424"/>
      <c r="AC61" s="424"/>
      <c r="AD61" s="425"/>
      <c r="AF61" s="87">
        <f>16*3000</f>
        <v>48000</v>
      </c>
    </row>
    <row r="62" spans="1:32" ht="27.75" thickBot="1">
      <c r="A62" s="410" t="s">
        <v>240</v>
      </c>
      <c r="B62" s="410"/>
      <c r="C62" s="410"/>
      <c r="D62" s="410"/>
      <c r="E62" s="41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11" t="s">
        <v>113</v>
      </c>
      <c r="B63" s="406"/>
      <c r="C63" s="158" t="s">
        <v>2</v>
      </c>
      <c r="D63" s="158" t="s">
        <v>37</v>
      </c>
      <c r="E63" s="158" t="s">
        <v>3</v>
      </c>
      <c r="F63" s="406" t="s">
        <v>110</v>
      </c>
      <c r="G63" s="406"/>
      <c r="H63" s="406"/>
      <c r="I63" s="406"/>
      <c r="J63" s="406"/>
      <c r="K63" s="406" t="s">
        <v>39</v>
      </c>
      <c r="L63" s="406"/>
      <c r="M63" s="158" t="s">
        <v>40</v>
      </c>
      <c r="N63" s="406" t="s">
        <v>41</v>
      </c>
      <c r="O63" s="406"/>
      <c r="P63" s="403" t="s">
        <v>42</v>
      </c>
      <c r="Q63" s="405"/>
      <c r="R63" s="403" t="s">
        <v>43</v>
      </c>
      <c r="S63" s="404"/>
      <c r="T63" s="404"/>
      <c r="U63" s="404"/>
      <c r="V63" s="404"/>
      <c r="W63" s="404"/>
      <c r="X63" s="404"/>
      <c r="Y63" s="404"/>
      <c r="Z63" s="404"/>
      <c r="AA63" s="405"/>
      <c r="AB63" s="406" t="s">
        <v>44</v>
      </c>
      <c r="AC63" s="406"/>
      <c r="AD63" s="407"/>
      <c r="AF63" s="87">
        <f>SUM(AF60:AF62)</f>
        <v>96000</v>
      </c>
    </row>
    <row r="64" spans="1:32" ht="25.5" customHeight="1">
      <c r="A64" s="389">
        <v>1</v>
      </c>
      <c r="B64" s="390"/>
      <c r="C64" s="117" t="s">
        <v>123</v>
      </c>
      <c r="D64" s="153"/>
      <c r="E64" s="156" t="s">
        <v>241</v>
      </c>
      <c r="F64" s="391" t="s">
        <v>242</v>
      </c>
      <c r="G64" s="383"/>
      <c r="H64" s="383"/>
      <c r="I64" s="383"/>
      <c r="J64" s="383"/>
      <c r="K64" s="383" t="s">
        <v>132</v>
      </c>
      <c r="L64" s="383"/>
      <c r="M64" s="51" t="s">
        <v>222</v>
      </c>
      <c r="N64" s="401" t="s">
        <v>173</v>
      </c>
      <c r="O64" s="401"/>
      <c r="P64" s="402">
        <v>50</v>
      </c>
      <c r="Q64" s="402"/>
      <c r="R64" s="396"/>
      <c r="S64" s="396"/>
      <c r="T64" s="396"/>
      <c r="U64" s="396"/>
      <c r="V64" s="396"/>
      <c r="W64" s="396"/>
      <c r="X64" s="396"/>
      <c r="Y64" s="396"/>
      <c r="Z64" s="396"/>
      <c r="AA64" s="396"/>
      <c r="AB64" s="400"/>
      <c r="AC64" s="408"/>
      <c r="AD64" s="409"/>
      <c r="AF64" s="50"/>
    </row>
    <row r="65" spans="1:32" ht="25.5" customHeight="1">
      <c r="A65" s="389">
        <v>2</v>
      </c>
      <c r="B65" s="390"/>
      <c r="C65" s="117" t="s">
        <v>114</v>
      </c>
      <c r="D65" s="153"/>
      <c r="E65" s="156" t="s">
        <v>117</v>
      </c>
      <c r="F65" s="391" t="s">
        <v>226</v>
      </c>
      <c r="G65" s="383"/>
      <c r="H65" s="383"/>
      <c r="I65" s="383"/>
      <c r="J65" s="383"/>
      <c r="K65" s="383" t="s">
        <v>227</v>
      </c>
      <c r="L65" s="383"/>
      <c r="M65" s="51" t="s">
        <v>222</v>
      </c>
      <c r="N65" s="401" t="s">
        <v>173</v>
      </c>
      <c r="O65" s="401"/>
      <c r="P65" s="402">
        <v>100</v>
      </c>
      <c r="Q65" s="402"/>
      <c r="R65" s="396"/>
      <c r="S65" s="396"/>
      <c r="T65" s="396"/>
      <c r="U65" s="396"/>
      <c r="V65" s="396"/>
      <c r="W65" s="396"/>
      <c r="X65" s="396"/>
      <c r="Y65" s="396"/>
      <c r="Z65" s="396"/>
      <c r="AA65" s="396"/>
      <c r="AB65" s="383"/>
      <c r="AC65" s="383"/>
      <c r="AD65" s="384"/>
      <c r="AF65" s="50"/>
    </row>
    <row r="66" spans="1:32" ht="25.5" customHeight="1">
      <c r="A66" s="389">
        <v>3</v>
      </c>
      <c r="B66" s="390"/>
      <c r="C66" s="117"/>
      <c r="D66" s="153"/>
      <c r="E66" s="156"/>
      <c r="F66" s="397"/>
      <c r="G66" s="398"/>
      <c r="H66" s="398"/>
      <c r="I66" s="398"/>
      <c r="J66" s="399"/>
      <c r="K66" s="383"/>
      <c r="L66" s="383"/>
      <c r="M66" s="51"/>
      <c r="N66" s="401"/>
      <c r="O66" s="401"/>
      <c r="P66" s="402"/>
      <c r="Q66" s="402"/>
      <c r="R66" s="396"/>
      <c r="S66" s="396"/>
      <c r="T66" s="396"/>
      <c r="U66" s="396"/>
      <c r="V66" s="396"/>
      <c r="W66" s="396"/>
      <c r="X66" s="396"/>
      <c r="Y66" s="396"/>
      <c r="Z66" s="396"/>
      <c r="AA66" s="396"/>
      <c r="AB66" s="383"/>
      <c r="AC66" s="383"/>
      <c r="AD66" s="384"/>
      <c r="AF66" s="50"/>
    </row>
    <row r="67" spans="1:32" ht="25.5" customHeight="1">
      <c r="A67" s="389">
        <v>4</v>
      </c>
      <c r="B67" s="390"/>
      <c r="C67" s="117"/>
      <c r="D67" s="153"/>
      <c r="E67" s="156"/>
      <c r="F67" s="397"/>
      <c r="G67" s="398"/>
      <c r="H67" s="398"/>
      <c r="I67" s="398"/>
      <c r="J67" s="399"/>
      <c r="K67" s="383"/>
      <c r="L67" s="383"/>
      <c r="M67" s="51"/>
      <c r="N67" s="401"/>
      <c r="O67" s="401"/>
      <c r="P67" s="402"/>
      <c r="Q67" s="402"/>
      <c r="R67" s="396"/>
      <c r="S67" s="396"/>
      <c r="T67" s="396"/>
      <c r="U67" s="396"/>
      <c r="V67" s="396"/>
      <c r="W67" s="396"/>
      <c r="X67" s="396"/>
      <c r="Y67" s="396"/>
      <c r="Z67" s="396"/>
      <c r="AA67" s="396"/>
      <c r="AB67" s="383"/>
      <c r="AC67" s="383"/>
      <c r="AD67" s="384"/>
      <c r="AF67" s="50"/>
    </row>
    <row r="68" spans="1:32" ht="25.5" customHeight="1">
      <c r="A68" s="389">
        <v>5</v>
      </c>
      <c r="B68" s="390"/>
      <c r="C68" s="117"/>
      <c r="D68" s="153"/>
      <c r="E68" s="156"/>
      <c r="F68" s="397"/>
      <c r="G68" s="398"/>
      <c r="H68" s="398"/>
      <c r="I68" s="398"/>
      <c r="J68" s="399"/>
      <c r="K68" s="400"/>
      <c r="L68" s="390"/>
      <c r="M68" s="51"/>
      <c r="N68" s="401"/>
      <c r="O68" s="401"/>
      <c r="P68" s="402"/>
      <c r="Q68" s="402"/>
      <c r="R68" s="396"/>
      <c r="S68" s="396"/>
      <c r="T68" s="396"/>
      <c r="U68" s="396"/>
      <c r="V68" s="396"/>
      <c r="W68" s="396"/>
      <c r="X68" s="396"/>
      <c r="Y68" s="396"/>
      <c r="Z68" s="396"/>
      <c r="AA68" s="396"/>
      <c r="AB68" s="383"/>
      <c r="AC68" s="383"/>
      <c r="AD68" s="384"/>
      <c r="AF68" s="50"/>
    </row>
    <row r="69" spans="1:32" ht="25.5" customHeight="1">
      <c r="A69" s="389">
        <v>6</v>
      </c>
      <c r="B69" s="390"/>
      <c r="C69" s="117"/>
      <c r="D69" s="153"/>
      <c r="E69" s="156"/>
      <c r="F69" s="391"/>
      <c r="G69" s="383"/>
      <c r="H69" s="383"/>
      <c r="I69" s="383"/>
      <c r="J69" s="383"/>
      <c r="K69" s="383"/>
      <c r="L69" s="383"/>
      <c r="M69" s="51"/>
      <c r="N69" s="392"/>
      <c r="O69" s="393"/>
      <c r="P69" s="394"/>
      <c r="Q69" s="395"/>
      <c r="R69" s="396"/>
      <c r="S69" s="396"/>
      <c r="T69" s="396"/>
      <c r="U69" s="396"/>
      <c r="V69" s="396"/>
      <c r="W69" s="396"/>
      <c r="X69" s="396"/>
      <c r="Y69" s="396"/>
      <c r="Z69" s="396"/>
      <c r="AA69" s="396"/>
      <c r="AB69" s="383"/>
      <c r="AC69" s="383"/>
      <c r="AD69" s="384"/>
      <c r="AF69" s="50"/>
    </row>
    <row r="70" spans="1:32" ht="25.5" customHeight="1">
      <c r="A70" s="389">
        <v>7</v>
      </c>
      <c r="B70" s="390"/>
      <c r="C70" s="117"/>
      <c r="D70" s="153"/>
      <c r="E70" s="156"/>
      <c r="F70" s="391"/>
      <c r="G70" s="383"/>
      <c r="H70" s="383"/>
      <c r="I70" s="383"/>
      <c r="J70" s="383"/>
      <c r="K70" s="383"/>
      <c r="L70" s="383"/>
      <c r="M70" s="51"/>
      <c r="N70" s="392"/>
      <c r="O70" s="393"/>
      <c r="P70" s="394"/>
      <c r="Q70" s="395"/>
      <c r="R70" s="396"/>
      <c r="S70" s="396"/>
      <c r="T70" s="396"/>
      <c r="U70" s="396"/>
      <c r="V70" s="396"/>
      <c r="W70" s="396"/>
      <c r="X70" s="396"/>
      <c r="Y70" s="396"/>
      <c r="Z70" s="396"/>
      <c r="AA70" s="396"/>
      <c r="AB70" s="383"/>
      <c r="AC70" s="383"/>
      <c r="AD70" s="384"/>
      <c r="AF70" s="50"/>
    </row>
    <row r="71" spans="1:32" ht="25.5" customHeight="1">
      <c r="A71" s="389">
        <v>8</v>
      </c>
      <c r="B71" s="390"/>
      <c r="C71" s="117"/>
      <c r="D71" s="153"/>
      <c r="E71" s="156"/>
      <c r="F71" s="391"/>
      <c r="G71" s="383"/>
      <c r="H71" s="383"/>
      <c r="I71" s="383"/>
      <c r="J71" s="383"/>
      <c r="K71" s="383"/>
      <c r="L71" s="383"/>
      <c r="M71" s="51"/>
      <c r="N71" s="392"/>
      <c r="O71" s="393"/>
      <c r="P71" s="394"/>
      <c r="Q71" s="395"/>
      <c r="R71" s="396"/>
      <c r="S71" s="396"/>
      <c r="T71" s="396"/>
      <c r="U71" s="396"/>
      <c r="V71" s="396"/>
      <c r="W71" s="396"/>
      <c r="X71" s="396"/>
      <c r="Y71" s="396"/>
      <c r="Z71" s="396"/>
      <c r="AA71" s="396"/>
      <c r="AB71" s="383"/>
      <c r="AC71" s="383"/>
      <c r="AD71" s="384"/>
      <c r="AF71" s="50"/>
    </row>
    <row r="72" spans="1:32" ht="26.25" customHeight="1" thickBot="1">
      <c r="A72" s="363" t="s">
        <v>243</v>
      </c>
      <c r="B72" s="363"/>
      <c r="C72" s="363"/>
      <c r="D72" s="363"/>
      <c r="E72" s="363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364" t="s">
        <v>113</v>
      </c>
      <c r="B73" s="365"/>
      <c r="C73" s="155" t="s">
        <v>2</v>
      </c>
      <c r="D73" s="155" t="s">
        <v>37</v>
      </c>
      <c r="E73" s="155" t="s">
        <v>3</v>
      </c>
      <c r="F73" s="365" t="s">
        <v>38</v>
      </c>
      <c r="G73" s="365"/>
      <c r="H73" s="365"/>
      <c r="I73" s="365"/>
      <c r="J73" s="365"/>
      <c r="K73" s="385" t="s">
        <v>58</v>
      </c>
      <c r="L73" s="386"/>
      <c r="M73" s="386"/>
      <c r="N73" s="386"/>
      <c r="O73" s="386"/>
      <c r="P73" s="386"/>
      <c r="Q73" s="386"/>
      <c r="R73" s="386"/>
      <c r="S73" s="387"/>
      <c r="T73" s="365" t="s">
        <v>49</v>
      </c>
      <c r="U73" s="365"/>
      <c r="V73" s="385" t="s">
        <v>50</v>
      </c>
      <c r="W73" s="387"/>
      <c r="X73" s="386" t="s">
        <v>51</v>
      </c>
      <c r="Y73" s="386"/>
      <c r="Z73" s="386"/>
      <c r="AA73" s="386"/>
      <c r="AB73" s="386"/>
      <c r="AC73" s="386"/>
      <c r="AD73" s="388"/>
      <c r="AF73" s="50"/>
    </row>
    <row r="74" spans="1:32" ht="33.75" customHeight="1">
      <c r="A74" s="357">
        <v>1</v>
      </c>
      <c r="B74" s="358"/>
      <c r="C74" s="154" t="s">
        <v>114</v>
      </c>
      <c r="D74" s="154"/>
      <c r="E74" s="65" t="s">
        <v>119</v>
      </c>
      <c r="F74" s="372" t="s">
        <v>118</v>
      </c>
      <c r="G74" s="373"/>
      <c r="H74" s="373"/>
      <c r="I74" s="373"/>
      <c r="J74" s="374"/>
      <c r="K74" s="375" t="s">
        <v>128</v>
      </c>
      <c r="L74" s="376"/>
      <c r="M74" s="376"/>
      <c r="N74" s="376"/>
      <c r="O74" s="376"/>
      <c r="P74" s="376"/>
      <c r="Q74" s="376"/>
      <c r="R74" s="376"/>
      <c r="S74" s="377"/>
      <c r="T74" s="378">
        <v>43675</v>
      </c>
      <c r="U74" s="379"/>
      <c r="V74" s="380"/>
      <c r="W74" s="380"/>
      <c r="X74" s="381"/>
      <c r="Y74" s="381"/>
      <c r="Z74" s="381"/>
      <c r="AA74" s="381"/>
      <c r="AB74" s="381"/>
      <c r="AC74" s="381"/>
      <c r="AD74" s="382"/>
      <c r="AF74" s="50"/>
    </row>
    <row r="75" spans="1:32" ht="30" customHeight="1">
      <c r="A75" s="350">
        <f>A74+1</f>
        <v>2</v>
      </c>
      <c r="B75" s="351"/>
      <c r="C75" s="153"/>
      <c r="D75" s="153"/>
      <c r="E75" s="32"/>
      <c r="F75" s="351"/>
      <c r="G75" s="351"/>
      <c r="H75" s="351"/>
      <c r="I75" s="351"/>
      <c r="J75" s="351"/>
      <c r="K75" s="366"/>
      <c r="L75" s="367"/>
      <c r="M75" s="367"/>
      <c r="N75" s="367"/>
      <c r="O75" s="367"/>
      <c r="P75" s="367"/>
      <c r="Q75" s="367"/>
      <c r="R75" s="367"/>
      <c r="S75" s="368"/>
      <c r="T75" s="369"/>
      <c r="U75" s="369"/>
      <c r="V75" s="369"/>
      <c r="W75" s="369"/>
      <c r="X75" s="370"/>
      <c r="Y75" s="370"/>
      <c r="Z75" s="370"/>
      <c r="AA75" s="370"/>
      <c r="AB75" s="370"/>
      <c r="AC75" s="370"/>
      <c r="AD75" s="371"/>
      <c r="AF75" s="50"/>
    </row>
    <row r="76" spans="1:32" ht="30" customHeight="1">
      <c r="A76" s="350">
        <f t="shared" ref="A76:A82" si="21">A75+1</f>
        <v>3</v>
      </c>
      <c r="B76" s="351"/>
      <c r="C76" s="153"/>
      <c r="D76" s="153"/>
      <c r="E76" s="32"/>
      <c r="F76" s="351"/>
      <c r="G76" s="351"/>
      <c r="H76" s="351"/>
      <c r="I76" s="351"/>
      <c r="J76" s="351"/>
      <c r="K76" s="366"/>
      <c r="L76" s="367"/>
      <c r="M76" s="367"/>
      <c r="N76" s="367"/>
      <c r="O76" s="367"/>
      <c r="P76" s="367"/>
      <c r="Q76" s="367"/>
      <c r="R76" s="367"/>
      <c r="S76" s="368"/>
      <c r="T76" s="369"/>
      <c r="U76" s="369"/>
      <c r="V76" s="369"/>
      <c r="W76" s="369"/>
      <c r="X76" s="370"/>
      <c r="Y76" s="370"/>
      <c r="Z76" s="370"/>
      <c r="AA76" s="370"/>
      <c r="AB76" s="370"/>
      <c r="AC76" s="370"/>
      <c r="AD76" s="371"/>
      <c r="AF76" s="50"/>
    </row>
    <row r="77" spans="1:32" ht="30" customHeight="1">
      <c r="A77" s="350">
        <f t="shared" si="21"/>
        <v>4</v>
      </c>
      <c r="B77" s="351"/>
      <c r="C77" s="153"/>
      <c r="D77" s="153"/>
      <c r="E77" s="32"/>
      <c r="F77" s="351"/>
      <c r="G77" s="351"/>
      <c r="H77" s="351"/>
      <c r="I77" s="351"/>
      <c r="J77" s="351"/>
      <c r="K77" s="366"/>
      <c r="L77" s="367"/>
      <c r="M77" s="367"/>
      <c r="N77" s="367"/>
      <c r="O77" s="367"/>
      <c r="P77" s="367"/>
      <c r="Q77" s="367"/>
      <c r="R77" s="367"/>
      <c r="S77" s="368"/>
      <c r="T77" s="369"/>
      <c r="U77" s="369"/>
      <c r="V77" s="369"/>
      <c r="W77" s="369"/>
      <c r="X77" s="370"/>
      <c r="Y77" s="370"/>
      <c r="Z77" s="370"/>
      <c r="AA77" s="370"/>
      <c r="AB77" s="370"/>
      <c r="AC77" s="370"/>
      <c r="AD77" s="371"/>
      <c r="AF77" s="50"/>
    </row>
    <row r="78" spans="1:32" ht="30" customHeight="1">
      <c r="A78" s="350">
        <f t="shared" si="21"/>
        <v>5</v>
      </c>
      <c r="B78" s="351"/>
      <c r="C78" s="153"/>
      <c r="D78" s="153"/>
      <c r="E78" s="32"/>
      <c r="F78" s="351"/>
      <c r="G78" s="351"/>
      <c r="H78" s="351"/>
      <c r="I78" s="351"/>
      <c r="J78" s="351"/>
      <c r="K78" s="366"/>
      <c r="L78" s="367"/>
      <c r="M78" s="367"/>
      <c r="N78" s="367"/>
      <c r="O78" s="367"/>
      <c r="P78" s="367"/>
      <c r="Q78" s="367"/>
      <c r="R78" s="367"/>
      <c r="S78" s="368"/>
      <c r="T78" s="369"/>
      <c r="U78" s="369"/>
      <c r="V78" s="369"/>
      <c r="W78" s="369"/>
      <c r="X78" s="370"/>
      <c r="Y78" s="370"/>
      <c r="Z78" s="370"/>
      <c r="AA78" s="370"/>
      <c r="AB78" s="370"/>
      <c r="AC78" s="370"/>
      <c r="AD78" s="371"/>
      <c r="AF78" s="50"/>
    </row>
    <row r="79" spans="1:32" ht="30" customHeight="1">
      <c r="A79" s="350">
        <f t="shared" si="21"/>
        <v>6</v>
      </c>
      <c r="B79" s="351"/>
      <c r="C79" s="153"/>
      <c r="D79" s="153"/>
      <c r="E79" s="32"/>
      <c r="F79" s="351"/>
      <c r="G79" s="351"/>
      <c r="H79" s="351"/>
      <c r="I79" s="351"/>
      <c r="J79" s="351"/>
      <c r="K79" s="366"/>
      <c r="L79" s="367"/>
      <c r="M79" s="367"/>
      <c r="N79" s="367"/>
      <c r="O79" s="367"/>
      <c r="P79" s="367"/>
      <c r="Q79" s="367"/>
      <c r="R79" s="367"/>
      <c r="S79" s="368"/>
      <c r="T79" s="369"/>
      <c r="U79" s="369"/>
      <c r="V79" s="369"/>
      <c r="W79" s="369"/>
      <c r="X79" s="370"/>
      <c r="Y79" s="370"/>
      <c r="Z79" s="370"/>
      <c r="AA79" s="370"/>
      <c r="AB79" s="370"/>
      <c r="AC79" s="370"/>
      <c r="AD79" s="371"/>
      <c r="AF79" s="50"/>
    </row>
    <row r="80" spans="1:32" ht="30" customHeight="1">
      <c r="A80" s="350">
        <f t="shared" si="21"/>
        <v>7</v>
      </c>
      <c r="B80" s="351"/>
      <c r="C80" s="153"/>
      <c r="D80" s="153"/>
      <c r="E80" s="32"/>
      <c r="F80" s="351"/>
      <c r="G80" s="351"/>
      <c r="H80" s="351"/>
      <c r="I80" s="351"/>
      <c r="J80" s="351"/>
      <c r="K80" s="366"/>
      <c r="L80" s="367"/>
      <c r="M80" s="367"/>
      <c r="N80" s="367"/>
      <c r="O80" s="367"/>
      <c r="P80" s="367"/>
      <c r="Q80" s="367"/>
      <c r="R80" s="367"/>
      <c r="S80" s="368"/>
      <c r="T80" s="369"/>
      <c r="U80" s="369"/>
      <c r="V80" s="369"/>
      <c r="W80" s="369"/>
      <c r="X80" s="370"/>
      <c r="Y80" s="370"/>
      <c r="Z80" s="370"/>
      <c r="AA80" s="370"/>
      <c r="AB80" s="370"/>
      <c r="AC80" s="370"/>
      <c r="AD80" s="371"/>
      <c r="AF80" s="50"/>
    </row>
    <row r="81" spans="1:32" ht="30" customHeight="1">
      <c r="A81" s="350">
        <f t="shared" si="21"/>
        <v>8</v>
      </c>
      <c r="B81" s="351"/>
      <c r="C81" s="153"/>
      <c r="D81" s="153"/>
      <c r="E81" s="32"/>
      <c r="F81" s="351"/>
      <c r="G81" s="351"/>
      <c r="H81" s="351"/>
      <c r="I81" s="351"/>
      <c r="J81" s="351"/>
      <c r="K81" s="366"/>
      <c r="L81" s="367"/>
      <c r="M81" s="367"/>
      <c r="N81" s="367"/>
      <c r="O81" s="367"/>
      <c r="P81" s="367"/>
      <c r="Q81" s="367"/>
      <c r="R81" s="367"/>
      <c r="S81" s="368"/>
      <c r="T81" s="369"/>
      <c r="U81" s="369"/>
      <c r="V81" s="369"/>
      <c r="W81" s="369"/>
      <c r="X81" s="370"/>
      <c r="Y81" s="370"/>
      <c r="Z81" s="370"/>
      <c r="AA81" s="370"/>
      <c r="AB81" s="370"/>
      <c r="AC81" s="370"/>
      <c r="AD81" s="371"/>
      <c r="AF81" s="50"/>
    </row>
    <row r="82" spans="1:32" ht="30" customHeight="1">
      <c r="A82" s="350">
        <f t="shared" si="21"/>
        <v>9</v>
      </c>
      <c r="B82" s="351"/>
      <c r="C82" s="153"/>
      <c r="D82" s="153"/>
      <c r="E82" s="32"/>
      <c r="F82" s="351"/>
      <c r="G82" s="351"/>
      <c r="H82" s="351"/>
      <c r="I82" s="351"/>
      <c r="J82" s="351"/>
      <c r="K82" s="366"/>
      <c r="L82" s="367"/>
      <c r="M82" s="367"/>
      <c r="N82" s="367"/>
      <c r="O82" s="367"/>
      <c r="P82" s="367"/>
      <c r="Q82" s="367"/>
      <c r="R82" s="367"/>
      <c r="S82" s="368"/>
      <c r="T82" s="369"/>
      <c r="U82" s="369"/>
      <c r="V82" s="369"/>
      <c r="W82" s="369"/>
      <c r="X82" s="370"/>
      <c r="Y82" s="370"/>
      <c r="Z82" s="370"/>
      <c r="AA82" s="370"/>
      <c r="AB82" s="370"/>
      <c r="AC82" s="370"/>
      <c r="AD82" s="371"/>
      <c r="AF82" s="50"/>
    </row>
    <row r="83" spans="1:32" ht="36" thickBot="1">
      <c r="A83" s="363" t="s">
        <v>244</v>
      </c>
      <c r="B83" s="363"/>
      <c r="C83" s="363"/>
      <c r="D83" s="363"/>
      <c r="E83" s="363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64" t="s">
        <v>113</v>
      </c>
      <c r="B84" s="365"/>
      <c r="C84" s="355" t="s">
        <v>52</v>
      </c>
      <c r="D84" s="355"/>
      <c r="E84" s="355" t="s">
        <v>53</v>
      </c>
      <c r="F84" s="355"/>
      <c r="G84" s="355"/>
      <c r="H84" s="355"/>
      <c r="I84" s="355"/>
      <c r="J84" s="355"/>
      <c r="K84" s="355" t="s">
        <v>54</v>
      </c>
      <c r="L84" s="355"/>
      <c r="M84" s="355"/>
      <c r="N84" s="355"/>
      <c r="O84" s="355"/>
      <c r="P84" s="355"/>
      <c r="Q84" s="355"/>
      <c r="R84" s="355"/>
      <c r="S84" s="355"/>
      <c r="T84" s="355" t="s">
        <v>55</v>
      </c>
      <c r="U84" s="355"/>
      <c r="V84" s="355" t="s">
        <v>56</v>
      </c>
      <c r="W84" s="355"/>
      <c r="X84" s="355"/>
      <c r="Y84" s="355" t="s">
        <v>51</v>
      </c>
      <c r="Z84" s="355"/>
      <c r="AA84" s="355"/>
      <c r="AB84" s="355"/>
      <c r="AC84" s="355"/>
      <c r="AD84" s="356"/>
      <c r="AF84" s="50"/>
    </row>
    <row r="85" spans="1:32" ht="30.75" customHeight="1">
      <c r="A85" s="357">
        <v>1</v>
      </c>
      <c r="B85" s="358"/>
      <c r="C85" s="359"/>
      <c r="D85" s="359"/>
      <c r="E85" s="359"/>
      <c r="F85" s="359"/>
      <c r="G85" s="359"/>
      <c r="H85" s="359"/>
      <c r="I85" s="359"/>
      <c r="J85" s="359"/>
      <c r="K85" s="359"/>
      <c r="L85" s="359"/>
      <c r="M85" s="359"/>
      <c r="N85" s="359"/>
      <c r="O85" s="359"/>
      <c r="P85" s="359"/>
      <c r="Q85" s="359"/>
      <c r="R85" s="359"/>
      <c r="S85" s="359"/>
      <c r="T85" s="359"/>
      <c r="U85" s="359"/>
      <c r="V85" s="360"/>
      <c r="W85" s="360"/>
      <c r="X85" s="360"/>
      <c r="Y85" s="361"/>
      <c r="Z85" s="361"/>
      <c r="AA85" s="361"/>
      <c r="AB85" s="361"/>
      <c r="AC85" s="361"/>
      <c r="AD85" s="362"/>
      <c r="AF85" s="50"/>
    </row>
    <row r="86" spans="1:32" ht="30.75" customHeight="1">
      <c r="A86" s="350">
        <v>2</v>
      </c>
      <c r="B86" s="351"/>
      <c r="C86" s="352"/>
      <c r="D86" s="352"/>
      <c r="E86" s="352"/>
      <c r="F86" s="352"/>
      <c r="G86" s="352"/>
      <c r="H86" s="352"/>
      <c r="I86" s="352"/>
      <c r="J86" s="352"/>
      <c r="K86" s="352"/>
      <c r="L86" s="352"/>
      <c r="M86" s="352"/>
      <c r="N86" s="352"/>
      <c r="O86" s="352"/>
      <c r="P86" s="352"/>
      <c r="Q86" s="352"/>
      <c r="R86" s="352"/>
      <c r="S86" s="352"/>
      <c r="T86" s="353"/>
      <c r="U86" s="353"/>
      <c r="V86" s="354"/>
      <c r="W86" s="354"/>
      <c r="X86" s="354"/>
      <c r="Y86" s="343"/>
      <c r="Z86" s="343"/>
      <c r="AA86" s="343"/>
      <c r="AB86" s="343"/>
      <c r="AC86" s="343"/>
      <c r="AD86" s="344"/>
      <c r="AF86" s="50"/>
    </row>
    <row r="87" spans="1:32" ht="30.75" customHeight="1" thickBot="1">
      <c r="A87" s="345">
        <v>3</v>
      </c>
      <c r="B87" s="346"/>
      <c r="C87" s="347"/>
      <c r="D87" s="347"/>
      <c r="E87" s="347"/>
      <c r="F87" s="347"/>
      <c r="G87" s="347"/>
      <c r="H87" s="347"/>
      <c r="I87" s="347"/>
      <c r="J87" s="347"/>
      <c r="K87" s="347"/>
      <c r="L87" s="347"/>
      <c r="M87" s="347"/>
      <c r="N87" s="347"/>
      <c r="O87" s="347"/>
      <c r="P87" s="347"/>
      <c r="Q87" s="347"/>
      <c r="R87" s="347"/>
      <c r="S87" s="347"/>
      <c r="T87" s="347"/>
      <c r="U87" s="347"/>
      <c r="V87" s="347"/>
      <c r="W87" s="347"/>
      <c r="X87" s="347"/>
      <c r="Y87" s="348"/>
      <c r="Z87" s="348"/>
      <c r="AA87" s="348"/>
      <c r="AB87" s="348"/>
      <c r="AC87" s="348"/>
      <c r="AD87" s="349"/>
      <c r="AF87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01FB-0AFC-44A4-BA7D-B4035ED3C697}">
  <dimension ref="A1:AF86"/>
  <sheetViews>
    <sheetView zoomScale="72" zoomScaleNormal="72" zoomScaleSheetLayoutView="70" workbookViewId="0">
      <selection activeCell="T15" sqref="T1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58" t="s">
        <v>245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8"/>
      <c r="B2" s="458"/>
      <c r="C2" s="458"/>
      <c r="D2" s="458"/>
      <c r="E2" s="458"/>
      <c r="F2" s="458"/>
      <c r="G2" s="458"/>
      <c r="H2" s="458"/>
      <c r="I2" s="458"/>
      <c r="J2" s="458"/>
      <c r="K2" s="458"/>
      <c r="L2" s="458"/>
      <c r="M2" s="458"/>
      <c r="N2" s="458"/>
      <c r="O2" s="45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9"/>
      <c r="B3" s="459"/>
      <c r="C3" s="459"/>
      <c r="D3" s="459"/>
      <c r="E3" s="459"/>
      <c r="F3" s="459"/>
      <c r="G3" s="45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0" t="s">
        <v>0</v>
      </c>
      <c r="B4" s="462" t="s">
        <v>1</v>
      </c>
      <c r="C4" s="462" t="s">
        <v>2</v>
      </c>
      <c r="D4" s="465" t="s">
        <v>3</v>
      </c>
      <c r="E4" s="467" t="s">
        <v>4</v>
      </c>
      <c r="F4" s="465" t="s">
        <v>5</v>
      </c>
      <c r="G4" s="462" t="s">
        <v>6</v>
      </c>
      <c r="H4" s="468" t="s">
        <v>7</v>
      </c>
      <c r="I4" s="448" t="s">
        <v>8</v>
      </c>
      <c r="J4" s="449"/>
      <c r="K4" s="449"/>
      <c r="L4" s="449"/>
      <c r="M4" s="449"/>
      <c r="N4" s="449"/>
      <c r="O4" s="450"/>
      <c r="P4" s="451" t="s">
        <v>9</v>
      </c>
      <c r="Q4" s="452"/>
      <c r="R4" s="453" t="s">
        <v>10</v>
      </c>
      <c r="S4" s="453"/>
      <c r="T4" s="453"/>
      <c r="U4" s="453"/>
      <c r="V4" s="453"/>
      <c r="W4" s="454" t="s">
        <v>11</v>
      </c>
      <c r="X4" s="453"/>
      <c r="Y4" s="453"/>
      <c r="Z4" s="453"/>
      <c r="AA4" s="455"/>
      <c r="AB4" s="456" t="s">
        <v>12</v>
      </c>
      <c r="AC4" s="429" t="s">
        <v>13</v>
      </c>
      <c r="AD4" s="429" t="s">
        <v>14</v>
      </c>
      <c r="AE4" s="54"/>
    </row>
    <row r="5" spans="1:32" ht="51" customHeight="1" thickBot="1">
      <c r="A5" s="461"/>
      <c r="B5" s="463"/>
      <c r="C5" s="464"/>
      <c r="D5" s="466"/>
      <c r="E5" s="466"/>
      <c r="F5" s="466"/>
      <c r="G5" s="463"/>
      <c r="H5" s="469"/>
      <c r="I5" s="55" t="s">
        <v>15</v>
      </c>
      <c r="J5" s="56" t="s">
        <v>16</v>
      </c>
      <c r="K5" s="165" t="s">
        <v>17</v>
      </c>
      <c r="L5" s="165" t="s">
        <v>18</v>
      </c>
      <c r="M5" s="165" t="s">
        <v>19</v>
      </c>
      <c r="N5" s="16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57"/>
      <c r="AC5" s="430"/>
      <c r="AD5" s="43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126</v>
      </c>
      <c r="D7" s="52" t="s">
        <v>127</v>
      </c>
      <c r="E7" s="53" t="s">
        <v>125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123</v>
      </c>
      <c r="D8" s="52" t="s">
        <v>146</v>
      </c>
      <c r="E8" s="53" t="s">
        <v>151</v>
      </c>
      <c r="F8" s="30" t="s">
        <v>140</v>
      </c>
      <c r="G8" s="33">
        <v>2</v>
      </c>
      <c r="H8" s="35">
        <v>24</v>
      </c>
      <c r="I8" s="7">
        <v>2000</v>
      </c>
      <c r="J8" s="14">
        <v>7228</v>
      </c>
      <c r="K8" s="15">
        <f>L8+7228</f>
        <v>7228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0.4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133</v>
      </c>
      <c r="E9" s="53" t="s">
        <v>135</v>
      </c>
      <c r="F9" s="30" t="s">
        <v>124</v>
      </c>
      <c r="G9" s="33">
        <v>1</v>
      </c>
      <c r="H9" s="35">
        <v>24</v>
      </c>
      <c r="I9" s="7">
        <v>140000</v>
      </c>
      <c r="J9" s="14">
        <v>3194</v>
      </c>
      <c r="K9" s="15">
        <f>L9+1036+2500+4639+2951+2392+2902+2784+3566+4110+4299+4289+1910+4734+4854+3892+4611+3795+5160+1762+3528+5214+2558+4569+2950+2156+1926+2008+4959+2003+5012+1587+3659+4383+3050+1774+2365+4990+1951+2870+4719+4021+1991+2339+4564+1209+2580+4170+4218+1852+4150+3691+452+2336+4213+3072+3089+2806+2527+366+3419+3294+2446+849+652</f>
        <v>201917</v>
      </c>
      <c r="L9" s="15">
        <f>1668+1526</f>
        <v>3194</v>
      </c>
      <c r="M9" s="15">
        <f t="shared" si="1"/>
        <v>3194</v>
      </c>
      <c r="N9" s="15">
        <v>0</v>
      </c>
      <c r="O9" s="58">
        <f t="shared" si="2"/>
        <v>0</v>
      </c>
      <c r="P9" s="39">
        <f t="shared" si="3"/>
        <v>18</v>
      </c>
      <c r="Q9" s="40">
        <f t="shared" si="4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0.75</v>
      </c>
      <c r="AD9" s="10">
        <f t="shared" si="7"/>
        <v>0.75</v>
      </c>
      <c r="AE9" s="36">
        <f t="shared" si="8"/>
        <v>0.4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131</v>
      </c>
      <c r="D10" s="52" t="s">
        <v>150</v>
      </c>
      <c r="E10" s="53" t="s">
        <v>152</v>
      </c>
      <c r="F10" s="30" t="s">
        <v>121</v>
      </c>
      <c r="G10" s="33">
        <v>2</v>
      </c>
      <c r="H10" s="35">
        <v>24</v>
      </c>
      <c r="I10" s="7">
        <v>130000</v>
      </c>
      <c r="J10" s="5">
        <v>11004</v>
      </c>
      <c r="K10" s="15">
        <f>L10+13288+10116+14610+5976+7143+12482+1676+11964</f>
        <v>88259</v>
      </c>
      <c r="L10" s="15">
        <f>3753*2+1749*2</f>
        <v>11004</v>
      </c>
      <c r="M10" s="15">
        <f t="shared" si="1"/>
        <v>11004</v>
      </c>
      <c r="N10" s="15">
        <v>0</v>
      </c>
      <c r="O10" s="58">
        <f t="shared" si="2"/>
        <v>0</v>
      </c>
      <c r="P10" s="39">
        <f t="shared" si="3"/>
        <v>21</v>
      </c>
      <c r="Q10" s="40">
        <f t="shared" si="4"/>
        <v>3</v>
      </c>
      <c r="R10" s="7"/>
      <c r="S10" s="6">
        <v>3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0.875</v>
      </c>
      <c r="AD10" s="10">
        <f>AC10*AB10*(1-O10)</f>
        <v>0.875</v>
      </c>
      <c r="AE10" s="36">
        <f t="shared" si="8"/>
        <v>0.4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123</v>
      </c>
      <c r="D11" s="52" t="s">
        <v>218</v>
      </c>
      <c r="E11" s="53" t="s">
        <v>219</v>
      </c>
      <c r="F11" s="30" t="s">
        <v>124</v>
      </c>
      <c r="G11" s="33">
        <v>1</v>
      </c>
      <c r="H11" s="35">
        <v>24</v>
      </c>
      <c r="I11" s="7">
        <v>3000</v>
      </c>
      <c r="J11" s="5">
        <v>2015</v>
      </c>
      <c r="K11" s="15">
        <f>L11+2015</f>
        <v>2015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>AC11*AB11*(1-O11)</f>
        <v>0</v>
      </c>
      <c r="AE11" s="36">
        <f t="shared" si="8"/>
        <v>0.4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134</v>
      </c>
      <c r="F12" s="30" t="s">
        <v>121</v>
      </c>
      <c r="G12" s="33">
        <v>1</v>
      </c>
      <c r="H12" s="35">
        <v>24</v>
      </c>
      <c r="I12" s="7">
        <v>100000</v>
      </c>
      <c r="J12" s="14">
        <v>3751</v>
      </c>
      <c r="K12" s="15">
        <f>L12+2036+3193+2673+3958+1875+401+3155+4199+2859+2339+1952+1208+2933+3415+1960+4032+870+1602+872+2860+3148+2498+463+1324+1687+1943+4107+3383+1502+790+4143+3077+2335+2648+3828+4343+1632+3883+3120+1722+927+911+582+3950+4147+4076+3496+4082+3413+654+2354+3732+4055+3968+4076+4172+1706+869+3574+3169+2832+3751</f>
        <v>164464</v>
      </c>
      <c r="L12" s="15"/>
      <c r="M12" s="15">
        <f t="shared" si="1"/>
        <v>0</v>
      </c>
      <c r="N12" s="15">
        <v>0</v>
      </c>
      <c r="O12" s="58" t="str">
        <f t="shared" si="2"/>
        <v>0</v>
      </c>
      <c r="P12" s="39" t="str">
        <f t="shared" si="3"/>
        <v>0</v>
      </c>
      <c r="Q12" s="40">
        <f t="shared" si="4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5"/>
        <v>0</v>
      </c>
      <c r="AC12" s="9">
        <f t="shared" si="6"/>
        <v>0</v>
      </c>
      <c r="AD12" s="10">
        <f t="shared" ref="AD12:AD14" si="10">AC12*AB12*(1-O12)</f>
        <v>0</v>
      </c>
      <c r="AE12" s="36">
        <f t="shared" si="8"/>
        <v>0.4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117</v>
      </c>
      <c r="E13" s="53" t="s">
        <v>143</v>
      </c>
      <c r="F13" s="30" t="s">
        <v>138</v>
      </c>
      <c r="G13" s="33">
        <v>4</v>
      </c>
      <c r="H13" s="35">
        <v>24</v>
      </c>
      <c r="I13" s="7">
        <v>850000</v>
      </c>
      <c r="J13" s="14">
        <v>21840</v>
      </c>
      <c r="K13" s="15">
        <f>L13+20676+20704+882+19912+11748+21560+18812+17048</f>
        <v>153182</v>
      </c>
      <c r="L13" s="15">
        <f>2716*4+2744*4</f>
        <v>21840</v>
      </c>
      <c r="M13" s="15">
        <f t="shared" si="1"/>
        <v>21840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10"/>
        <v>1</v>
      </c>
      <c r="AE13" s="36">
        <f t="shared" si="8"/>
        <v>0.4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246</v>
      </c>
      <c r="F14" s="30" t="s">
        <v>247</v>
      </c>
      <c r="G14" s="33">
        <v>1</v>
      </c>
      <c r="H14" s="35">
        <v>24</v>
      </c>
      <c r="I14" s="7">
        <v>800</v>
      </c>
      <c r="J14" s="5">
        <v>689</v>
      </c>
      <c r="K14" s="15">
        <f>L14</f>
        <v>689</v>
      </c>
      <c r="L14" s="15">
        <f>689</f>
        <v>689</v>
      </c>
      <c r="M14" s="15">
        <f t="shared" si="1"/>
        <v>689</v>
      </c>
      <c r="N14" s="15">
        <v>0</v>
      </c>
      <c r="O14" s="58">
        <f t="shared" si="2"/>
        <v>0</v>
      </c>
      <c r="P14" s="39">
        <f t="shared" si="3"/>
        <v>9</v>
      </c>
      <c r="Q14" s="40">
        <f t="shared" si="4"/>
        <v>15</v>
      </c>
      <c r="R14" s="7"/>
      <c r="S14" s="6"/>
      <c r="T14" s="16"/>
      <c r="U14" s="16"/>
      <c r="V14" s="17">
        <v>15</v>
      </c>
      <c r="W14" s="5"/>
      <c r="X14" s="16"/>
      <c r="Y14" s="16"/>
      <c r="Z14" s="16"/>
      <c r="AA14" s="18"/>
      <c r="AB14" s="8">
        <f t="shared" si="5"/>
        <v>1</v>
      </c>
      <c r="AC14" s="9">
        <f t="shared" si="6"/>
        <v>0.375</v>
      </c>
      <c r="AD14" s="10">
        <f t="shared" si="10"/>
        <v>0.375</v>
      </c>
      <c r="AE14" s="36">
        <f t="shared" si="8"/>
        <v>0.4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158</v>
      </c>
      <c r="D15" s="52" t="s">
        <v>119</v>
      </c>
      <c r="E15" s="53" t="s">
        <v>201</v>
      </c>
      <c r="F15" s="12" t="s">
        <v>160</v>
      </c>
      <c r="G15" s="12">
        <v>2</v>
      </c>
      <c r="H15" s="13">
        <v>24</v>
      </c>
      <c r="I15" s="31">
        <v>42000</v>
      </c>
      <c r="J15" s="14">
        <v>12372</v>
      </c>
      <c r="K15" s="15">
        <f>L15+9554+7814</f>
        <v>29740</v>
      </c>
      <c r="L15" s="15">
        <f>3039*2+3147*2</f>
        <v>12372</v>
      </c>
      <c r="M15" s="15">
        <f t="shared" si="1"/>
        <v>12372</v>
      </c>
      <c r="N15" s="15">
        <v>0</v>
      </c>
      <c r="O15" s="58">
        <f t="shared" si="2"/>
        <v>0</v>
      </c>
      <c r="P15" s="39">
        <f t="shared" si="3"/>
        <v>24</v>
      </c>
      <c r="Q15" s="40">
        <f t="shared" si="4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1</v>
      </c>
      <c r="AD15" s="10">
        <f t="shared" si="7"/>
        <v>1</v>
      </c>
      <c r="AE15" s="36">
        <f t="shared" si="8"/>
        <v>0.4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148</v>
      </c>
      <c r="D16" s="52"/>
      <c r="E16" s="53" t="s">
        <v>149</v>
      </c>
      <c r="F16" s="30" t="s">
        <v>124</v>
      </c>
      <c r="G16" s="12">
        <v>1</v>
      </c>
      <c r="H16" s="13">
        <v>28</v>
      </c>
      <c r="I16" s="7">
        <v>1000</v>
      </c>
      <c r="J16" s="14">
        <v>1192</v>
      </c>
      <c r="K16" s="15">
        <f>L16+1192</f>
        <v>1192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126</v>
      </c>
      <c r="D17" s="52" t="s">
        <v>233</v>
      </c>
      <c r="E17" s="53" t="s">
        <v>234</v>
      </c>
      <c r="F17" s="30" t="s">
        <v>142</v>
      </c>
      <c r="G17" s="33">
        <v>1</v>
      </c>
      <c r="H17" s="35">
        <v>24</v>
      </c>
      <c r="I17" s="7">
        <v>2000</v>
      </c>
      <c r="J17" s="5">
        <v>2363</v>
      </c>
      <c r="K17" s="15">
        <f>L17+2363</f>
        <v>2363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123</v>
      </c>
      <c r="D18" s="52" t="s">
        <v>248</v>
      </c>
      <c r="E18" s="53" t="s">
        <v>249</v>
      </c>
      <c r="F18" s="30" t="s">
        <v>250</v>
      </c>
      <c r="G18" s="33" t="s">
        <v>204</v>
      </c>
      <c r="H18" s="35">
        <v>24</v>
      </c>
      <c r="I18" s="7">
        <v>18000</v>
      </c>
      <c r="J18" s="5">
        <v>4459</v>
      </c>
      <c r="K18" s="15">
        <f>L18</f>
        <v>4459</v>
      </c>
      <c r="L18" s="15">
        <f>2055+2404</f>
        <v>4459</v>
      </c>
      <c r="M18" s="15">
        <f t="shared" si="1"/>
        <v>4459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>AC18*AB18*(1-O18)</f>
        <v>1</v>
      </c>
      <c r="AE18" s="36">
        <f t="shared" si="8"/>
        <v>0.4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126</v>
      </c>
      <c r="D19" s="52" t="s">
        <v>202</v>
      </c>
      <c r="E19" s="53" t="s">
        <v>205</v>
      </c>
      <c r="F19" s="30" t="s">
        <v>138</v>
      </c>
      <c r="G19" s="33">
        <v>4</v>
      </c>
      <c r="H19" s="35">
        <v>24</v>
      </c>
      <c r="I19" s="7">
        <v>800000</v>
      </c>
      <c r="J19" s="14">
        <v>21332</v>
      </c>
      <c r="K19" s="15">
        <f>L19+12980+20160</f>
        <v>54472</v>
      </c>
      <c r="L19" s="15">
        <f>2694*4+2639*4</f>
        <v>21332</v>
      </c>
      <c r="M19" s="15">
        <f t="shared" si="1"/>
        <v>21332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ref="AD19" si="11">AC19*AB19*(1-O19)</f>
        <v>1</v>
      </c>
      <c r="AE19" s="36">
        <f t="shared" si="8"/>
        <v>0.4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144</v>
      </c>
      <c r="F20" s="12" t="s">
        <v>116</v>
      </c>
      <c r="G20" s="12">
        <v>3</v>
      </c>
      <c r="H20" s="35">
        <v>20</v>
      </c>
      <c r="I20" s="7">
        <v>200000</v>
      </c>
      <c r="J20" s="14">
        <v>34300</v>
      </c>
      <c r="K20" s="15">
        <f>L20+22050+34300</f>
        <v>56350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0.4</v>
      </c>
      <c r="AF20" s="87">
        <f t="shared" si="9"/>
        <v>15</v>
      </c>
    </row>
    <row r="21" spans="1:32" ht="31.5" customHeight="1" thickBot="1">
      <c r="A21" s="431" t="s">
        <v>34</v>
      </c>
      <c r="B21" s="432"/>
      <c r="C21" s="432"/>
      <c r="D21" s="432"/>
      <c r="E21" s="432"/>
      <c r="F21" s="432"/>
      <c r="G21" s="432"/>
      <c r="H21" s="433"/>
      <c r="I21" s="22">
        <f t="shared" ref="I21:N21" si="12">SUM(I6:I20)</f>
        <v>2309800</v>
      </c>
      <c r="J21" s="19">
        <f t="shared" si="12"/>
        <v>127800</v>
      </c>
      <c r="K21" s="20">
        <f t="shared" si="12"/>
        <v>777878</v>
      </c>
      <c r="L21" s="21">
        <f t="shared" si="12"/>
        <v>74890</v>
      </c>
      <c r="M21" s="20">
        <f t="shared" si="12"/>
        <v>74890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144</v>
      </c>
      <c r="Q21" s="43">
        <f t="shared" si="13"/>
        <v>216</v>
      </c>
      <c r="R21" s="23">
        <f t="shared" si="13"/>
        <v>24</v>
      </c>
      <c r="S21" s="24">
        <f t="shared" si="13"/>
        <v>33</v>
      </c>
      <c r="T21" s="24">
        <f t="shared" si="13"/>
        <v>0</v>
      </c>
      <c r="U21" s="24">
        <f t="shared" si="13"/>
        <v>0</v>
      </c>
      <c r="V21" s="25">
        <f t="shared" si="13"/>
        <v>39</v>
      </c>
      <c r="W21" s="26">
        <f t="shared" si="13"/>
        <v>120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0.46666666666666667</v>
      </c>
      <c r="AC21" s="4">
        <f>SUM(AC6:AC20)/15</f>
        <v>0.4</v>
      </c>
      <c r="AD21" s="4">
        <f>SUM(AD6:AD20)/15</f>
        <v>0.4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34" t="s">
        <v>45</v>
      </c>
      <c r="B48" s="434"/>
      <c r="C48" s="434"/>
      <c r="D48" s="434"/>
      <c r="E48" s="43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35" t="s">
        <v>251</v>
      </c>
      <c r="B49" s="436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7"/>
      <c r="N49" s="438" t="s">
        <v>254</v>
      </c>
      <c r="O49" s="439"/>
      <c r="P49" s="439"/>
      <c r="Q49" s="439"/>
      <c r="R49" s="439"/>
      <c r="S49" s="439"/>
      <c r="T49" s="439"/>
      <c r="U49" s="439"/>
      <c r="V49" s="439"/>
      <c r="W49" s="439"/>
      <c r="X49" s="439"/>
      <c r="Y49" s="439"/>
      <c r="Z49" s="439"/>
      <c r="AA49" s="439"/>
      <c r="AB49" s="439"/>
      <c r="AC49" s="439"/>
      <c r="AD49" s="440"/>
    </row>
    <row r="50" spans="1:32" ht="27" customHeight="1">
      <c r="A50" s="441" t="s">
        <v>2</v>
      </c>
      <c r="B50" s="442"/>
      <c r="C50" s="166" t="s">
        <v>46</v>
      </c>
      <c r="D50" s="166" t="s">
        <v>47</v>
      </c>
      <c r="E50" s="166" t="s">
        <v>108</v>
      </c>
      <c r="F50" s="442" t="s">
        <v>107</v>
      </c>
      <c r="G50" s="442"/>
      <c r="H50" s="442"/>
      <c r="I50" s="442"/>
      <c r="J50" s="442"/>
      <c r="K50" s="442"/>
      <c r="L50" s="442"/>
      <c r="M50" s="443"/>
      <c r="N50" s="67" t="s">
        <v>112</v>
      </c>
      <c r="O50" s="166" t="s">
        <v>46</v>
      </c>
      <c r="P50" s="444" t="s">
        <v>47</v>
      </c>
      <c r="Q50" s="445"/>
      <c r="R50" s="444" t="s">
        <v>38</v>
      </c>
      <c r="S50" s="446"/>
      <c r="T50" s="446"/>
      <c r="U50" s="445"/>
      <c r="V50" s="444" t="s">
        <v>48</v>
      </c>
      <c r="W50" s="446"/>
      <c r="X50" s="446"/>
      <c r="Y50" s="446"/>
      <c r="Z50" s="446"/>
      <c r="AA50" s="446"/>
      <c r="AB50" s="446"/>
      <c r="AC50" s="446"/>
      <c r="AD50" s="447"/>
    </row>
    <row r="51" spans="1:32" ht="27" customHeight="1">
      <c r="A51" s="412" t="s">
        <v>114</v>
      </c>
      <c r="B51" s="413"/>
      <c r="C51" s="168" t="s">
        <v>129</v>
      </c>
      <c r="D51" s="168" t="s">
        <v>133</v>
      </c>
      <c r="E51" s="168" t="s">
        <v>135</v>
      </c>
      <c r="F51" s="414" t="s">
        <v>209</v>
      </c>
      <c r="G51" s="415"/>
      <c r="H51" s="415"/>
      <c r="I51" s="415"/>
      <c r="J51" s="415"/>
      <c r="K51" s="415"/>
      <c r="L51" s="415"/>
      <c r="M51" s="416"/>
      <c r="N51" s="167" t="s">
        <v>123</v>
      </c>
      <c r="O51" s="173" t="s">
        <v>129</v>
      </c>
      <c r="P51" s="426" t="s">
        <v>218</v>
      </c>
      <c r="Q51" s="427"/>
      <c r="R51" s="426" t="s">
        <v>219</v>
      </c>
      <c r="S51" s="428"/>
      <c r="T51" s="428"/>
      <c r="U51" s="427"/>
      <c r="V51" s="396" t="s">
        <v>137</v>
      </c>
      <c r="W51" s="396"/>
      <c r="X51" s="396"/>
      <c r="Y51" s="396"/>
      <c r="Z51" s="396"/>
      <c r="AA51" s="396"/>
      <c r="AB51" s="396"/>
      <c r="AC51" s="396"/>
      <c r="AD51" s="417"/>
    </row>
    <row r="52" spans="1:32" ht="27" customHeight="1">
      <c r="A52" s="412" t="s">
        <v>131</v>
      </c>
      <c r="B52" s="413"/>
      <c r="C52" s="168" t="s">
        <v>139</v>
      </c>
      <c r="D52" s="168"/>
      <c r="E52" s="168" t="s">
        <v>152</v>
      </c>
      <c r="F52" s="414" t="s">
        <v>252</v>
      </c>
      <c r="G52" s="415"/>
      <c r="H52" s="415"/>
      <c r="I52" s="415"/>
      <c r="J52" s="415"/>
      <c r="K52" s="415"/>
      <c r="L52" s="415"/>
      <c r="M52" s="416"/>
      <c r="N52" s="167" t="s">
        <v>158</v>
      </c>
      <c r="O52" s="173" t="s">
        <v>130</v>
      </c>
      <c r="P52" s="426"/>
      <c r="Q52" s="427"/>
      <c r="R52" s="426" t="s">
        <v>255</v>
      </c>
      <c r="S52" s="428"/>
      <c r="T52" s="428"/>
      <c r="U52" s="427"/>
      <c r="V52" s="396" t="s">
        <v>120</v>
      </c>
      <c r="W52" s="396"/>
      <c r="X52" s="396"/>
      <c r="Y52" s="396"/>
      <c r="Z52" s="396"/>
      <c r="AA52" s="396"/>
      <c r="AB52" s="396"/>
      <c r="AC52" s="396"/>
      <c r="AD52" s="417"/>
    </row>
    <row r="53" spans="1:32" ht="27" customHeight="1">
      <c r="A53" s="412" t="s">
        <v>123</v>
      </c>
      <c r="B53" s="413"/>
      <c r="C53" s="168" t="s">
        <v>130</v>
      </c>
      <c r="D53" s="168" t="s">
        <v>218</v>
      </c>
      <c r="E53" s="168" t="s">
        <v>219</v>
      </c>
      <c r="F53" s="414" t="s">
        <v>253</v>
      </c>
      <c r="G53" s="415"/>
      <c r="H53" s="415"/>
      <c r="I53" s="415"/>
      <c r="J53" s="415"/>
      <c r="K53" s="415"/>
      <c r="L53" s="415"/>
      <c r="M53" s="416"/>
      <c r="N53" s="167" t="s">
        <v>257</v>
      </c>
      <c r="O53" s="173" t="s">
        <v>258</v>
      </c>
      <c r="P53" s="426"/>
      <c r="Q53" s="427"/>
      <c r="R53" s="426" t="s">
        <v>256</v>
      </c>
      <c r="S53" s="428"/>
      <c r="T53" s="428"/>
      <c r="U53" s="427"/>
      <c r="V53" s="396" t="s">
        <v>120</v>
      </c>
      <c r="W53" s="396"/>
      <c r="X53" s="396"/>
      <c r="Y53" s="396"/>
      <c r="Z53" s="396"/>
      <c r="AA53" s="396"/>
      <c r="AB53" s="396"/>
      <c r="AC53" s="396"/>
      <c r="AD53" s="417"/>
    </row>
    <row r="54" spans="1:32" ht="27" customHeight="1">
      <c r="A54" s="412" t="s">
        <v>114</v>
      </c>
      <c r="B54" s="413"/>
      <c r="C54" s="168" t="s">
        <v>169</v>
      </c>
      <c r="D54" s="168" t="s">
        <v>117</v>
      </c>
      <c r="E54" s="168" t="s">
        <v>246</v>
      </c>
      <c r="F54" s="414" t="s">
        <v>120</v>
      </c>
      <c r="G54" s="415"/>
      <c r="H54" s="415"/>
      <c r="I54" s="415"/>
      <c r="J54" s="415"/>
      <c r="K54" s="415"/>
      <c r="L54" s="415"/>
      <c r="M54" s="416"/>
      <c r="N54" s="167"/>
      <c r="O54" s="173"/>
      <c r="P54" s="426"/>
      <c r="Q54" s="427"/>
      <c r="R54" s="426"/>
      <c r="S54" s="428"/>
      <c r="T54" s="428"/>
      <c r="U54" s="427"/>
      <c r="V54" s="396"/>
      <c r="W54" s="396"/>
      <c r="X54" s="396"/>
      <c r="Y54" s="396"/>
      <c r="Z54" s="396"/>
      <c r="AA54" s="396"/>
      <c r="AB54" s="396"/>
      <c r="AC54" s="396"/>
      <c r="AD54" s="417"/>
    </row>
    <row r="55" spans="1:32" ht="27" customHeight="1">
      <c r="A55" s="412" t="s">
        <v>123</v>
      </c>
      <c r="B55" s="413"/>
      <c r="C55" s="168" t="s">
        <v>173</v>
      </c>
      <c r="D55" s="168" t="s">
        <v>248</v>
      </c>
      <c r="E55" s="168" t="s">
        <v>249</v>
      </c>
      <c r="F55" s="414" t="s">
        <v>120</v>
      </c>
      <c r="G55" s="415"/>
      <c r="H55" s="415"/>
      <c r="I55" s="415"/>
      <c r="J55" s="415"/>
      <c r="K55" s="415"/>
      <c r="L55" s="415"/>
      <c r="M55" s="416"/>
      <c r="N55" s="167"/>
      <c r="O55" s="173"/>
      <c r="P55" s="426"/>
      <c r="Q55" s="427"/>
      <c r="R55" s="426"/>
      <c r="S55" s="428"/>
      <c r="T55" s="428"/>
      <c r="U55" s="427"/>
      <c r="V55" s="396"/>
      <c r="W55" s="396"/>
      <c r="X55" s="396"/>
      <c r="Y55" s="396"/>
      <c r="Z55" s="396"/>
      <c r="AA55" s="396"/>
      <c r="AB55" s="396"/>
      <c r="AC55" s="396"/>
      <c r="AD55" s="417"/>
    </row>
    <row r="56" spans="1:32" ht="27" customHeight="1">
      <c r="A56" s="412"/>
      <c r="B56" s="413"/>
      <c r="C56" s="168"/>
      <c r="D56" s="168"/>
      <c r="E56" s="168"/>
      <c r="F56" s="414"/>
      <c r="G56" s="415"/>
      <c r="H56" s="415"/>
      <c r="I56" s="415"/>
      <c r="J56" s="415"/>
      <c r="K56" s="415"/>
      <c r="L56" s="415"/>
      <c r="M56" s="416"/>
      <c r="N56" s="167"/>
      <c r="O56" s="173"/>
      <c r="P56" s="426"/>
      <c r="Q56" s="427"/>
      <c r="R56" s="413"/>
      <c r="S56" s="413"/>
      <c r="T56" s="413"/>
      <c r="U56" s="413"/>
      <c r="V56" s="396"/>
      <c r="W56" s="396"/>
      <c r="X56" s="396"/>
      <c r="Y56" s="396"/>
      <c r="Z56" s="396"/>
      <c r="AA56" s="396"/>
      <c r="AB56" s="396"/>
      <c r="AC56" s="396"/>
      <c r="AD56" s="417"/>
    </row>
    <row r="57" spans="1:32" ht="27" customHeight="1">
      <c r="A57" s="412"/>
      <c r="B57" s="413"/>
      <c r="C57" s="168"/>
      <c r="D57" s="168"/>
      <c r="E57" s="168"/>
      <c r="F57" s="414"/>
      <c r="G57" s="415"/>
      <c r="H57" s="415"/>
      <c r="I57" s="415"/>
      <c r="J57" s="415"/>
      <c r="K57" s="415"/>
      <c r="L57" s="415"/>
      <c r="M57" s="416"/>
      <c r="N57" s="167"/>
      <c r="O57" s="173"/>
      <c r="P57" s="426"/>
      <c r="Q57" s="427"/>
      <c r="R57" s="413"/>
      <c r="S57" s="413"/>
      <c r="T57" s="413"/>
      <c r="U57" s="413"/>
      <c r="V57" s="396"/>
      <c r="W57" s="396"/>
      <c r="X57" s="396"/>
      <c r="Y57" s="396"/>
      <c r="Z57" s="396"/>
      <c r="AA57" s="396"/>
      <c r="AB57" s="396"/>
      <c r="AC57" s="396"/>
      <c r="AD57" s="417"/>
    </row>
    <row r="58" spans="1:32" ht="27" customHeight="1">
      <c r="A58" s="412"/>
      <c r="B58" s="413"/>
      <c r="C58" s="168"/>
      <c r="D58" s="168"/>
      <c r="E58" s="168"/>
      <c r="F58" s="414"/>
      <c r="G58" s="415"/>
      <c r="H58" s="415"/>
      <c r="I58" s="415"/>
      <c r="J58" s="415"/>
      <c r="K58" s="415"/>
      <c r="L58" s="415"/>
      <c r="M58" s="416"/>
      <c r="N58" s="167"/>
      <c r="O58" s="173"/>
      <c r="P58" s="426"/>
      <c r="Q58" s="427"/>
      <c r="R58" s="413"/>
      <c r="S58" s="413"/>
      <c r="T58" s="413"/>
      <c r="U58" s="413"/>
      <c r="V58" s="396"/>
      <c r="W58" s="396"/>
      <c r="X58" s="396"/>
      <c r="Y58" s="396"/>
      <c r="Z58" s="396"/>
      <c r="AA58" s="396"/>
      <c r="AB58" s="396"/>
      <c r="AC58" s="396"/>
      <c r="AD58" s="417"/>
    </row>
    <row r="59" spans="1:32" ht="27" customHeight="1">
      <c r="A59" s="412"/>
      <c r="B59" s="413"/>
      <c r="C59" s="168"/>
      <c r="D59" s="168"/>
      <c r="E59" s="168"/>
      <c r="F59" s="414"/>
      <c r="G59" s="415"/>
      <c r="H59" s="415"/>
      <c r="I59" s="415"/>
      <c r="J59" s="415"/>
      <c r="K59" s="415"/>
      <c r="L59" s="415"/>
      <c r="M59" s="416"/>
      <c r="N59" s="167"/>
      <c r="O59" s="173"/>
      <c r="P59" s="413"/>
      <c r="Q59" s="413"/>
      <c r="R59" s="413"/>
      <c r="S59" s="413"/>
      <c r="T59" s="413"/>
      <c r="U59" s="413"/>
      <c r="V59" s="396"/>
      <c r="W59" s="396"/>
      <c r="X59" s="396"/>
      <c r="Y59" s="396"/>
      <c r="Z59" s="396"/>
      <c r="AA59" s="396"/>
      <c r="AB59" s="396"/>
      <c r="AC59" s="396"/>
      <c r="AD59" s="417"/>
      <c r="AF59" s="87">
        <f>8*3000</f>
        <v>24000</v>
      </c>
    </row>
    <row r="60" spans="1:32" ht="27" customHeight="1" thickBot="1">
      <c r="A60" s="418"/>
      <c r="B60" s="419"/>
      <c r="C60" s="169"/>
      <c r="D60" s="170"/>
      <c r="E60" s="170"/>
      <c r="F60" s="420"/>
      <c r="G60" s="421"/>
      <c r="H60" s="421"/>
      <c r="I60" s="421"/>
      <c r="J60" s="421"/>
      <c r="K60" s="421"/>
      <c r="L60" s="421"/>
      <c r="M60" s="422"/>
      <c r="N60" s="124"/>
      <c r="O60" s="114"/>
      <c r="P60" s="423"/>
      <c r="Q60" s="423"/>
      <c r="R60" s="423"/>
      <c r="S60" s="423"/>
      <c r="T60" s="423"/>
      <c r="U60" s="423"/>
      <c r="V60" s="424"/>
      <c r="W60" s="424"/>
      <c r="X60" s="424"/>
      <c r="Y60" s="424"/>
      <c r="Z60" s="424"/>
      <c r="AA60" s="424"/>
      <c r="AB60" s="424"/>
      <c r="AC60" s="424"/>
      <c r="AD60" s="425"/>
      <c r="AF60" s="87">
        <f>16*3000</f>
        <v>48000</v>
      </c>
    </row>
    <row r="61" spans="1:32" ht="27.75" thickBot="1">
      <c r="A61" s="410" t="s">
        <v>259</v>
      </c>
      <c r="B61" s="410"/>
      <c r="C61" s="410"/>
      <c r="D61" s="410"/>
      <c r="E61" s="410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1" t="s">
        <v>113</v>
      </c>
      <c r="B62" s="406"/>
      <c r="C62" s="171" t="s">
        <v>2</v>
      </c>
      <c r="D62" s="171" t="s">
        <v>37</v>
      </c>
      <c r="E62" s="171" t="s">
        <v>3</v>
      </c>
      <c r="F62" s="406" t="s">
        <v>110</v>
      </c>
      <c r="G62" s="406"/>
      <c r="H62" s="406"/>
      <c r="I62" s="406"/>
      <c r="J62" s="406"/>
      <c r="K62" s="406" t="s">
        <v>39</v>
      </c>
      <c r="L62" s="406"/>
      <c r="M62" s="171" t="s">
        <v>40</v>
      </c>
      <c r="N62" s="406" t="s">
        <v>41</v>
      </c>
      <c r="O62" s="406"/>
      <c r="P62" s="403" t="s">
        <v>42</v>
      </c>
      <c r="Q62" s="405"/>
      <c r="R62" s="403" t="s">
        <v>43</v>
      </c>
      <c r="S62" s="404"/>
      <c r="T62" s="404"/>
      <c r="U62" s="404"/>
      <c r="V62" s="404"/>
      <c r="W62" s="404"/>
      <c r="X62" s="404"/>
      <c r="Y62" s="404"/>
      <c r="Z62" s="404"/>
      <c r="AA62" s="405"/>
      <c r="AB62" s="406" t="s">
        <v>44</v>
      </c>
      <c r="AC62" s="406"/>
      <c r="AD62" s="407"/>
      <c r="AF62" s="87">
        <f>SUM(AF59:AF61)</f>
        <v>96000</v>
      </c>
    </row>
    <row r="63" spans="1:32" ht="25.5" customHeight="1">
      <c r="A63" s="389">
        <v>1</v>
      </c>
      <c r="B63" s="390"/>
      <c r="C63" s="117" t="s">
        <v>123</v>
      </c>
      <c r="D63" s="175"/>
      <c r="E63" s="172" t="s">
        <v>163</v>
      </c>
      <c r="F63" s="391" t="s">
        <v>191</v>
      </c>
      <c r="G63" s="383"/>
      <c r="H63" s="383"/>
      <c r="I63" s="383"/>
      <c r="J63" s="383"/>
      <c r="K63" s="383" t="s">
        <v>121</v>
      </c>
      <c r="L63" s="383"/>
      <c r="M63" s="51" t="s">
        <v>222</v>
      </c>
      <c r="N63" s="401" t="s">
        <v>136</v>
      </c>
      <c r="O63" s="401"/>
      <c r="P63" s="402"/>
      <c r="Q63" s="402"/>
      <c r="R63" s="396" t="s">
        <v>260</v>
      </c>
      <c r="S63" s="396"/>
      <c r="T63" s="396"/>
      <c r="U63" s="396"/>
      <c r="V63" s="396"/>
      <c r="W63" s="396"/>
      <c r="X63" s="396"/>
      <c r="Y63" s="396"/>
      <c r="Z63" s="396"/>
      <c r="AA63" s="396"/>
      <c r="AB63" s="400"/>
      <c r="AC63" s="408"/>
      <c r="AD63" s="409"/>
      <c r="AF63" s="50"/>
    </row>
    <row r="64" spans="1:32" ht="25.5" customHeight="1">
      <c r="A64" s="389">
        <v>2</v>
      </c>
      <c r="B64" s="390"/>
      <c r="C64" s="117" t="s">
        <v>123</v>
      </c>
      <c r="D64" s="175"/>
      <c r="E64" s="172" t="s">
        <v>117</v>
      </c>
      <c r="F64" s="391" t="s">
        <v>147</v>
      </c>
      <c r="G64" s="383"/>
      <c r="H64" s="383"/>
      <c r="I64" s="383"/>
      <c r="J64" s="383"/>
      <c r="K64" s="383" t="s">
        <v>132</v>
      </c>
      <c r="L64" s="383"/>
      <c r="M64" s="51" t="s">
        <v>222</v>
      </c>
      <c r="N64" s="401" t="s">
        <v>136</v>
      </c>
      <c r="O64" s="401"/>
      <c r="P64" s="402">
        <v>50</v>
      </c>
      <c r="Q64" s="402"/>
      <c r="R64" s="396"/>
      <c r="S64" s="396"/>
      <c r="T64" s="396"/>
      <c r="U64" s="396"/>
      <c r="V64" s="396"/>
      <c r="W64" s="396"/>
      <c r="X64" s="396"/>
      <c r="Y64" s="396"/>
      <c r="Z64" s="396"/>
      <c r="AA64" s="396"/>
      <c r="AB64" s="383"/>
      <c r="AC64" s="383"/>
      <c r="AD64" s="384"/>
      <c r="AF64" s="50"/>
    </row>
    <row r="65" spans="1:32" ht="25.5" customHeight="1">
      <c r="A65" s="389">
        <v>3</v>
      </c>
      <c r="B65" s="390"/>
      <c r="C65" s="117"/>
      <c r="D65" s="175"/>
      <c r="E65" s="172"/>
      <c r="F65" s="397"/>
      <c r="G65" s="398"/>
      <c r="H65" s="398"/>
      <c r="I65" s="398"/>
      <c r="J65" s="399"/>
      <c r="K65" s="383"/>
      <c r="L65" s="383"/>
      <c r="M65" s="51"/>
      <c r="N65" s="401"/>
      <c r="O65" s="401"/>
      <c r="P65" s="402"/>
      <c r="Q65" s="402"/>
      <c r="R65" s="396"/>
      <c r="S65" s="396"/>
      <c r="T65" s="396"/>
      <c r="U65" s="396"/>
      <c r="V65" s="396"/>
      <c r="W65" s="396"/>
      <c r="X65" s="396"/>
      <c r="Y65" s="396"/>
      <c r="Z65" s="396"/>
      <c r="AA65" s="396"/>
      <c r="AB65" s="383"/>
      <c r="AC65" s="383"/>
      <c r="AD65" s="384"/>
      <c r="AF65" s="50"/>
    </row>
    <row r="66" spans="1:32" ht="25.5" customHeight="1">
      <c r="A66" s="389">
        <v>4</v>
      </c>
      <c r="B66" s="390"/>
      <c r="C66" s="117"/>
      <c r="D66" s="175"/>
      <c r="E66" s="172"/>
      <c r="F66" s="397"/>
      <c r="G66" s="398"/>
      <c r="H66" s="398"/>
      <c r="I66" s="398"/>
      <c r="J66" s="399"/>
      <c r="K66" s="383"/>
      <c r="L66" s="383"/>
      <c r="M66" s="51"/>
      <c r="N66" s="401"/>
      <c r="O66" s="401"/>
      <c r="P66" s="402"/>
      <c r="Q66" s="402"/>
      <c r="R66" s="396"/>
      <c r="S66" s="396"/>
      <c r="T66" s="396"/>
      <c r="U66" s="396"/>
      <c r="V66" s="396"/>
      <c r="W66" s="396"/>
      <c r="X66" s="396"/>
      <c r="Y66" s="396"/>
      <c r="Z66" s="396"/>
      <c r="AA66" s="396"/>
      <c r="AB66" s="383"/>
      <c r="AC66" s="383"/>
      <c r="AD66" s="384"/>
      <c r="AF66" s="50"/>
    </row>
    <row r="67" spans="1:32" ht="25.5" customHeight="1">
      <c r="A67" s="389">
        <v>5</v>
      </c>
      <c r="B67" s="390"/>
      <c r="C67" s="117"/>
      <c r="D67" s="175"/>
      <c r="E67" s="172"/>
      <c r="F67" s="397"/>
      <c r="G67" s="398"/>
      <c r="H67" s="398"/>
      <c r="I67" s="398"/>
      <c r="J67" s="399"/>
      <c r="K67" s="400"/>
      <c r="L67" s="390"/>
      <c r="M67" s="51"/>
      <c r="N67" s="401"/>
      <c r="O67" s="401"/>
      <c r="P67" s="402"/>
      <c r="Q67" s="402"/>
      <c r="R67" s="396"/>
      <c r="S67" s="396"/>
      <c r="T67" s="396"/>
      <c r="U67" s="396"/>
      <c r="V67" s="396"/>
      <c r="W67" s="396"/>
      <c r="X67" s="396"/>
      <c r="Y67" s="396"/>
      <c r="Z67" s="396"/>
      <c r="AA67" s="396"/>
      <c r="AB67" s="383"/>
      <c r="AC67" s="383"/>
      <c r="AD67" s="384"/>
      <c r="AF67" s="50"/>
    </row>
    <row r="68" spans="1:32" ht="25.5" customHeight="1">
      <c r="A68" s="389">
        <v>6</v>
      </c>
      <c r="B68" s="390"/>
      <c r="C68" s="117"/>
      <c r="D68" s="175"/>
      <c r="E68" s="172"/>
      <c r="F68" s="391"/>
      <c r="G68" s="383"/>
      <c r="H68" s="383"/>
      <c r="I68" s="383"/>
      <c r="J68" s="383"/>
      <c r="K68" s="383"/>
      <c r="L68" s="383"/>
      <c r="M68" s="51"/>
      <c r="N68" s="392"/>
      <c r="O68" s="393"/>
      <c r="P68" s="394"/>
      <c r="Q68" s="395"/>
      <c r="R68" s="396"/>
      <c r="S68" s="396"/>
      <c r="T68" s="396"/>
      <c r="U68" s="396"/>
      <c r="V68" s="396"/>
      <c r="W68" s="396"/>
      <c r="X68" s="396"/>
      <c r="Y68" s="396"/>
      <c r="Z68" s="396"/>
      <c r="AA68" s="396"/>
      <c r="AB68" s="383"/>
      <c r="AC68" s="383"/>
      <c r="AD68" s="384"/>
      <c r="AF68" s="50"/>
    </row>
    <row r="69" spans="1:32" ht="25.5" customHeight="1">
      <c r="A69" s="389">
        <v>7</v>
      </c>
      <c r="B69" s="390"/>
      <c r="C69" s="117"/>
      <c r="D69" s="175"/>
      <c r="E69" s="172"/>
      <c r="F69" s="391"/>
      <c r="G69" s="383"/>
      <c r="H69" s="383"/>
      <c r="I69" s="383"/>
      <c r="J69" s="383"/>
      <c r="K69" s="383"/>
      <c r="L69" s="383"/>
      <c r="M69" s="51"/>
      <c r="N69" s="392"/>
      <c r="O69" s="393"/>
      <c r="P69" s="394"/>
      <c r="Q69" s="395"/>
      <c r="R69" s="396"/>
      <c r="S69" s="396"/>
      <c r="T69" s="396"/>
      <c r="U69" s="396"/>
      <c r="V69" s="396"/>
      <c r="W69" s="396"/>
      <c r="X69" s="396"/>
      <c r="Y69" s="396"/>
      <c r="Z69" s="396"/>
      <c r="AA69" s="396"/>
      <c r="AB69" s="383"/>
      <c r="AC69" s="383"/>
      <c r="AD69" s="384"/>
      <c r="AF69" s="50"/>
    </row>
    <row r="70" spans="1:32" ht="25.5" customHeight="1">
      <c r="A70" s="389">
        <v>8</v>
      </c>
      <c r="B70" s="390"/>
      <c r="C70" s="117"/>
      <c r="D70" s="175"/>
      <c r="E70" s="172"/>
      <c r="F70" s="391"/>
      <c r="G70" s="383"/>
      <c r="H70" s="383"/>
      <c r="I70" s="383"/>
      <c r="J70" s="383"/>
      <c r="K70" s="383"/>
      <c r="L70" s="383"/>
      <c r="M70" s="51"/>
      <c r="N70" s="392"/>
      <c r="O70" s="393"/>
      <c r="P70" s="394"/>
      <c r="Q70" s="395"/>
      <c r="R70" s="396"/>
      <c r="S70" s="396"/>
      <c r="T70" s="396"/>
      <c r="U70" s="396"/>
      <c r="V70" s="396"/>
      <c r="W70" s="396"/>
      <c r="X70" s="396"/>
      <c r="Y70" s="396"/>
      <c r="Z70" s="396"/>
      <c r="AA70" s="396"/>
      <c r="AB70" s="383"/>
      <c r="AC70" s="383"/>
      <c r="AD70" s="384"/>
      <c r="AF70" s="50"/>
    </row>
    <row r="71" spans="1:32" ht="26.25" customHeight="1" thickBot="1">
      <c r="A71" s="363" t="s">
        <v>261</v>
      </c>
      <c r="B71" s="363"/>
      <c r="C71" s="363"/>
      <c r="D71" s="363"/>
      <c r="E71" s="363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64" t="s">
        <v>113</v>
      </c>
      <c r="B72" s="365"/>
      <c r="C72" s="174" t="s">
        <v>2</v>
      </c>
      <c r="D72" s="174" t="s">
        <v>37</v>
      </c>
      <c r="E72" s="174" t="s">
        <v>3</v>
      </c>
      <c r="F72" s="365" t="s">
        <v>38</v>
      </c>
      <c r="G72" s="365"/>
      <c r="H72" s="365"/>
      <c r="I72" s="365"/>
      <c r="J72" s="365"/>
      <c r="K72" s="385" t="s">
        <v>58</v>
      </c>
      <c r="L72" s="386"/>
      <c r="M72" s="386"/>
      <c r="N72" s="386"/>
      <c r="O72" s="386"/>
      <c r="P72" s="386"/>
      <c r="Q72" s="386"/>
      <c r="R72" s="386"/>
      <c r="S72" s="387"/>
      <c r="T72" s="365" t="s">
        <v>49</v>
      </c>
      <c r="U72" s="365"/>
      <c r="V72" s="385" t="s">
        <v>50</v>
      </c>
      <c r="W72" s="387"/>
      <c r="X72" s="386" t="s">
        <v>51</v>
      </c>
      <c r="Y72" s="386"/>
      <c r="Z72" s="386"/>
      <c r="AA72" s="386"/>
      <c r="AB72" s="386"/>
      <c r="AC72" s="386"/>
      <c r="AD72" s="388"/>
      <c r="AF72" s="50"/>
    </row>
    <row r="73" spans="1:32" ht="33.75" customHeight="1">
      <c r="A73" s="357">
        <v>1</v>
      </c>
      <c r="B73" s="358"/>
      <c r="C73" s="176" t="s">
        <v>114</v>
      </c>
      <c r="D73" s="176"/>
      <c r="E73" s="65" t="s">
        <v>119</v>
      </c>
      <c r="F73" s="372" t="s">
        <v>118</v>
      </c>
      <c r="G73" s="373"/>
      <c r="H73" s="373"/>
      <c r="I73" s="373"/>
      <c r="J73" s="374"/>
      <c r="K73" s="375" t="s">
        <v>128</v>
      </c>
      <c r="L73" s="376"/>
      <c r="M73" s="376"/>
      <c r="N73" s="376"/>
      <c r="O73" s="376"/>
      <c r="P73" s="376"/>
      <c r="Q73" s="376"/>
      <c r="R73" s="376"/>
      <c r="S73" s="377"/>
      <c r="T73" s="378">
        <v>43675</v>
      </c>
      <c r="U73" s="379"/>
      <c r="V73" s="380"/>
      <c r="W73" s="380"/>
      <c r="X73" s="381"/>
      <c r="Y73" s="381"/>
      <c r="Z73" s="381"/>
      <c r="AA73" s="381"/>
      <c r="AB73" s="381"/>
      <c r="AC73" s="381"/>
      <c r="AD73" s="382"/>
      <c r="AF73" s="50"/>
    </row>
    <row r="74" spans="1:32" ht="30" customHeight="1">
      <c r="A74" s="350">
        <f>A73+1</f>
        <v>2</v>
      </c>
      <c r="B74" s="351"/>
      <c r="C74" s="175"/>
      <c r="D74" s="175"/>
      <c r="E74" s="32"/>
      <c r="F74" s="351"/>
      <c r="G74" s="351"/>
      <c r="H74" s="351"/>
      <c r="I74" s="351"/>
      <c r="J74" s="351"/>
      <c r="K74" s="366"/>
      <c r="L74" s="367"/>
      <c r="M74" s="367"/>
      <c r="N74" s="367"/>
      <c r="O74" s="367"/>
      <c r="P74" s="367"/>
      <c r="Q74" s="367"/>
      <c r="R74" s="367"/>
      <c r="S74" s="368"/>
      <c r="T74" s="369"/>
      <c r="U74" s="369"/>
      <c r="V74" s="369"/>
      <c r="W74" s="369"/>
      <c r="X74" s="370"/>
      <c r="Y74" s="370"/>
      <c r="Z74" s="370"/>
      <c r="AA74" s="370"/>
      <c r="AB74" s="370"/>
      <c r="AC74" s="370"/>
      <c r="AD74" s="371"/>
      <c r="AF74" s="50"/>
    </row>
    <row r="75" spans="1:32" ht="30" customHeight="1">
      <c r="A75" s="350">
        <f t="shared" ref="A75:A81" si="14">A74+1</f>
        <v>3</v>
      </c>
      <c r="B75" s="351"/>
      <c r="C75" s="175"/>
      <c r="D75" s="175"/>
      <c r="E75" s="32"/>
      <c r="F75" s="351"/>
      <c r="G75" s="351"/>
      <c r="H75" s="351"/>
      <c r="I75" s="351"/>
      <c r="J75" s="351"/>
      <c r="K75" s="366"/>
      <c r="L75" s="367"/>
      <c r="M75" s="367"/>
      <c r="N75" s="367"/>
      <c r="O75" s="367"/>
      <c r="P75" s="367"/>
      <c r="Q75" s="367"/>
      <c r="R75" s="367"/>
      <c r="S75" s="368"/>
      <c r="T75" s="369"/>
      <c r="U75" s="369"/>
      <c r="V75" s="369"/>
      <c r="W75" s="369"/>
      <c r="X75" s="370"/>
      <c r="Y75" s="370"/>
      <c r="Z75" s="370"/>
      <c r="AA75" s="370"/>
      <c r="AB75" s="370"/>
      <c r="AC75" s="370"/>
      <c r="AD75" s="371"/>
      <c r="AF75" s="50"/>
    </row>
    <row r="76" spans="1:32" ht="30" customHeight="1">
      <c r="A76" s="350">
        <f t="shared" si="14"/>
        <v>4</v>
      </c>
      <c r="B76" s="351"/>
      <c r="C76" s="175"/>
      <c r="D76" s="175"/>
      <c r="E76" s="32"/>
      <c r="F76" s="351"/>
      <c r="G76" s="351"/>
      <c r="H76" s="351"/>
      <c r="I76" s="351"/>
      <c r="J76" s="351"/>
      <c r="K76" s="366"/>
      <c r="L76" s="367"/>
      <c r="M76" s="367"/>
      <c r="N76" s="367"/>
      <c r="O76" s="367"/>
      <c r="P76" s="367"/>
      <c r="Q76" s="367"/>
      <c r="R76" s="367"/>
      <c r="S76" s="368"/>
      <c r="T76" s="369"/>
      <c r="U76" s="369"/>
      <c r="V76" s="369"/>
      <c r="W76" s="369"/>
      <c r="X76" s="370"/>
      <c r="Y76" s="370"/>
      <c r="Z76" s="370"/>
      <c r="AA76" s="370"/>
      <c r="AB76" s="370"/>
      <c r="AC76" s="370"/>
      <c r="AD76" s="371"/>
      <c r="AF76" s="50"/>
    </row>
    <row r="77" spans="1:32" ht="30" customHeight="1">
      <c r="A77" s="350">
        <f t="shared" si="14"/>
        <v>5</v>
      </c>
      <c r="B77" s="351"/>
      <c r="C77" s="175"/>
      <c r="D77" s="175"/>
      <c r="E77" s="32"/>
      <c r="F77" s="351"/>
      <c r="G77" s="351"/>
      <c r="H77" s="351"/>
      <c r="I77" s="351"/>
      <c r="J77" s="351"/>
      <c r="K77" s="366"/>
      <c r="L77" s="367"/>
      <c r="M77" s="367"/>
      <c r="N77" s="367"/>
      <c r="O77" s="367"/>
      <c r="P77" s="367"/>
      <c r="Q77" s="367"/>
      <c r="R77" s="367"/>
      <c r="S77" s="368"/>
      <c r="T77" s="369"/>
      <c r="U77" s="369"/>
      <c r="V77" s="369"/>
      <c r="W77" s="369"/>
      <c r="X77" s="370"/>
      <c r="Y77" s="370"/>
      <c r="Z77" s="370"/>
      <c r="AA77" s="370"/>
      <c r="AB77" s="370"/>
      <c r="AC77" s="370"/>
      <c r="AD77" s="371"/>
      <c r="AF77" s="50"/>
    </row>
    <row r="78" spans="1:32" ht="30" customHeight="1">
      <c r="A78" s="350">
        <f t="shared" si="14"/>
        <v>6</v>
      </c>
      <c r="B78" s="351"/>
      <c r="C78" s="175"/>
      <c r="D78" s="175"/>
      <c r="E78" s="32"/>
      <c r="F78" s="351"/>
      <c r="G78" s="351"/>
      <c r="H78" s="351"/>
      <c r="I78" s="351"/>
      <c r="J78" s="351"/>
      <c r="K78" s="366"/>
      <c r="L78" s="367"/>
      <c r="M78" s="367"/>
      <c r="N78" s="367"/>
      <c r="O78" s="367"/>
      <c r="P78" s="367"/>
      <c r="Q78" s="367"/>
      <c r="R78" s="367"/>
      <c r="S78" s="368"/>
      <c r="T78" s="369"/>
      <c r="U78" s="369"/>
      <c r="V78" s="369"/>
      <c r="W78" s="369"/>
      <c r="X78" s="370"/>
      <c r="Y78" s="370"/>
      <c r="Z78" s="370"/>
      <c r="AA78" s="370"/>
      <c r="AB78" s="370"/>
      <c r="AC78" s="370"/>
      <c r="AD78" s="371"/>
      <c r="AF78" s="50"/>
    </row>
    <row r="79" spans="1:32" ht="30" customHeight="1">
      <c r="A79" s="350">
        <f t="shared" si="14"/>
        <v>7</v>
      </c>
      <c r="B79" s="351"/>
      <c r="C79" s="175"/>
      <c r="D79" s="175"/>
      <c r="E79" s="32"/>
      <c r="F79" s="351"/>
      <c r="G79" s="351"/>
      <c r="H79" s="351"/>
      <c r="I79" s="351"/>
      <c r="J79" s="351"/>
      <c r="K79" s="366"/>
      <c r="L79" s="367"/>
      <c r="M79" s="367"/>
      <c r="N79" s="367"/>
      <c r="O79" s="367"/>
      <c r="P79" s="367"/>
      <c r="Q79" s="367"/>
      <c r="R79" s="367"/>
      <c r="S79" s="368"/>
      <c r="T79" s="369"/>
      <c r="U79" s="369"/>
      <c r="V79" s="369"/>
      <c r="W79" s="369"/>
      <c r="X79" s="370"/>
      <c r="Y79" s="370"/>
      <c r="Z79" s="370"/>
      <c r="AA79" s="370"/>
      <c r="AB79" s="370"/>
      <c r="AC79" s="370"/>
      <c r="AD79" s="371"/>
      <c r="AF79" s="50"/>
    </row>
    <row r="80" spans="1:32" ht="30" customHeight="1">
      <c r="A80" s="350">
        <f t="shared" si="14"/>
        <v>8</v>
      </c>
      <c r="B80" s="351"/>
      <c r="C80" s="175"/>
      <c r="D80" s="175"/>
      <c r="E80" s="32"/>
      <c r="F80" s="351"/>
      <c r="G80" s="351"/>
      <c r="H80" s="351"/>
      <c r="I80" s="351"/>
      <c r="J80" s="351"/>
      <c r="K80" s="366"/>
      <c r="L80" s="367"/>
      <c r="M80" s="367"/>
      <c r="N80" s="367"/>
      <c r="O80" s="367"/>
      <c r="P80" s="367"/>
      <c r="Q80" s="367"/>
      <c r="R80" s="367"/>
      <c r="S80" s="368"/>
      <c r="T80" s="369"/>
      <c r="U80" s="369"/>
      <c r="V80" s="369"/>
      <c r="W80" s="369"/>
      <c r="X80" s="370"/>
      <c r="Y80" s="370"/>
      <c r="Z80" s="370"/>
      <c r="AA80" s="370"/>
      <c r="AB80" s="370"/>
      <c r="AC80" s="370"/>
      <c r="AD80" s="371"/>
      <c r="AF80" s="50"/>
    </row>
    <row r="81" spans="1:32" ht="30" customHeight="1">
      <c r="A81" s="350">
        <f t="shared" si="14"/>
        <v>9</v>
      </c>
      <c r="B81" s="351"/>
      <c r="C81" s="175"/>
      <c r="D81" s="175"/>
      <c r="E81" s="32"/>
      <c r="F81" s="351"/>
      <c r="G81" s="351"/>
      <c r="H81" s="351"/>
      <c r="I81" s="351"/>
      <c r="J81" s="351"/>
      <c r="K81" s="366"/>
      <c r="L81" s="367"/>
      <c r="M81" s="367"/>
      <c r="N81" s="367"/>
      <c r="O81" s="367"/>
      <c r="P81" s="367"/>
      <c r="Q81" s="367"/>
      <c r="R81" s="367"/>
      <c r="S81" s="368"/>
      <c r="T81" s="369"/>
      <c r="U81" s="369"/>
      <c r="V81" s="369"/>
      <c r="W81" s="369"/>
      <c r="X81" s="370"/>
      <c r="Y81" s="370"/>
      <c r="Z81" s="370"/>
      <c r="AA81" s="370"/>
      <c r="AB81" s="370"/>
      <c r="AC81" s="370"/>
      <c r="AD81" s="371"/>
      <c r="AF81" s="50"/>
    </row>
    <row r="82" spans="1:32" ht="36" thickBot="1">
      <c r="A82" s="363" t="s">
        <v>262</v>
      </c>
      <c r="B82" s="363"/>
      <c r="C82" s="363"/>
      <c r="D82" s="363"/>
      <c r="E82" s="363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64" t="s">
        <v>113</v>
      </c>
      <c r="B83" s="365"/>
      <c r="C83" s="355" t="s">
        <v>52</v>
      </c>
      <c r="D83" s="355"/>
      <c r="E83" s="355" t="s">
        <v>53</v>
      </c>
      <c r="F83" s="355"/>
      <c r="G83" s="355"/>
      <c r="H83" s="355"/>
      <c r="I83" s="355"/>
      <c r="J83" s="355"/>
      <c r="K83" s="355" t="s">
        <v>54</v>
      </c>
      <c r="L83" s="355"/>
      <c r="M83" s="355"/>
      <c r="N83" s="355"/>
      <c r="O83" s="355"/>
      <c r="P83" s="355"/>
      <c r="Q83" s="355"/>
      <c r="R83" s="355"/>
      <c r="S83" s="355"/>
      <c r="T83" s="355" t="s">
        <v>55</v>
      </c>
      <c r="U83" s="355"/>
      <c r="V83" s="355" t="s">
        <v>56</v>
      </c>
      <c r="W83" s="355"/>
      <c r="X83" s="355"/>
      <c r="Y83" s="355" t="s">
        <v>51</v>
      </c>
      <c r="Z83" s="355"/>
      <c r="AA83" s="355"/>
      <c r="AB83" s="355"/>
      <c r="AC83" s="355"/>
      <c r="AD83" s="356"/>
      <c r="AF83" s="50"/>
    </row>
    <row r="84" spans="1:32" ht="30.75" customHeight="1">
      <c r="A84" s="357">
        <v>1</v>
      </c>
      <c r="B84" s="358"/>
      <c r="C84" s="359"/>
      <c r="D84" s="359"/>
      <c r="E84" s="359"/>
      <c r="F84" s="359"/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/>
      <c r="R84" s="359"/>
      <c r="S84" s="359"/>
      <c r="T84" s="359"/>
      <c r="U84" s="359"/>
      <c r="V84" s="360"/>
      <c r="W84" s="360"/>
      <c r="X84" s="360"/>
      <c r="Y84" s="361"/>
      <c r="Z84" s="361"/>
      <c r="AA84" s="361"/>
      <c r="AB84" s="361"/>
      <c r="AC84" s="361"/>
      <c r="AD84" s="362"/>
      <c r="AF84" s="50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0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3EDE-BA1A-47FE-BE11-249547579CA8}">
  <dimension ref="A1:AF86"/>
  <sheetViews>
    <sheetView zoomScale="72" zoomScaleNormal="72" zoomScaleSheetLayoutView="70" workbookViewId="0">
      <selection activeCell="AE10" sqref="AE10:AE1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58" t="s">
        <v>263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8"/>
      <c r="B2" s="458"/>
      <c r="C2" s="458"/>
      <c r="D2" s="458"/>
      <c r="E2" s="458"/>
      <c r="F2" s="458"/>
      <c r="G2" s="458"/>
      <c r="H2" s="458"/>
      <c r="I2" s="458"/>
      <c r="J2" s="458"/>
      <c r="K2" s="458"/>
      <c r="L2" s="458"/>
      <c r="M2" s="458"/>
      <c r="N2" s="458"/>
      <c r="O2" s="45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9"/>
      <c r="B3" s="459"/>
      <c r="C3" s="459"/>
      <c r="D3" s="459"/>
      <c r="E3" s="459"/>
      <c r="F3" s="459"/>
      <c r="G3" s="45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0" t="s">
        <v>0</v>
      </c>
      <c r="B4" s="462" t="s">
        <v>1</v>
      </c>
      <c r="C4" s="462" t="s">
        <v>2</v>
      </c>
      <c r="D4" s="465" t="s">
        <v>3</v>
      </c>
      <c r="E4" s="467" t="s">
        <v>4</v>
      </c>
      <c r="F4" s="465" t="s">
        <v>5</v>
      </c>
      <c r="G4" s="462" t="s">
        <v>6</v>
      </c>
      <c r="H4" s="468" t="s">
        <v>7</v>
      </c>
      <c r="I4" s="448" t="s">
        <v>8</v>
      </c>
      <c r="J4" s="449"/>
      <c r="K4" s="449"/>
      <c r="L4" s="449"/>
      <c r="M4" s="449"/>
      <c r="N4" s="449"/>
      <c r="O4" s="450"/>
      <c r="P4" s="451" t="s">
        <v>9</v>
      </c>
      <c r="Q4" s="452"/>
      <c r="R4" s="453" t="s">
        <v>10</v>
      </c>
      <c r="S4" s="453"/>
      <c r="T4" s="453"/>
      <c r="U4" s="453"/>
      <c r="V4" s="453"/>
      <c r="W4" s="454" t="s">
        <v>11</v>
      </c>
      <c r="X4" s="453"/>
      <c r="Y4" s="453"/>
      <c r="Z4" s="453"/>
      <c r="AA4" s="455"/>
      <c r="AB4" s="456" t="s">
        <v>12</v>
      </c>
      <c r="AC4" s="429" t="s">
        <v>13</v>
      </c>
      <c r="AD4" s="429" t="s">
        <v>14</v>
      </c>
      <c r="AE4" s="54"/>
    </row>
    <row r="5" spans="1:32" ht="51" customHeight="1" thickBot="1">
      <c r="A5" s="461"/>
      <c r="B5" s="463"/>
      <c r="C5" s="464"/>
      <c r="D5" s="466"/>
      <c r="E5" s="466"/>
      <c r="F5" s="466"/>
      <c r="G5" s="463"/>
      <c r="H5" s="469"/>
      <c r="I5" s="55" t="s">
        <v>15</v>
      </c>
      <c r="J5" s="56" t="s">
        <v>16</v>
      </c>
      <c r="K5" s="165" t="s">
        <v>17</v>
      </c>
      <c r="L5" s="165" t="s">
        <v>18</v>
      </c>
      <c r="M5" s="165" t="s">
        <v>19</v>
      </c>
      <c r="N5" s="16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57"/>
      <c r="AC5" s="430"/>
      <c r="AD5" s="43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0.46944444444444444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126</v>
      </c>
      <c r="D7" s="52" t="s">
        <v>127</v>
      </c>
      <c r="E7" s="53" t="s">
        <v>125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0.46944444444444444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123</v>
      </c>
      <c r="D8" s="52" t="s">
        <v>146</v>
      </c>
      <c r="E8" s="53" t="s">
        <v>151</v>
      </c>
      <c r="F8" s="30" t="s">
        <v>140</v>
      </c>
      <c r="G8" s="33">
        <v>2</v>
      </c>
      <c r="H8" s="35">
        <v>24</v>
      </c>
      <c r="I8" s="7">
        <v>2000</v>
      </c>
      <c r="J8" s="14">
        <v>7228</v>
      </c>
      <c r="K8" s="15">
        <f>L8+7228</f>
        <v>7228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0.46944444444444444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123</v>
      </c>
      <c r="D9" s="52" t="s">
        <v>218</v>
      </c>
      <c r="E9" s="53" t="s">
        <v>219</v>
      </c>
      <c r="F9" s="30" t="s">
        <v>124</v>
      </c>
      <c r="G9" s="33">
        <v>1</v>
      </c>
      <c r="H9" s="35">
        <v>24</v>
      </c>
      <c r="I9" s="7">
        <v>1250</v>
      </c>
      <c r="J9" s="14">
        <v>304</v>
      </c>
      <c r="K9" s="15">
        <f>L9</f>
        <v>304</v>
      </c>
      <c r="L9" s="15">
        <v>304</v>
      </c>
      <c r="M9" s="15">
        <f t="shared" si="1"/>
        <v>304</v>
      </c>
      <c r="N9" s="15">
        <v>0</v>
      </c>
      <c r="O9" s="58">
        <f t="shared" si="2"/>
        <v>0</v>
      </c>
      <c r="P9" s="39">
        <f t="shared" si="3"/>
        <v>2</v>
      </c>
      <c r="Q9" s="40">
        <f t="shared" si="4"/>
        <v>22</v>
      </c>
      <c r="R9" s="7"/>
      <c r="S9" s="6">
        <v>22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8.3333333333333329E-2</v>
      </c>
      <c r="AD9" s="10">
        <f t="shared" si="7"/>
        <v>8.3333333333333329E-2</v>
      </c>
      <c r="AE9" s="36">
        <f t="shared" si="8"/>
        <v>0.46944444444444444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131</v>
      </c>
      <c r="D10" s="52" t="s">
        <v>150</v>
      </c>
      <c r="E10" s="53" t="s">
        <v>152</v>
      </c>
      <c r="F10" s="30" t="s">
        <v>121</v>
      </c>
      <c r="G10" s="33">
        <v>2</v>
      </c>
      <c r="H10" s="35">
        <v>24</v>
      </c>
      <c r="I10" s="7">
        <v>130000</v>
      </c>
      <c r="J10" s="5">
        <v>13758</v>
      </c>
      <c r="K10" s="15">
        <f>L10+13288+10116+14610+5976+7143+12482+1676+11964+11004</f>
        <v>102017</v>
      </c>
      <c r="L10" s="15">
        <f>3070*2+3809*2</f>
        <v>13758</v>
      </c>
      <c r="M10" s="15">
        <f t="shared" si="1"/>
        <v>13758</v>
      </c>
      <c r="N10" s="15">
        <v>0</v>
      </c>
      <c r="O10" s="58">
        <f t="shared" si="2"/>
        <v>0</v>
      </c>
      <c r="P10" s="39">
        <f t="shared" si="3"/>
        <v>22</v>
      </c>
      <c r="Q10" s="40">
        <f t="shared" si="4"/>
        <v>2</v>
      </c>
      <c r="R10" s="7"/>
      <c r="S10" s="6">
        <v>2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0.91666666666666663</v>
      </c>
      <c r="AD10" s="10">
        <f>AC10*AB10*(1-O10)</f>
        <v>0.91666666666666663</v>
      </c>
      <c r="AE10" s="36">
        <f t="shared" si="8"/>
        <v>0.46944444444444444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158</v>
      </c>
      <c r="D11" s="52" t="s">
        <v>198</v>
      </c>
      <c r="E11" s="53" t="s">
        <v>199</v>
      </c>
      <c r="F11" s="30" t="s">
        <v>162</v>
      </c>
      <c r="G11" s="33">
        <v>2</v>
      </c>
      <c r="H11" s="35">
        <v>24</v>
      </c>
      <c r="I11" s="7">
        <v>42000</v>
      </c>
      <c r="J11" s="5">
        <v>12678</v>
      </c>
      <c r="K11" s="15">
        <f>L11+12678</f>
        <v>25356</v>
      </c>
      <c r="L11" s="15">
        <f>3694*2+2645*2</f>
        <v>12678</v>
      </c>
      <c r="M11" s="15">
        <f t="shared" si="1"/>
        <v>12678</v>
      </c>
      <c r="N11" s="15">
        <v>0</v>
      </c>
      <c r="O11" s="58">
        <f t="shared" si="2"/>
        <v>0</v>
      </c>
      <c r="P11" s="39">
        <f t="shared" si="3"/>
        <v>23</v>
      </c>
      <c r="Q11" s="40">
        <f t="shared" si="4"/>
        <v>1</v>
      </c>
      <c r="R11" s="7"/>
      <c r="S11" s="6"/>
      <c r="T11" s="16">
        <v>1</v>
      </c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0.95833333333333337</v>
      </c>
      <c r="AD11" s="10">
        <f>AC11*AB11*(1-O11)</f>
        <v>0.95833333333333337</v>
      </c>
      <c r="AE11" s="36">
        <f t="shared" si="8"/>
        <v>0.46944444444444444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163</v>
      </c>
      <c r="E12" s="53" t="s">
        <v>164</v>
      </c>
      <c r="F12" s="30" t="s">
        <v>122</v>
      </c>
      <c r="G12" s="33">
        <v>1</v>
      </c>
      <c r="H12" s="35">
        <v>24</v>
      </c>
      <c r="I12" s="7">
        <v>820</v>
      </c>
      <c r="J12" s="14">
        <v>2118</v>
      </c>
      <c r="K12" s="15">
        <f>L12</f>
        <v>2118</v>
      </c>
      <c r="L12" s="15">
        <v>2118</v>
      </c>
      <c r="M12" s="15">
        <f t="shared" si="1"/>
        <v>2118</v>
      </c>
      <c r="N12" s="15">
        <v>0</v>
      </c>
      <c r="O12" s="58">
        <f t="shared" si="2"/>
        <v>0</v>
      </c>
      <c r="P12" s="39">
        <f t="shared" si="3"/>
        <v>11</v>
      </c>
      <c r="Q12" s="40">
        <f t="shared" si="4"/>
        <v>13</v>
      </c>
      <c r="R12" s="7"/>
      <c r="S12" s="6">
        <v>13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0.45833333333333331</v>
      </c>
      <c r="AD12" s="10">
        <f t="shared" ref="AD12:AD14" si="10">AC12*AB12*(1-O12)</f>
        <v>0.45833333333333331</v>
      </c>
      <c r="AE12" s="36">
        <f t="shared" si="8"/>
        <v>0.46944444444444444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117</v>
      </c>
      <c r="E13" s="53" t="s">
        <v>143</v>
      </c>
      <c r="F13" s="30" t="s">
        <v>138</v>
      </c>
      <c r="G13" s="33">
        <v>4</v>
      </c>
      <c r="H13" s="35">
        <v>24</v>
      </c>
      <c r="I13" s="7">
        <v>850000</v>
      </c>
      <c r="J13" s="14">
        <v>19920</v>
      </c>
      <c r="K13" s="15">
        <f>L13+20676+20704+882+19912+11748+21560+18812+17048+21840</f>
        <v>173102</v>
      </c>
      <c r="L13" s="15">
        <f>2528*4+2452*4</f>
        <v>19920</v>
      </c>
      <c r="M13" s="15">
        <f t="shared" si="1"/>
        <v>19920</v>
      </c>
      <c r="N13" s="15">
        <v>0</v>
      </c>
      <c r="O13" s="58">
        <f t="shared" si="2"/>
        <v>0</v>
      </c>
      <c r="P13" s="39">
        <f t="shared" si="3"/>
        <v>22</v>
      </c>
      <c r="Q13" s="40">
        <f t="shared" si="4"/>
        <v>2</v>
      </c>
      <c r="R13" s="7"/>
      <c r="S13" s="6">
        <v>2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0.91666666666666663</v>
      </c>
      <c r="AD13" s="10">
        <f t="shared" si="10"/>
        <v>0.91666666666666663</v>
      </c>
      <c r="AE13" s="36">
        <f t="shared" si="8"/>
        <v>0.46944444444444444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246</v>
      </c>
      <c r="F14" s="30" t="s">
        <v>247</v>
      </c>
      <c r="G14" s="33">
        <v>1</v>
      </c>
      <c r="H14" s="35">
        <v>24</v>
      </c>
      <c r="I14" s="7">
        <v>800</v>
      </c>
      <c r="J14" s="5">
        <v>367</v>
      </c>
      <c r="K14" s="15">
        <f>L14+689</f>
        <v>1056</v>
      </c>
      <c r="L14" s="15">
        <v>367</v>
      </c>
      <c r="M14" s="15">
        <f t="shared" si="1"/>
        <v>367</v>
      </c>
      <c r="N14" s="15">
        <v>0</v>
      </c>
      <c r="O14" s="58">
        <f t="shared" si="2"/>
        <v>0</v>
      </c>
      <c r="P14" s="39">
        <f t="shared" si="3"/>
        <v>7</v>
      </c>
      <c r="Q14" s="40">
        <f t="shared" si="4"/>
        <v>17</v>
      </c>
      <c r="R14" s="7"/>
      <c r="S14" s="6"/>
      <c r="T14" s="16"/>
      <c r="U14" s="16"/>
      <c r="V14" s="17"/>
      <c r="W14" s="5">
        <v>17</v>
      </c>
      <c r="X14" s="16"/>
      <c r="Y14" s="16"/>
      <c r="Z14" s="16"/>
      <c r="AA14" s="18"/>
      <c r="AB14" s="8">
        <f t="shared" si="5"/>
        <v>1</v>
      </c>
      <c r="AC14" s="9">
        <f t="shared" si="6"/>
        <v>0.29166666666666669</v>
      </c>
      <c r="AD14" s="10">
        <f t="shared" si="10"/>
        <v>0.29166666666666669</v>
      </c>
      <c r="AE14" s="36">
        <f t="shared" si="8"/>
        <v>0.46944444444444444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158</v>
      </c>
      <c r="D15" s="52" t="s">
        <v>119</v>
      </c>
      <c r="E15" s="53" t="s">
        <v>201</v>
      </c>
      <c r="F15" s="12" t="s">
        <v>160</v>
      </c>
      <c r="G15" s="12">
        <v>2</v>
      </c>
      <c r="H15" s="13">
        <v>24</v>
      </c>
      <c r="I15" s="31">
        <v>42000</v>
      </c>
      <c r="J15" s="14">
        <v>12448</v>
      </c>
      <c r="K15" s="15">
        <f>L15+9554+7814+12372</f>
        <v>42188</v>
      </c>
      <c r="L15" s="15">
        <f>3112*2+3112*2</f>
        <v>12448</v>
      </c>
      <c r="M15" s="15">
        <f t="shared" si="1"/>
        <v>12448</v>
      </c>
      <c r="N15" s="15">
        <v>0</v>
      </c>
      <c r="O15" s="58">
        <f t="shared" si="2"/>
        <v>0</v>
      </c>
      <c r="P15" s="39">
        <f t="shared" si="3"/>
        <v>24</v>
      </c>
      <c r="Q15" s="40">
        <f t="shared" si="4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1</v>
      </c>
      <c r="AD15" s="10">
        <f t="shared" si="7"/>
        <v>1</v>
      </c>
      <c r="AE15" s="36">
        <f t="shared" si="8"/>
        <v>0.46944444444444444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257</v>
      </c>
      <c r="D16" s="52" t="s">
        <v>264</v>
      </c>
      <c r="E16" s="53" t="s">
        <v>256</v>
      </c>
      <c r="F16" s="30" t="s">
        <v>265</v>
      </c>
      <c r="G16" s="12">
        <v>1</v>
      </c>
      <c r="H16" s="13">
        <v>28</v>
      </c>
      <c r="I16" s="7">
        <v>500</v>
      </c>
      <c r="J16" s="14">
        <v>2113</v>
      </c>
      <c r="K16" s="15">
        <f>L16</f>
        <v>2113</v>
      </c>
      <c r="L16" s="15">
        <v>2113</v>
      </c>
      <c r="M16" s="15">
        <f t="shared" si="1"/>
        <v>2113</v>
      </c>
      <c r="N16" s="15">
        <v>0</v>
      </c>
      <c r="O16" s="58">
        <f t="shared" si="2"/>
        <v>0</v>
      </c>
      <c r="P16" s="39">
        <f t="shared" si="3"/>
        <v>12</v>
      </c>
      <c r="Q16" s="40">
        <f t="shared" si="4"/>
        <v>12</v>
      </c>
      <c r="R16" s="7"/>
      <c r="S16" s="6">
        <v>12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0.5</v>
      </c>
      <c r="AD16" s="10">
        <f t="shared" si="7"/>
        <v>0.5</v>
      </c>
      <c r="AE16" s="36">
        <f t="shared" si="8"/>
        <v>0.46944444444444444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126</v>
      </c>
      <c r="D17" s="52" t="s">
        <v>233</v>
      </c>
      <c r="E17" s="53" t="s">
        <v>234</v>
      </c>
      <c r="F17" s="30" t="s">
        <v>142</v>
      </c>
      <c r="G17" s="33">
        <v>1</v>
      </c>
      <c r="H17" s="35">
        <v>24</v>
      </c>
      <c r="I17" s="7">
        <v>2000</v>
      </c>
      <c r="J17" s="5">
        <v>2363</v>
      </c>
      <c r="K17" s="15">
        <f>L17+2363</f>
        <v>2363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0.46944444444444444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123</v>
      </c>
      <c r="D18" s="52" t="s">
        <v>248</v>
      </c>
      <c r="E18" s="53" t="s">
        <v>249</v>
      </c>
      <c r="F18" s="30" t="s">
        <v>250</v>
      </c>
      <c r="G18" s="33" t="s">
        <v>204</v>
      </c>
      <c r="H18" s="35">
        <v>24</v>
      </c>
      <c r="I18" s="7">
        <v>18000</v>
      </c>
      <c r="J18" s="5">
        <v>4279</v>
      </c>
      <c r="K18" s="15">
        <f>L18+4459</f>
        <v>8738</v>
      </c>
      <c r="L18" s="15">
        <f>2384+1895</f>
        <v>4279</v>
      </c>
      <c r="M18" s="15">
        <f t="shared" si="1"/>
        <v>4279</v>
      </c>
      <c r="N18" s="15">
        <v>0</v>
      </c>
      <c r="O18" s="58">
        <f t="shared" si="2"/>
        <v>0</v>
      </c>
      <c r="P18" s="39">
        <f t="shared" si="3"/>
        <v>22</v>
      </c>
      <c r="Q18" s="40">
        <f t="shared" si="4"/>
        <v>2</v>
      </c>
      <c r="R18" s="7"/>
      <c r="S18" s="6">
        <v>2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0.91666666666666663</v>
      </c>
      <c r="AD18" s="10">
        <f>AC18*AB18*(1-O18)</f>
        <v>0.91666666666666663</v>
      </c>
      <c r="AE18" s="36">
        <f t="shared" si="8"/>
        <v>0.46944444444444444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126</v>
      </c>
      <c r="D19" s="52" t="s">
        <v>202</v>
      </c>
      <c r="E19" s="53" t="s">
        <v>205</v>
      </c>
      <c r="F19" s="30" t="s">
        <v>138</v>
      </c>
      <c r="G19" s="33">
        <v>4</v>
      </c>
      <c r="H19" s="35">
        <v>24</v>
      </c>
      <c r="I19" s="7">
        <v>800000</v>
      </c>
      <c r="J19" s="14">
        <v>21348</v>
      </c>
      <c r="K19" s="15">
        <f>L19+12980+20160+21332</f>
        <v>75820</v>
      </c>
      <c r="L19" s="15">
        <f>2671*4+2666*4</f>
        <v>21348</v>
      </c>
      <c r="M19" s="15">
        <f t="shared" si="1"/>
        <v>21348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ref="AD19" si="11">AC19*AB19*(1-O19)</f>
        <v>1</v>
      </c>
      <c r="AE19" s="36">
        <f t="shared" si="8"/>
        <v>0.46944444444444444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144</v>
      </c>
      <c r="F20" s="12" t="s">
        <v>116</v>
      </c>
      <c r="G20" s="12">
        <v>3</v>
      </c>
      <c r="H20" s="35">
        <v>20</v>
      </c>
      <c r="I20" s="7">
        <v>200000</v>
      </c>
      <c r="J20" s="14">
        <v>34300</v>
      </c>
      <c r="K20" s="15">
        <f>L20+22050+34300</f>
        <v>56350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0.46944444444444444</v>
      </c>
      <c r="AF20" s="87">
        <f t="shared" si="9"/>
        <v>15</v>
      </c>
    </row>
    <row r="21" spans="1:32" ht="31.5" customHeight="1" thickBot="1">
      <c r="A21" s="431" t="s">
        <v>34</v>
      </c>
      <c r="B21" s="432"/>
      <c r="C21" s="432"/>
      <c r="D21" s="432"/>
      <c r="E21" s="432"/>
      <c r="F21" s="432"/>
      <c r="G21" s="432"/>
      <c r="H21" s="433"/>
      <c r="I21" s="22">
        <f t="shared" ref="I21:N21" si="12">SUM(I6:I20)</f>
        <v>2110370</v>
      </c>
      <c r="J21" s="19">
        <f t="shared" si="12"/>
        <v>135285</v>
      </c>
      <c r="K21" s="20">
        <f t="shared" si="12"/>
        <v>510301</v>
      </c>
      <c r="L21" s="21">
        <f t="shared" si="12"/>
        <v>89333</v>
      </c>
      <c r="M21" s="20">
        <f t="shared" si="12"/>
        <v>89333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169</v>
      </c>
      <c r="Q21" s="43">
        <f t="shared" si="13"/>
        <v>191</v>
      </c>
      <c r="R21" s="23">
        <f t="shared" si="13"/>
        <v>24</v>
      </c>
      <c r="S21" s="24">
        <f t="shared" si="13"/>
        <v>53</v>
      </c>
      <c r="T21" s="24">
        <f t="shared" si="13"/>
        <v>1</v>
      </c>
      <c r="U21" s="24">
        <f t="shared" si="13"/>
        <v>0</v>
      </c>
      <c r="V21" s="25">
        <f t="shared" si="13"/>
        <v>24</v>
      </c>
      <c r="W21" s="26">
        <f t="shared" si="13"/>
        <v>89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0.66666666666666663</v>
      </c>
      <c r="AC21" s="4">
        <f>SUM(AC6:AC20)/15</f>
        <v>0.46944444444444444</v>
      </c>
      <c r="AD21" s="4">
        <f>SUM(AD6:AD20)/15</f>
        <v>0.46944444444444444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34" t="s">
        <v>45</v>
      </c>
      <c r="B48" s="434"/>
      <c r="C48" s="434"/>
      <c r="D48" s="434"/>
      <c r="E48" s="43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35" t="s">
        <v>266</v>
      </c>
      <c r="B49" s="436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7"/>
      <c r="N49" s="438" t="s">
        <v>274</v>
      </c>
      <c r="O49" s="439"/>
      <c r="P49" s="439"/>
      <c r="Q49" s="439"/>
      <c r="R49" s="439"/>
      <c r="S49" s="439"/>
      <c r="T49" s="439"/>
      <c r="U49" s="439"/>
      <c r="V49" s="439"/>
      <c r="W49" s="439"/>
      <c r="X49" s="439"/>
      <c r="Y49" s="439"/>
      <c r="Z49" s="439"/>
      <c r="AA49" s="439"/>
      <c r="AB49" s="439"/>
      <c r="AC49" s="439"/>
      <c r="AD49" s="440"/>
    </row>
    <row r="50" spans="1:32" ht="27" customHeight="1">
      <c r="A50" s="441" t="s">
        <v>2</v>
      </c>
      <c r="B50" s="442"/>
      <c r="C50" s="166" t="s">
        <v>46</v>
      </c>
      <c r="D50" s="166" t="s">
        <v>47</v>
      </c>
      <c r="E50" s="166" t="s">
        <v>108</v>
      </c>
      <c r="F50" s="442" t="s">
        <v>107</v>
      </c>
      <c r="G50" s="442"/>
      <c r="H50" s="442"/>
      <c r="I50" s="442"/>
      <c r="J50" s="442"/>
      <c r="K50" s="442"/>
      <c r="L50" s="442"/>
      <c r="M50" s="443"/>
      <c r="N50" s="67" t="s">
        <v>112</v>
      </c>
      <c r="O50" s="166" t="s">
        <v>46</v>
      </c>
      <c r="P50" s="444" t="s">
        <v>47</v>
      </c>
      <c r="Q50" s="445"/>
      <c r="R50" s="444" t="s">
        <v>38</v>
      </c>
      <c r="S50" s="446"/>
      <c r="T50" s="446"/>
      <c r="U50" s="445"/>
      <c r="V50" s="444" t="s">
        <v>48</v>
      </c>
      <c r="W50" s="446"/>
      <c r="X50" s="446"/>
      <c r="Y50" s="446"/>
      <c r="Z50" s="446"/>
      <c r="AA50" s="446"/>
      <c r="AB50" s="446"/>
      <c r="AC50" s="446"/>
      <c r="AD50" s="447"/>
    </row>
    <row r="51" spans="1:32" ht="27" customHeight="1">
      <c r="A51" s="412" t="s">
        <v>123</v>
      </c>
      <c r="B51" s="413"/>
      <c r="C51" s="168" t="s">
        <v>129</v>
      </c>
      <c r="D51" s="168" t="s">
        <v>218</v>
      </c>
      <c r="E51" s="168" t="s">
        <v>219</v>
      </c>
      <c r="F51" s="414" t="s">
        <v>267</v>
      </c>
      <c r="G51" s="415"/>
      <c r="H51" s="415"/>
      <c r="I51" s="415"/>
      <c r="J51" s="415"/>
      <c r="K51" s="415"/>
      <c r="L51" s="415"/>
      <c r="M51" s="416"/>
      <c r="N51" s="167" t="s">
        <v>123</v>
      </c>
      <c r="O51" s="173" t="s">
        <v>129</v>
      </c>
      <c r="P51" s="426" t="s">
        <v>218</v>
      </c>
      <c r="Q51" s="427"/>
      <c r="R51" s="426" t="s">
        <v>219</v>
      </c>
      <c r="S51" s="428"/>
      <c r="T51" s="428"/>
      <c r="U51" s="427"/>
      <c r="V51" s="396" t="s">
        <v>137</v>
      </c>
      <c r="W51" s="396"/>
      <c r="X51" s="396"/>
      <c r="Y51" s="396"/>
      <c r="Z51" s="396"/>
      <c r="AA51" s="396"/>
      <c r="AB51" s="396"/>
      <c r="AC51" s="396"/>
      <c r="AD51" s="417"/>
    </row>
    <row r="52" spans="1:32" ht="27" customHeight="1">
      <c r="A52" s="412" t="s">
        <v>131</v>
      </c>
      <c r="B52" s="413"/>
      <c r="C52" s="168" t="s">
        <v>139</v>
      </c>
      <c r="D52" s="168"/>
      <c r="E52" s="168" t="s">
        <v>152</v>
      </c>
      <c r="F52" s="414" t="s">
        <v>268</v>
      </c>
      <c r="G52" s="415"/>
      <c r="H52" s="415"/>
      <c r="I52" s="415"/>
      <c r="J52" s="415"/>
      <c r="K52" s="415"/>
      <c r="L52" s="415"/>
      <c r="M52" s="416"/>
      <c r="N52" s="167" t="s">
        <v>276</v>
      </c>
      <c r="O52" s="173" t="s">
        <v>277</v>
      </c>
      <c r="P52" s="426"/>
      <c r="Q52" s="427"/>
      <c r="R52" s="426" t="s">
        <v>275</v>
      </c>
      <c r="S52" s="428"/>
      <c r="T52" s="428"/>
      <c r="U52" s="427"/>
      <c r="V52" s="396" t="s">
        <v>273</v>
      </c>
      <c r="W52" s="396"/>
      <c r="X52" s="396"/>
      <c r="Y52" s="396"/>
      <c r="Z52" s="396"/>
      <c r="AA52" s="396"/>
      <c r="AB52" s="396"/>
      <c r="AC52" s="396"/>
      <c r="AD52" s="417"/>
    </row>
    <row r="53" spans="1:32" ht="27" customHeight="1">
      <c r="A53" s="412" t="s">
        <v>114</v>
      </c>
      <c r="B53" s="413"/>
      <c r="C53" s="168" t="s">
        <v>136</v>
      </c>
      <c r="D53" s="168" t="s">
        <v>163</v>
      </c>
      <c r="E53" s="168" t="s">
        <v>164</v>
      </c>
      <c r="F53" s="414" t="s">
        <v>137</v>
      </c>
      <c r="G53" s="415"/>
      <c r="H53" s="415"/>
      <c r="I53" s="415"/>
      <c r="J53" s="415"/>
      <c r="K53" s="415"/>
      <c r="L53" s="415"/>
      <c r="M53" s="416"/>
      <c r="N53" s="167"/>
      <c r="O53" s="173"/>
      <c r="P53" s="426"/>
      <c r="Q53" s="427"/>
      <c r="R53" s="426"/>
      <c r="S53" s="428"/>
      <c r="T53" s="428"/>
      <c r="U53" s="427"/>
      <c r="V53" s="396"/>
      <c r="W53" s="396"/>
      <c r="X53" s="396"/>
      <c r="Y53" s="396"/>
      <c r="Z53" s="396"/>
      <c r="AA53" s="396"/>
      <c r="AB53" s="396"/>
      <c r="AC53" s="396"/>
      <c r="AD53" s="417"/>
    </row>
    <row r="54" spans="1:32" ht="27" customHeight="1">
      <c r="A54" s="412" t="s">
        <v>126</v>
      </c>
      <c r="B54" s="413"/>
      <c r="C54" s="168" t="s">
        <v>210</v>
      </c>
      <c r="D54" s="168" t="s">
        <v>117</v>
      </c>
      <c r="E54" s="168" t="s">
        <v>211</v>
      </c>
      <c r="F54" s="414" t="s">
        <v>212</v>
      </c>
      <c r="G54" s="415"/>
      <c r="H54" s="415"/>
      <c r="I54" s="415"/>
      <c r="J54" s="415"/>
      <c r="K54" s="415"/>
      <c r="L54" s="415"/>
      <c r="M54" s="416"/>
      <c r="N54" s="167"/>
      <c r="O54" s="173"/>
      <c r="P54" s="426"/>
      <c r="Q54" s="427"/>
      <c r="R54" s="426"/>
      <c r="S54" s="428"/>
      <c r="T54" s="428"/>
      <c r="U54" s="427"/>
      <c r="V54" s="396"/>
      <c r="W54" s="396"/>
      <c r="X54" s="396"/>
      <c r="Y54" s="396"/>
      <c r="Z54" s="396"/>
      <c r="AA54" s="396"/>
      <c r="AB54" s="396"/>
      <c r="AC54" s="396"/>
      <c r="AD54" s="417"/>
    </row>
    <row r="55" spans="1:32" ht="27" customHeight="1">
      <c r="A55" s="412" t="s">
        <v>123</v>
      </c>
      <c r="B55" s="413"/>
      <c r="C55" s="168" t="s">
        <v>173</v>
      </c>
      <c r="D55" s="168" t="s">
        <v>248</v>
      </c>
      <c r="E55" s="168" t="s">
        <v>249</v>
      </c>
      <c r="F55" s="414" t="s">
        <v>269</v>
      </c>
      <c r="G55" s="415"/>
      <c r="H55" s="415"/>
      <c r="I55" s="415"/>
      <c r="J55" s="415"/>
      <c r="K55" s="415"/>
      <c r="L55" s="415"/>
      <c r="M55" s="416"/>
      <c r="N55" s="167"/>
      <c r="O55" s="173"/>
      <c r="P55" s="426"/>
      <c r="Q55" s="427"/>
      <c r="R55" s="426"/>
      <c r="S55" s="428"/>
      <c r="T55" s="428"/>
      <c r="U55" s="427"/>
      <c r="V55" s="396"/>
      <c r="W55" s="396"/>
      <c r="X55" s="396"/>
      <c r="Y55" s="396"/>
      <c r="Z55" s="396"/>
      <c r="AA55" s="396"/>
      <c r="AB55" s="396"/>
      <c r="AC55" s="396"/>
      <c r="AD55" s="417"/>
    </row>
    <row r="56" spans="1:32" ht="27" customHeight="1">
      <c r="A56" s="412" t="s">
        <v>270</v>
      </c>
      <c r="B56" s="413"/>
      <c r="C56" s="168" t="s">
        <v>271</v>
      </c>
      <c r="D56" s="168"/>
      <c r="E56" s="168" t="s">
        <v>272</v>
      </c>
      <c r="F56" s="414" t="s">
        <v>273</v>
      </c>
      <c r="G56" s="415"/>
      <c r="H56" s="415"/>
      <c r="I56" s="415"/>
      <c r="J56" s="415"/>
      <c r="K56" s="415"/>
      <c r="L56" s="415"/>
      <c r="M56" s="416"/>
      <c r="N56" s="167"/>
      <c r="O56" s="173"/>
      <c r="P56" s="426"/>
      <c r="Q56" s="427"/>
      <c r="R56" s="413"/>
      <c r="S56" s="413"/>
      <c r="T56" s="413"/>
      <c r="U56" s="413"/>
      <c r="V56" s="396"/>
      <c r="W56" s="396"/>
      <c r="X56" s="396"/>
      <c r="Y56" s="396"/>
      <c r="Z56" s="396"/>
      <c r="AA56" s="396"/>
      <c r="AB56" s="396"/>
      <c r="AC56" s="396"/>
      <c r="AD56" s="417"/>
    </row>
    <row r="57" spans="1:32" ht="27" customHeight="1">
      <c r="A57" s="412"/>
      <c r="B57" s="413"/>
      <c r="C57" s="168"/>
      <c r="D57" s="168"/>
      <c r="E57" s="168"/>
      <c r="F57" s="414"/>
      <c r="G57" s="415"/>
      <c r="H57" s="415"/>
      <c r="I57" s="415"/>
      <c r="J57" s="415"/>
      <c r="K57" s="415"/>
      <c r="L57" s="415"/>
      <c r="M57" s="416"/>
      <c r="N57" s="167"/>
      <c r="O57" s="173"/>
      <c r="P57" s="426"/>
      <c r="Q57" s="427"/>
      <c r="R57" s="413"/>
      <c r="S57" s="413"/>
      <c r="T57" s="413"/>
      <c r="U57" s="413"/>
      <c r="V57" s="396"/>
      <c r="W57" s="396"/>
      <c r="X57" s="396"/>
      <c r="Y57" s="396"/>
      <c r="Z57" s="396"/>
      <c r="AA57" s="396"/>
      <c r="AB57" s="396"/>
      <c r="AC57" s="396"/>
      <c r="AD57" s="417"/>
    </row>
    <row r="58" spans="1:32" ht="27" customHeight="1">
      <c r="A58" s="412"/>
      <c r="B58" s="413"/>
      <c r="C58" s="168"/>
      <c r="D58" s="168"/>
      <c r="E58" s="168"/>
      <c r="F58" s="414"/>
      <c r="G58" s="415"/>
      <c r="H58" s="415"/>
      <c r="I58" s="415"/>
      <c r="J58" s="415"/>
      <c r="K58" s="415"/>
      <c r="L58" s="415"/>
      <c r="M58" s="416"/>
      <c r="N58" s="167"/>
      <c r="O58" s="173"/>
      <c r="P58" s="426"/>
      <c r="Q58" s="427"/>
      <c r="R58" s="413"/>
      <c r="S58" s="413"/>
      <c r="T58" s="413"/>
      <c r="U58" s="413"/>
      <c r="V58" s="396"/>
      <c r="W58" s="396"/>
      <c r="X58" s="396"/>
      <c r="Y58" s="396"/>
      <c r="Z58" s="396"/>
      <c r="AA58" s="396"/>
      <c r="AB58" s="396"/>
      <c r="AC58" s="396"/>
      <c r="AD58" s="417"/>
    </row>
    <row r="59" spans="1:32" ht="27" customHeight="1">
      <c r="A59" s="412"/>
      <c r="B59" s="413"/>
      <c r="C59" s="168"/>
      <c r="D59" s="168"/>
      <c r="E59" s="168"/>
      <c r="F59" s="414"/>
      <c r="G59" s="415"/>
      <c r="H59" s="415"/>
      <c r="I59" s="415"/>
      <c r="J59" s="415"/>
      <c r="K59" s="415"/>
      <c r="L59" s="415"/>
      <c r="M59" s="416"/>
      <c r="N59" s="167"/>
      <c r="O59" s="173"/>
      <c r="P59" s="413"/>
      <c r="Q59" s="413"/>
      <c r="R59" s="413"/>
      <c r="S59" s="413"/>
      <c r="T59" s="413"/>
      <c r="U59" s="413"/>
      <c r="V59" s="396"/>
      <c r="W59" s="396"/>
      <c r="X59" s="396"/>
      <c r="Y59" s="396"/>
      <c r="Z59" s="396"/>
      <c r="AA59" s="396"/>
      <c r="AB59" s="396"/>
      <c r="AC59" s="396"/>
      <c r="AD59" s="417"/>
      <c r="AF59" s="87">
        <f>8*3000</f>
        <v>24000</v>
      </c>
    </row>
    <row r="60" spans="1:32" ht="27" customHeight="1" thickBot="1">
      <c r="A60" s="418"/>
      <c r="B60" s="419"/>
      <c r="C60" s="169"/>
      <c r="D60" s="170"/>
      <c r="E60" s="170"/>
      <c r="F60" s="420"/>
      <c r="G60" s="421"/>
      <c r="H60" s="421"/>
      <c r="I60" s="421"/>
      <c r="J60" s="421"/>
      <c r="K60" s="421"/>
      <c r="L60" s="421"/>
      <c r="M60" s="422"/>
      <c r="N60" s="124"/>
      <c r="O60" s="114"/>
      <c r="P60" s="423"/>
      <c r="Q60" s="423"/>
      <c r="R60" s="423"/>
      <c r="S60" s="423"/>
      <c r="T60" s="423"/>
      <c r="U60" s="423"/>
      <c r="V60" s="424"/>
      <c r="W60" s="424"/>
      <c r="X60" s="424"/>
      <c r="Y60" s="424"/>
      <c r="Z60" s="424"/>
      <c r="AA60" s="424"/>
      <c r="AB60" s="424"/>
      <c r="AC60" s="424"/>
      <c r="AD60" s="425"/>
      <c r="AF60" s="87">
        <f>16*3000</f>
        <v>48000</v>
      </c>
    </row>
    <row r="61" spans="1:32" ht="27.75" thickBot="1">
      <c r="A61" s="410" t="s">
        <v>278</v>
      </c>
      <c r="B61" s="410"/>
      <c r="C61" s="410"/>
      <c r="D61" s="410"/>
      <c r="E61" s="410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1" t="s">
        <v>113</v>
      </c>
      <c r="B62" s="406"/>
      <c r="C62" s="171" t="s">
        <v>2</v>
      </c>
      <c r="D62" s="171" t="s">
        <v>37</v>
      </c>
      <c r="E62" s="171" t="s">
        <v>3</v>
      </c>
      <c r="F62" s="406" t="s">
        <v>110</v>
      </c>
      <c r="G62" s="406"/>
      <c r="H62" s="406"/>
      <c r="I62" s="406"/>
      <c r="J62" s="406"/>
      <c r="K62" s="406" t="s">
        <v>39</v>
      </c>
      <c r="L62" s="406"/>
      <c r="M62" s="171" t="s">
        <v>40</v>
      </c>
      <c r="N62" s="406" t="s">
        <v>41</v>
      </c>
      <c r="O62" s="406"/>
      <c r="P62" s="403" t="s">
        <v>42</v>
      </c>
      <c r="Q62" s="405"/>
      <c r="R62" s="403" t="s">
        <v>43</v>
      </c>
      <c r="S62" s="404"/>
      <c r="T62" s="404"/>
      <c r="U62" s="404"/>
      <c r="V62" s="404"/>
      <c r="W62" s="404"/>
      <c r="X62" s="404"/>
      <c r="Y62" s="404"/>
      <c r="Z62" s="404"/>
      <c r="AA62" s="405"/>
      <c r="AB62" s="406" t="s">
        <v>44</v>
      </c>
      <c r="AC62" s="406"/>
      <c r="AD62" s="407"/>
      <c r="AF62" s="87">
        <f>SUM(AF59:AF61)</f>
        <v>96000</v>
      </c>
    </row>
    <row r="63" spans="1:32" ht="25.5" customHeight="1">
      <c r="A63" s="389">
        <v>1</v>
      </c>
      <c r="B63" s="390"/>
      <c r="C63" s="117" t="s">
        <v>123</v>
      </c>
      <c r="D63" s="175"/>
      <c r="E63" s="172" t="s">
        <v>163</v>
      </c>
      <c r="F63" s="391" t="s">
        <v>191</v>
      </c>
      <c r="G63" s="383"/>
      <c r="H63" s="383"/>
      <c r="I63" s="383"/>
      <c r="J63" s="383"/>
      <c r="K63" s="383" t="s">
        <v>132</v>
      </c>
      <c r="L63" s="383"/>
      <c r="M63" s="51" t="s">
        <v>222</v>
      </c>
      <c r="N63" s="401" t="s">
        <v>136</v>
      </c>
      <c r="O63" s="401"/>
      <c r="P63" s="402">
        <v>400</v>
      </c>
      <c r="Q63" s="402"/>
      <c r="R63" s="396" t="s">
        <v>281</v>
      </c>
      <c r="S63" s="396"/>
      <c r="T63" s="396"/>
      <c r="U63" s="396"/>
      <c r="V63" s="396"/>
      <c r="W63" s="396"/>
      <c r="X63" s="396"/>
      <c r="Y63" s="396"/>
      <c r="Z63" s="396"/>
      <c r="AA63" s="396"/>
      <c r="AB63" s="400"/>
      <c r="AC63" s="408"/>
      <c r="AD63" s="409"/>
      <c r="AF63" s="50"/>
    </row>
    <row r="64" spans="1:32" ht="25.5" customHeight="1">
      <c r="A64" s="389">
        <v>2</v>
      </c>
      <c r="B64" s="390"/>
      <c r="C64" s="117" t="s">
        <v>131</v>
      </c>
      <c r="D64" s="175"/>
      <c r="E64" s="172" t="s">
        <v>117</v>
      </c>
      <c r="F64" s="391" t="s">
        <v>279</v>
      </c>
      <c r="G64" s="383"/>
      <c r="H64" s="383"/>
      <c r="I64" s="383"/>
      <c r="J64" s="383"/>
      <c r="K64" s="383" t="s">
        <v>280</v>
      </c>
      <c r="L64" s="383"/>
      <c r="M64" s="51" t="s">
        <v>287</v>
      </c>
      <c r="N64" s="401" t="s">
        <v>129</v>
      </c>
      <c r="O64" s="401"/>
      <c r="P64" s="402">
        <v>100</v>
      </c>
      <c r="Q64" s="402"/>
      <c r="R64" s="396"/>
      <c r="S64" s="396"/>
      <c r="T64" s="396"/>
      <c r="U64" s="396"/>
      <c r="V64" s="396"/>
      <c r="W64" s="396"/>
      <c r="X64" s="396"/>
      <c r="Y64" s="396"/>
      <c r="Z64" s="396"/>
      <c r="AA64" s="396"/>
      <c r="AB64" s="383"/>
      <c r="AC64" s="383"/>
      <c r="AD64" s="384"/>
      <c r="AF64" s="50"/>
    </row>
    <row r="65" spans="1:32" ht="25.5" customHeight="1">
      <c r="A65" s="389">
        <v>3</v>
      </c>
      <c r="B65" s="390"/>
      <c r="C65" s="117" t="s">
        <v>114</v>
      </c>
      <c r="D65" s="175"/>
      <c r="E65" s="172" t="s">
        <v>284</v>
      </c>
      <c r="F65" s="397" t="s">
        <v>282</v>
      </c>
      <c r="G65" s="398"/>
      <c r="H65" s="398"/>
      <c r="I65" s="398"/>
      <c r="J65" s="399"/>
      <c r="K65" s="383" t="s">
        <v>283</v>
      </c>
      <c r="L65" s="383"/>
      <c r="M65" s="51" t="s">
        <v>222</v>
      </c>
      <c r="N65" s="401" t="s">
        <v>136</v>
      </c>
      <c r="O65" s="401"/>
      <c r="P65" s="402">
        <v>100</v>
      </c>
      <c r="Q65" s="402"/>
      <c r="R65" s="396"/>
      <c r="S65" s="396"/>
      <c r="T65" s="396"/>
      <c r="U65" s="396"/>
      <c r="V65" s="396"/>
      <c r="W65" s="396"/>
      <c r="X65" s="396"/>
      <c r="Y65" s="396"/>
      <c r="Z65" s="396"/>
      <c r="AA65" s="396"/>
      <c r="AB65" s="383"/>
      <c r="AC65" s="383"/>
      <c r="AD65" s="384"/>
      <c r="AF65" s="50"/>
    </row>
    <row r="66" spans="1:32" ht="25.5" customHeight="1">
      <c r="A66" s="389">
        <v>4</v>
      </c>
      <c r="B66" s="390"/>
      <c r="C66" s="117" t="s">
        <v>276</v>
      </c>
      <c r="D66" s="175"/>
      <c r="E66" s="172" t="s">
        <v>117</v>
      </c>
      <c r="F66" s="397" t="s">
        <v>285</v>
      </c>
      <c r="G66" s="398"/>
      <c r="H66" s="398"/>
      <c r="I66" s="398"/>
      <c r="J66" s="399"/>
      <c r="K66" s="383" t="s">
        <v>286</v>
      </c>
      <c r="L66" s="383"/>
      <c r="M66" s="51" t="s">
        <v>287</v>
      </c>
      <c r="N66" s="401" t="s">
        <v>136</v>
      </c>
      <c r="O66" s="401"/>
      <c r="P66" s="402">
        <v>50</v>
      </c>
      <c r="Q66" s="402"/>
      <c r="R66" s="396"/>
      <c r="S66" s="396"/>
      <c r="T66" s="396"/>
      <c r="U66" s="396"/>
      <c r="V66" s="396"/>
      <c r="W66" s="396"/>
      <c r="X66" s="396"/>
      <c r="Y66" s="396"/>
      <c r="Z66" s="396"/>
      <c r="AA66" s="396"/>
      <c r="AB66" s="383"/>
      <c r="AC66" s="383"/>
      <c r="AD66" s="384"/>
      <c r="AF66" s="50"/>
    </row>
    <row r="67" spans="1:32" ht="25.5" customHeight="1">
      <c r="A67" s="389">
        <v>5</v>
      </c>
      <c r="B67" s="390"/>
      <c r="C67" s="117"/>
      <c r="D67" s="175"/>
      <c r="E67" s="172"/>
      <c r="F67" s="397"/>
      <c r="G67" s="398"/>
      <c r="H67" s="398"/>
      <c r="I67" s="398"/>
      <c r="J67" s="399"/>
      <c r="K67" s="400"/>
      <c r="L67" s="390"/>
      <c r="M67" s="51"/>
      <c r="N67" s="401"/>
      <c r="O67" s="401"/>
      <c r="P67" s="402"/>
      <c r="Q67" s="402"/>
      <c r="R67" s="396"/>
      <c r="S67" s="396"/>
      <c r="T67" s="396"/>
      <c r="U67" s="396"/>
      <c r="V67" s="396"/>
      <c r="W67" s="396"/>
      <c r="X67" s="396"/>
      <c r="Y67" s="396"/>
      <c r="Z67" s="396"/>
      <c r="AA67" s="396"/>
      <c r="AB67" s="383"/>
      <c r="AC67" s="383"/>
      <c r="AD67" s="384"/>
      <c r="AF67" s="50"/>
    </row>
    <row r="68" spans="1:32" ht="25.5" customHeight="1">
      <c r="A68" s="389">
        <v>6</v>
      </c>
      <c r="B68" s="390"/>
      <c r="C68" s="117"/>
      <c r="D68" s="175"/>
      <c r="E68" s="172"/>
      <c r="F68" s="391"/>
      <c r="G68" s="383"/>
      <c r="H68" s="383"/>
      <c r="I68" s="383"/>
      <c r="J68" s="383"/>
      <c r="K68" s="383"/>
      <c r="L68" s="383"/>
      <c r="M68" s="51"/>
      <c r="N68" s="392"/>
      <c r="O68" s="393"/>
      <c r="P68" s="394"/>
      <c r="Q68" s="395"/>
      <c r="R68" s="396"/>
      <c r="S68" s="396"/>
      <c r="T68" s="396"/>
      <c r="U68" s="396"/>
      <c r="V68" s="396"/>
      <c r="W68" s="396"/>
      <c r="X68" s="396"/>
      <c r="Y68" s="396"/>
      <c r="Z68" s="396"/>
      <c r="AA68" s="396"/>
      <c r="AB68" s="383"/>
      <c r="AC68" s="383"/>
      <c r="AD68" s="384"/>
      <c r="AF68" s="50"/>
    </row>
    <row r="69" spans="1:32" ht="25.5" customHeight="1">
      <c r="A69" s="389">
        <v>7</v>
      </c>
      <c r="B69" s="390"/>
      <c r="C69" s="117"/>
      <c r="D69" s="175"/>
      <c r="E69" s="172"/>
      <c r="F69" s="391"/>
      <c r="G69" s="383"/>
      <c r="H69" s="383"/>
      <c r="I69" s="383"/>
      <c r="J69" s="383"/>
      <c r="K69" s="383"/>
      <c r="L69" s="383"/>
      <c r="M69" s="51"/>
      <c r="N69" s="392"/>
      <c r="O69" s="393"/>
      <c r="P69" s="394"/>
      <c r="Q69" s="395"/>
      <c r="R69" s="396"/>
      <c r="S69" s="396"/>
      <c r="T69" s="396"/>
      <c r="U69" s="396"/>
      <c r="V69" s="396"/>
      <c r="W69" s="396"/>
      <c r="X69" s="396"/>
      <c r="Y69" s="396"/>
      <c r="Z69" s="396"/>
      <c r="AA69" s="396"/>
      <c r="AB69" s="383"/>
      <c r="AC69" s="383"/>
      <c r="AD69" s="384"/>
      <c r="AF69" s="50"/>
    </row>
    <row r="70" spans="1:32" ht="25.5" customHeight="1">
      <c r="A70" s="389">
        <v>8</v>
      </c>
      <c r="B70" s="390"/>
      <c r="C70" s="117"/>
      <c r="D70" s="175"/>
      <c r="E70" s="172"/>
      <c r="F70" s="391"/>
      <c r="G70" s="383"/>
      <c r="H70" s="383"/>
      <c r="I70" s="383"/>
      <c r="J70" s="383"/>
      <c r="K70" s="383"/>
      <c r="L70" s="383"/>
      <c r="M70" s="51"/>
      <c r="N70" s="392"/>
      <c r="O70" s="393"/>
      <c r="P70" s="394"/>
      <c r="Q70" s="395"/>
      <c r="R70" s="396"/>
      <c r="S70" s="396"/>
      <c r="T70" s="396"/>
      <c r="U70" s="396"/>
      <c r="V70" s="396"/>
      <c r="W70" s="396"/>
      <c r="X70" s="396"/>
      <c r="Y70" s="396"/>
      <c r="Z70" s="396"/>
      <c r="AA70" s="396"/>
      <c r="AB70" s="383"/>
      <c r="AC70" s="383"/>
      <c r="AD70" s="384"/>
      <c r="AF70" s="50"/>
    </row>
    <row r="71" spans="1:32" ht="26.25" customHeight="1" thickBot="1">
      <c r="A71" s="363" t="s">
        <v>288</v>
      </c>
      <c r="B71" s="363"/>
      <c r="C71" s="363"/>
      <c r="D71" s="363"/>
      <c r="E71" s="363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64" t="s">
        <v>113</v>
      </c>
      <c r="B72" s="365"/>
      <c r="C72" s="174" t="s">
        <v>2</v>
      </c>
      <c r="D72" s="174" t="s">
        <v>37</v>
      </c>
      <c r="E72" s="174" t="s">
        <v>3</v>
      </c>
      <c r="F72" s="365" t="s">
        <v>38</v>
      </c>
      <c r="G72" s="365"/>
      <c r="H72" s="365"/>
      <c r="I72" s="365"/>
      <c r="J72" s="365"/>
      <c r="K72" s="385" t="s">
        <v>58</v>
      </c>
      <c r="L72" s="386"/>
      <c r="M72" s="386"/>
      <c r="N72" s="386"/>
      <c r="O72" s="386"/>
      <c r="P72" s="386"/>
      <c r="Q72" s="386"/>
      <c r="R72" s="386"/>
      <c r="S72" s="387"/>
      <c r="T72" s="365" t="s">
        <v>49</v>
      </c>
      <c r="U72" s="365"/>
      <c r="V72" s="385" t="s">
        <v>50</v>
      </c>
      <c r="W72" s="387"/>
      <c r="X72" s="386" t="s">
        <v>51</v>
      </c>
      <c r="Y72" s="386"/>
      <c r="Z72" s="386"/>
      <c r="AA72" s="386"/>
      <c r="AB72" s="386"/>
      <c r="AC72" s="386"/>
      <c r="AD72" s="388"/>
      <c r="AF72" s="50"/>
    </row>
    <row r="73" spans="1:32" ht="33.75" customHeight="1">
      <c r="A73" s="357">
        <v>1</v>
      </c>
      <c r="B73" s="358"/>
      <c r="C73" s="176" t="s">
        <v>114</v>
      </c>
      <c r="D73" s="176"/>
      <c r="E73" s="65" t="s">
        <v>119</v>
      </c>
      <c r="F73" s="372" t="s">
        <v>118</v>
      </c>
      <c r="G73" s="373"/>
      <c r="H73" s="373"/>
      <c r="I73" s="373"/>
      <c r="J73" s="374"/>
      <c r="K73" s="375" t="s">
        <v>128</v>
      </c>
      <c r="L73" s="376"/>
      <c r="M73" s="376"/>
      <c r="N73" s="376"/>
      <c r="O73" s="376"/>
      <c r="P73" s="376"/>
      <c r="Q73" s="376"/>
      <c r="R73" s="376"/>
      <c r="S73" s="377"/>
      <c r="T73" s="378">
        <v>43675</v>
      </c>
      <c r="U73" s="379"/>
      <c r="V73" s="380"/>
      <c r="W73" s="380"/>
      <c r="X73" s="381"/>
      <c r="Y73" s="381"/>
      <c r="Z73" s="381"/>
      <c r="AA73" s="381"/>
      <c r="AB73" s="381"/>
      <c r="AC73" s="381"/>
      <c r="AD73" s="382"/>
      <c r="AF73" s="50"/>
    </row>
    <row r="74" spans="1:32" ht="30" customHeight="1">
      <c r="A74" s="350">
        <f>A73+1</f>
        <v>2</v>
      </c>
      <c r="B74" s="351"/>
      <c r="C74" s="175"/>
      <c r="D74" s="175"/>
      <c r="E74" s="32"/>
      <c r="F74" s="351"/>
      <c r="G74" s="351"/>
      <c r="H74" s="351"/>
      <c r="I74" s="351"/>
      <c r="J74" s="351"/>
      <c r="K74" s="366"/>
      <c r="L74" s="367"/>
      <c r="M74" s="367"/>
      <c r="N74" s="367"/>
      <c r="O74" s="367"/>
      <c r="P74" s="367"/>
      <c r="Q74" s="367"/>
      <c r="R74" s="367"/>
      <c r="S74" s="368"/>
      <c r="T74" s="369"/>
      <c r="U74" s="369"/>
      <c r="V74" s="369"/>
      <c r="W74" s="369"/>
      <c r="X74" s="370"/>
      <c r="Y74" s="370"/>
      <c r="Z74" s="370"/>
      <c r="AA74" s="370"/>
      <c r="AB74" s="370"/>
      <c r="AC74" s="370"/>
      <c r="AD74" s="371"/>
      <c r="AF74" s="50"/>
    </row>
    <row r="75" spans="1:32" ht="30" customHeight="1">
      <c r="A75" s="350">
        <f t="shared" ref="A75:A81" si="14">A74+1</f>
        <v>3</v>
      </c>
      <c r="B75" s="351"/>
      <c r="C75" s="175"/>
      <c r="D75" s="175"/>
      <c r="E75" s="32"/>
      <c r="F75" s="351"/>
      <c r="G75" s="351"/>
      <c r="H75" s="351"/>
      <c r="I75" s="351"/>
      <c r="J75" s="351"/>
      <c r="K75" s="366"/>
      <c r="L75" s="367"/>
      <c r="M75" s="367"/>
      <c r="N75" s="367"/>
      <c r="O75" s="367"/>
      <c r="P75" s="367"/>
      <c r="Q75" s="367"/>
      <c r="R75" s="367"/>
      <c r="S75" s="368"/>
      <c r="T75" s="369"/>
      <c r="U75" s="369"/>
      <c r="V75" s="369"/>
      <c r="W75" s="369"/>
      <c r="X75" s="370"/>
      <c r="Y75" s="370"/>
      <c r="Z75" s="370"/>
      <c r="AA75" s="370"/>
      <c r="AB75" s="370"/>
      <c r="AC75" s="370"/>
      <c r="AD75" s="371"/>
      <c r="AF75" s="50"/>
    </row>
    <row r="76" spans="1:32" ht="30" customHeight="1">
      <c r="A76" s="350">
        <f t="shared" si="14"/>
        <v>4</v>
      </c>
      <c r="B76" s="351"/>
      <c r="C76" s="175"/>
      <c r="D76" s="175"/>
      <c r="E76" s="32"/>
      <c r="F76" s="351"/>
      <c r="G76" s="351"/>
      <c r="H76" s="351"/>
      <c r="I76" s="351"/>
      <c r="J76" s="351"/>
      <c r="K76" s="366"/>
      <c r="L76" s="367"/>
      <c r="M76" s="367"/>
      <c r="N76" s="367"/>
      <c r="O76" s="367"/>
      <c r="P76" s="367"/>
      <c r="Q76" s="367"/>
      <c r="R76" s="367"/>
      <c r="S76" s="368"/>
      <c r="T76" s="369"/>
      <c r="U76" s="369"/>
      <c r="V76" s="369"/>
      <c r="W76" s="369"/>
      <c r="X76" s="370"/>
      <c r="Y76" s="370"/>
      <c r="Z76" s="370"/>
      <c r="AA76" s="370"/>
      <c r="AB76" s="370"/>
      <c r="AC76" s="370"/>
      <c r="AD76" s="371"/>
      <c r="AF76" s="50"/>
    </row>
    <row r="77" spans="1:32" ht="30" customHeight="1">
      <c r="A77" s="350">
        <f t="shared" si="14"/>
        <v>5</v>
      </c>
      <c r="B77" s="351"/>
      <c r="C77" s="175"/>
      <c r="D77" s="175"/>
      <c r="E77" s="32"/>
      <c r="F77" s="351"/>
      <c r="G77" s="351"/>
      <c r="H77" s="351"/>
      <c r="I77" s="351"/>
      <c r="J77" s="351"/>
      <c r="K77" s="366"/>
      <c r="L77" s="367"/>
      <c r="M77" s="367"/>
      <c r="N77" s="367"/>
      <c r="O77" s="367"/>
      <c r="P77" s="367"/>
      <c r="Q77" s="367"/>
      <c r="R77" s="367"/>
      <c r="S77" s="368"/>
      <c r="T77" s="369"/>
      <c r="U77" s="369"/>
      <c r="V77" s="369"/>
      <c r="W77" s="369"/>
      <c r="X77" s="370"/>
      <c r="Y77" s="370"/>
      <c r="Z77" s="370"/>
      <c r="AA77" s="370"/>
      <c r="AB77" s="370"/>
      <c r="AC77" s="370"/>
      <c r="AD77" s="371"/>
      <c r="AF77" s="50"/>
    </row>
    <row r="78" spans="1:32" ht="30" customHeight="1">
      <c r="A78" s="350">
        <f t="shared" si="14"/>
        <v>6</v>
      </c>
      <c r="B78" s="351"/>
      <c r="C78" s="175"/>
      <c r="D78" s="175"/>
      <c r="E78" s="32"/>
      <c r="F78" s="351"/>
      <c r="G78" s="351"/>
      <c r="H78" s="351"/>
      <c r="I78" s="351"/>
      <c r="J78" s="351"/>
      <c r="K78" s="366"/>
      <c r="L78" s="367"/>
      <c r="M78" s="367"/>
      <c r="N78" s="367"/>
      <c r="O78" s="367"/>
      <c r="P78" s="367"/>
      <c r="Q78" s="367"/>
      <c r="R78" s="367"/>
      <c r="S78" s="368"/>
      <c r="T78" s="369"/>
      <c r="U78" s="369"/>
      <c r="V78" s="369"/>
      <c r="W78" s="369"/>
      <c r="X78" s="370"/>
      <c r="Y78" s="370"/>
      <c r="Z78" s="370"/>
      <c r="AA78" s="370"/>
      <c r="AB78" s="370"/>
      <c r="AC78" s="370"/>
      <c r="AD78" s="371"/>
      <c r="AF78" s="50"/>
    </row>
    <row r="79" spans="1:32" ht="30" customHeight="1">
      <c r="A79" s="350">
        <f t="shared" si="14"/>
        <v>7</v>
      </c>
      <c r="B79" s="351"/>
      <c r="C79" s="175"/>
      <c r="D79" s="175"/>
      <c r="E79" s="32"/>
      <c r="F79" s="351"/>
      <c r="G79" s="351"/>
      <c r="H79" s="351"/>
      <c r="I79" s="351"/>
      <c r="J79" s="351"/>
      <c r="K79" s="366"/>
      <c r="L79" s="367"/>
      <c r="M79" s="367"/>
      <c r="N79" s="367"/>
      <c r="O79" s="367"/>
      <c r="P79" s="367"/>
      <c r="Q79" s="367"/>
      <c r="R79" s="367"/>
      <c r="S79" s="368"/>
      <c r="T79" s="369"/>
      <c r="U79" s="369"/>
      <c r="V79" s="369"/>
      <c r="W79" s="369"/>
      <c r="X79" s="370"/>
      <c r="Y79" s="370"/>
      <c r="Z79" s="370"/>
      <c r="AA79" s="370"/>
      <c r="AB79" s="370"/>
      <c r="AC79" s="370"/>
      <c r="AD79" s="371"/>
      <c r="AF79" s="50"/>
    </row>
    <row r="80" spans="1:32" ht="30" customHeight="1">
      <c r="A80" s="350">
        <f t="shared" si="14"/>
        <v>8</v>
      </c>
      <c r="B80" s="351"/>
      <c r="C80" s="175"/>
      <c r="D80" s="175"/>
      <c r="E80" s="32"/>
      <c r="F80" s="351"/>
      <c r="G80" s="351"/>
      <c r="H80" s="351"/>
      <c r="I80" s="351"/>
      <c r="J80" s="351"/>
      <c r="K80" s="366"/>
      <c r="L80" s="367"/>
      <c r="M80" s="367"/>
      <c r="N80" s="367"/>
      <c r="O80" s="367"/>
      <c r="P80" s="367"/>
      <c r="Q80" s="367"/>
      <c r="R80" s="367"/>
      <c r="S80" s="368"/>
      <c r="T80" s="369"/>
      <c r="U80" s="369"/>
      <c r="V80" s="369"/>
      <c r="W80" s="369"/>
      <c r="X80" s="370"/>
      <c r="Y80" s="370"/>
      <c r="Z80" s="370"/>
      <c r="AA80" s="370"/>
      <c r="AB80" s="370"/>
      <c r="AC80" s="370"/>
      <c r="AD80" s="371"/>
      <c r="AF80" s="50"/>
    </row>
    <row r="81" spans="1:32" ht="30" customHeight="1">
      <c r="A81" s="350">
        <f t="shared" si="14"/>
        <v>9</v>
      </c>
      <c r="B81" s="351"/>
      <c r="C81" s="175"/>
      <c r="D81" s="175"/>
      <c r="E81" s="32"/>
      <c r="F81" s="351"/>
      <c r="G81" s="351"/>
      <c r="H81" s="351"/>
      <c r="I81" s="351"/>
      <c r="J81" s="351"/>
      <c r="K81" s="366"/>
      <c r="L81" s="367"/>
      <c r="M81" s="367"/>
      <c r="N81" s="367"/>
      <c r="O81" s="367"/>
      <c r="P81" s="367"/>
      <c r="Q81" s="367"/>
      <c r="R81" s="367"/>
      <c r="S81" s="368"/>
      <c r="T81" s="369"/>
      <c r="U81" s="369"/>
      <c r="V81" s="369"/>
      <c r="W81" s="369"/>
      <c r="X81" s="370"/>
      <c r="Y81" s="370"/>
      <c r="Z81" s="370"/>
      <c r="AA81" s="370"/>
      <c r="AB81" s="370"/>
      <c r="AC81" s="370"/>
      <c r="AD81" s="371"/>
      <c r="AF81" s="50"/>
    </row>
    <row r="82" spans="1:32" ht="36" thickBot="1">
      <c r="A82" s="363" t="s">
        <v>289</v>
      </c>
      <c r="B82" s="363"/>
      <c r="C82" s="363"/>
      <c r="D82" s="363"/>
      <c r="E82" s="363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64" t="s">
        <v>113</v>
      </c>
      <c r="B83" s="365"/>
      <c r="C83" s="355" t="s">
        <v>52</v>
      </c>
      <c r="D83" s="355"/>
      <c r="E83" s="355" t="s">
        <v>53</v>
      </c>
      <c r="F83" s="355"/>
      <c r="G83" s="355"/>
      <c r="H83" s="355"/>
      <c r="I83" s="355"/>
      <c r="J83" s="355"/>
      <c r="K83" s="355" t="s">
        <v>54</v>
      </c>
      <c r="L83" s="355"/>
      <c r="M83" s="355"/>
      <c r="N83" s="355"/>
      <c r="O83" s="355"/>
      <c r="P83" s="355"/>
      <c r="Q83" s="355"/>
      <c r="R83" s="355"/>
      <c r="S83" s="355"/>
      <c r="T83" s="355" t="s">
        <v>55</v>
      </c>
      <c r="U83" s="355"/>
      <c r="V83" s="355" t="s">
        <v>56</v>
      </c>
      <c r="W83" s="355"/>
      <c r="X83" s="355"/>
      <c r="Y83" s="355" t="s">
        <v>51</v>
      </c>
      <c r="Z83" s="355"/>
      <c r="AA83" s="355"/>
      <c r="AB83" s="355"/>
      <c r="AC83" s="355"/>
      <c r="AD83" s="356"/>
      <c r="AF83" s="50"/>
    </row>
    <row r="84" spans="1:32" ht="30.75" customHeight="1">
      <c r="A84" s="357">
        <v>1</v>
      </c>
      <c r="B84" s="358"/>
      <c r="C84" s="359"/>
      <c r="D84" s="359"/>
      <c r="E84" s="359"/>
      <c r="F84" s="359"/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/>
      <c r="R84" s="359"/>
      <c r="S84" s="359"/>
      <c r="T84" s="359"/>
      <c r="U84" s="359"/>
      <c r="V84" s="360"/>
      <c r="W84" s="360"/>
      <c r="X84" s="360"/>
      <c r="Y84" s="361"/>
      <c r="Z84" s="361"/>
      <c r="AA84" s="361"/>
      <c r="AB84" s="361"/>
      <c r="AC84" s="361"/>
      <c r="AD84" s="362"/>
      <c r="AF84" s="50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0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551D-CC04-4757-AEED-3E0898FFFE28}">
  <dimension ref="A1:AF86"/>
  <sheetViews>
    <sheetView zoomScale="72" zoomScaleNormal="72" zoomScaleSheetLayoutView="70" workbookViewId="0">
      <selection activeCell="K76" sqref="K76:S7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58" t="s">
        <v>290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8"/>
      <c r="B2" s="458"/>
      <c r="C2" s="458"/>
      <c r="D2" s="458"/>
      <c r="E2" s="458"/>
      <c r="F2" s="458"/>
      <c r="G2" s="458"/>
      <c r="H2" s="458"/>
      <c r="I2" s="458"/>
      <c r="J2" s="458"/>
      <c r="K2" s="458"/>
      <c r="L2" s="458"/>
      <c r="M2" s="458"/>
      <c r="N2" s="458"/>
      <c r="O2" s="45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9"/>
      <c r="B3" s="459"/>
      <c r="C3" s="459"/>
      <c r="D3" s="459"/>
      <c r="E3" s="459"/>
      <c r="F3" s="459"/>
      <c r="G3" s="45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0" t="s">
        <v>0</v>
      </c>
      <c r="B4" s="462" t="s">
        <v>1</v>
      </c>
      <c r="C4" s="462" t="s">
        <v>2</v>
      </c>
      <c r="D4" s="465" t="s">
        <v>3</v>
      </c>
      <c r="E4" s="467" t="s">
        <v>4</v>
      </c>
      <c r="F4" s="465" t="s">
        <v>5</v>
      </c>
      <c r="G4" s="462" t="s">
        <v>6</v>
      </c>
      <c r="H4" s="468" t="s">
        <v>7</v>
      </c>
      <c r="I4" s="448" t="s">
        <v>8</v>
      </c>
      <c r="J4" s="449"/>
      <c r="K4" s="449"/>
      <c r="L4" s="449"/>
      <c r="M4" s="449"/>
      <c r="N4" s="449"/>
      <c r="O4" s="450"/>
      <c r="P4" s="451" t="s">
        <v>9</v>
      </c>
      <c r="Q4" s="452"/>
      <c r="R4" s="453" t="s">
        <v>10</v>
      </c>
      <c r="S4" s="453"/>
      <c r="T4" s="453"/>
      <c r="U4" s="453"/>
      <c r="V4" s="453"/>
      <c r="W4" s="454" t="s">
        <v>11</v>
      </c>
      <c r="X4" s="453"/>
      <c r="Y4" s="453"/>
      <c r="Z4" s="453"/>
      <c r="AA4" s="455"/>
      <c r="AB4" s="456" t="s">
        <v>12</v>
      </c>
      <c r="AC4" s="429" t="s">
        <v>13</v>
      </c>
      <c r="AD4" s="429" t="s">
        <v>14</v>
      </c>
      <c r="AE4" s="54"/>
    </row>
    <row r="5" spans="1:32" ht="51" customHeight="1" thickBot="1">
      <c r="A5" s="461"/>
      <c r="B5" s="463"/>
      <c r="C5" s="464"/>
      <c r="D5" s="466"/>
      <c r="E5" s="466"/>
      <c r="F5" s="466"/>
      <c r="G5" s="463"/>
      <c r="H5" s="469"/>
      <c r="I5" s="55" t="s">
        <v>15</v>
      </c>
      <c r="J5" s="56" t="s">
        <v>16</v>
      </c>
      <c r="K5" s="177" t="s">
        <v>17</v>
      </c>
      <c r="L5" s="177" t="s">
        <v>18</v>
      </c>
      <c r="M5" s="177" t="s">
        <v>19</v>
      </c>
      <c r="N5" s="17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57"/>
      <c r="AC5" s="430"/>
      <c r="AD5" s="43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0.43888888888888894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126</v>
      </c>
      <c r="D7" s="52" t="s">
        <v>127</v>
      </c>
      <c r="E7" s="53" t="s">
        <v>125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0.43888888888888894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123</v>
      </c>
      <c r="D8" s="52" t="s">
        <v>146</v>
      </c>
      <c r="E8" s="53" t="s">
        <v>151</v>
      </c>
      <c r="F8" s="30" t="s">
        <v>140</v>
      </c>
      <c r="G8" s="33">
        <v>2</v>
      </c>
      <c r="H8" s="35">
        <v>24</v>
      </c>
      <c r="I8" s="7">
        <v>2000</v>
      </c>
      <c r="J8" s="14">
        <v>7228</v>
      </c>
      <c r="K8" s="15">
        <f>L8+7228</f>
        <v>7228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0.43888888888888894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123</v>
      </c>
      <c r="D9" s="52" t="s">
        <v>218</v>
      </c>
      <c r="E9" s="53" t="s">
        <v>219</v>
      </c>
      <c r="F9" s="30" t="s">
        <v>124</v>
      </c>
      <c r="G9" s="33">
        <v>1</v>
      </c>
      <c r="H9" s="35">
        <v>24</v>
      </c>
      <c r="I9" s="7">
        <v>1250</v>
      </c>
      <c r="J9" s="14">
        <v>2020</v>
      </c>
      <c r="K9" s="15">
        <f>L9+304</f>
        <v>2324</v>
      </c>
      <c r="L9" s="15">
        <f>1421+599</f>
        <v>2020</v>
      </c>
      <c r="M9" s="15">
        <f t="shared" si="1"/>
        <v>2020</v>
      </c>
      <c r="N9" s="15">
        <v>0</v>
      </c>
      <c r="O9" s="58">
        <f t="shared" si="2"/>
        <v>0</v>
      </c>
      <c r="P9" s="39">
        <f t="shared" si="3"/>
        <v>10</v>
      </c>
      <c r="Q9" s="40">
        <f t="shared" si="4"/>
        <v>14</v>
      </c>
      <c r="R9" s="7"/>
      <c r="S9" s="6">
        <v>14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0.41666666666666669</v>
      </c>
      <c r="AD9" s="10">
        <f t="shared" si="7"/>
        <v>0.41666666666666669</v>
      </c>
      <c r="AE9" s="36">
        <f t="shared" si="8"/>
        <v>0.43888888888888894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131</v>
      </c>
      <c r="D10" s="52" t="s">
        <v>150</v>
      </c>
      <c r="E10" s="53" t="s">
        <v>152</v>
      </c>
      <c r="F10" s="30" t="s">
        <v>121</v>
      </c>
      <c r="G10" s="33">
        <v>2</v>
      </c>
      <c r="H10" s="35">
        <v>24</v>
      </c>
      <c r="I10" s="7">
        <v>130000</v>
      </c>
      <c r="J10" s="5">
        <v>11480</v>
      </c>
      <c r="K10" s="15">
        <f>L10+13288+10116+14610+5976+7143+12482+1676+11964+11004+13758</f>
        <v>113497</v>
      </c>
      <c r="L10" s="15">
        <f>3023*2+2717*2</f>
        <v>11480</v>
      </c>
      <c r="M10" s="15">
        <f t="shared" si="1"/>
        <v>11480</v>
      </c>
      <c r="N10" s="15">
        <v>0</v>
      </c>
      <c r="O10" s="58">
        <f t="shared" si="2"/>
        <v>0</v>
      </c>
      <c r="P10" s="39">
        <f t="shared" si="3"/>
        <v>21</v>
      </c>
      <c r="Q10" s="40">
        <f t="shared" si="4"/>
        <v>3</v>
      </c>
      <c r="R10" s="7"/>
      <c r="S10" s="6">
        <v>3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0.875</v>
      </c>
      <c r="AD10" s="10">
        <f>AC10*AB10*(1-O10)</f>
        <v>0.875</v>
      </c>
      <c r="AE10" s="36">
        <f t="shared" si="8"/>
        <v>0.43888888888888894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158</v>
      </c>
      <c r="D11" s="52" t="s">
        <v>198</v>
      </c>
      <c r="E11" s="53" t="s">
        <v>199</v>
      </c>
      <c r="F11" s="30" t="s">
        <v>162</v>
      </c>
      <c r="G11" s="33">
        <v>2</v>
      </c>
      <c r="H11" s="35">
        <v>24</v>
      </c>
      <c r="I11" s="7">
        <v>42000</v>
      </c>
      <c r="J11" s="5">
        <v>14268</v>
      </c>
      <c r="K11" s="15">
        <f>L11+12678+12678</f>
        <v>39624</v>
      </c>
      <c r="L11" s="15">
        <f>3662*2+3472*2</f>
        <v>14268</v>
      </c>
      <c r="M11" s="15">
        <f t="shared" si="1"/>
        <v>14268</v>
      </c>
      <c r="N11" s="15">
        <v>0</v>
      </c>
      <c r="O11" s="58">
        <f t="shared" si="2"/>
        <v>0</v>
      </c>
      <c r="P11" s="39">
        <f t="shared" si="3"/>
        <v>24</v>
      </c>
      <c r="Q11" s="40">
        <f t="shared" si="4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1</v>
      </c>
      <c r="AD11" s="10">
        <f>AC11*AB11*(1-O11)</f>
        <v>1</v>
      </c>
      <c r="AE11" s="36">
        <f t="shared" si="8"/>
        <v>0.43888888888888894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126</v>
      </c>
      <c r="D12" s="52" t="s">
        <v>117</v>
      </c>
      <c r="E12" s="53" t="s">
        <v>285</v>
      </c>
      <c r="F12" s="30" t="s">
        <v>138</v>
      </c>
      <c r="G12" s="33">
        <v>1</v>
      </c>
      <c r="H12" s="35">
        <v>24</v>
      </c>
      <c r="I12" s="7">
        <v>1000</v>
      </c>
      <c r="J12" s="14">
        <v>1201</v>
      </c>
      <c r="K12" s="15">
        <f>L12</f>
        <v>1201</v>
      </c>
      <c r="L12" s="15">
        <f>516+685</f>
        <v>1201</v>
      </c>
      <c r="M12" s="15">
        <f t="shared" si="1"/>
        <v>1201</v>
      </c>
      <c r="N12" s="15">
        <v>0</v>
      </c>
      <c r="O12" s="58">
        <f t="shared" si="2"/>
        <v>0</v>
      </c>
      <c r="P12" s="39">
        <f t="shared" si="3"/>
        <v>7</v>
      </c>
      <c r="Q12" s="40">
        <f t="shared" si="4"/>
        <v>17</v>
      </c>
      <c r="R12" s="7"/>
      <c r="S12" s="6"/>
      <c r="T12" s="16"/>
      <c r="U12" s="16"/>
      <c r="V12" s="17"/>
      <c r="W12" s="5">
        <v>17</v>
      </c>
      <c r="X12" s="16"/>
      <c r="Y12" s="16"/>
      <c r="Z12" s="16"/>
      <c r="AA12" s="18"/>
      <c r="AB12" s="8">
        <f t="shared" si="5"/>
        <v>1</v>
      </c>
      <c r="AC12" s="9">
        <f t="shared" si="6"/>
        <v>0.29166666666666669</v>
      </c>
      <c r="AD12" s="10">
        <f t="shared" ref="AD12:AD14" si="10">AC12*AB12*(1-O12)</f>
        <v>0.29166666666666669</v>
      </c>
      <c r="AE12" s="36">
        <f t="shared" si="8"/>
        <v>0.43888888888888894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117</v>
      </c>
      <c r="E13" s="53" t="s">
        <v>143</v>
      </c>
      <c r="F13" s="30" t="s">
        <v>138</v>
      </c>
      <c r="G13" s="33">
        <v>4</v>
      </c>
      <c r="H13" s="35">
        <v>24</v>
      </c>
      <c r="I13" s="7">
        <v>850000</v>
      </c>
      <c r="J13" s="14">
        <v>21784</v>
      </c>
      <c r="K13" s="15">
        <f>L13+20676+20704+882+19912+11748+21560+18812+17048+21840+19920</f>
        <v>194886</v>
      </c>
      <c r="L13" s="15">
        <f>2694*4+2752*4</f>
        <v>21784</v>
      </c>
      <c r="M13" s="15">
        <f t="shared" si="1"/>
        <v>21784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10"/>
        <v>1</v>
      </c>
      <c r="AE13" s="36">
        <f t="shared" si="8"/>
        <v>0.43888888888888894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246</v>
      </c>
      <c r="F14" s="30" t="s">
        <v>247</v>
      </c>
      <c r="G14" s="33">
        <v>1</v>
      </c>
      <c r="H14" s="35">
        <v>24</v>
      </c>
      <c r="I14" s="7">
        <v>800</v>
      </c>
      <c r="J14" s="5">
        <v>367</v>
      </c>
      <c r="K14" s="15">
        <f>L14+689+367</f>
        <v>1056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10"/>
        <v>0</v>
      </c>
      <c r="AE14" s="36">
        <f t="shared" si="8"/>
        <v>0.43888888888888894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158</v>
      </c>
      <c r="D15" s="52" t="s">
        <v>119</v>
      </c>
      <c r="E15" s="53" t="s">
        <v>201</v>
      </c>
      <c r="F15" s="12" t="s">
        <v>160</v>
      </c>
      <c r="G15" s="12">
        <v>2</v>
      </c>
      <c r="H15" s="13">
        <v>24</v>
      </c>
      <c r="I15" s="31">
        <v>42000</v>
      </c>
      <c r="J15" s="14">
        <v>11936</v>
      </c>
      <c r="K15" s="15">
        <f>L15+9554+7814+12372+12448</f>
        <v>54124</v>
      </c>
      <c r="L15" s="15">
        <f>3063*2+2905*2</f>
        <v>11936</v>
      </c>
      <c r="M15" s="15">
        <f t="shared" si="1"/>
        <v>11936</v>
      </c>
      <c r="N15" s="15">
        <v>0</v>
      </c>
      <c r="O15" s="58">
        <f t="shared" si="2"/>
        <v>0</v>
      </c>
      <c r="P15" s="39">
        <f t="shared" si="3"/>
        <v>24</v>
      </c>
      <c r="Q15" s="40">
        <f t="shared" si="4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1</v>
      </c>
      <c r="AD15" s="10">
        <f t="shared" si="7"/>
        <v>1</v>
      </c>
      <c r="AE15" s="36">
        <f t="shared" si="8"/>
        <v>0.43888888888888894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257</v>
      </c>
      <c r="D16" s="52" t="s">
        <v>264</v>
      </c>
      <c r="E16" s="53" t="s">
        <v>256</v>
      </c>
      <c r="F16" s="30" t="s">
        <v>265</v>
      </c>
      <c r="G16" s="12">
        <v>1</v>
      </c>
      <c r="H16" s="13">
        <v>28</v>
      </c>
      <c r="I16" s="7">
        <v>500</v>
      </c>
      <c r="J16" s="14">
        <v>2113</v>
      </c>
      <c r="K16" s="15">
        <f>L16+2113</f>
        <v>2113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0.43888888888888894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126</v>
      </c>
      <c r="D17" s="52" t="s">
        <v>233</v>
      </c>
      <c r="E17" s="53" t="s">
        <v>234</v>
      </c>
      <c r="F17" s="30" t="s">
        <v>142</v>
      </c>
      <c r="G17" s="33">
        <v>1</v>
      </c>
      <c r="H17" s="35">
        <v>24</v>
      </c>
      <c r="I17" s="7">
        <v>2000</v>
      </c>
      <c r="J17" s="5">
        <v>2363</v>
      </c>
      <c r="K17" s="15">
        <f>L17+2363</f>
        <v>2363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0.43888888888888894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123</v>
      </c>
      <c r="D18" s="52" t="s">
        <v>248</v>
      </c>
      <c r="E18" s="53" t="s">
        <v>249</v>
      </c>
      <c r="F18" s="30" t="s">
        <v>250</v>
      </c>
      <c r="G18" s="33" t="s">
        <v>204</v>
      </c>
      <c r="H18" s="35">
        <v>24</v>
      </c>
      <c r="I18" s="7">
        <v>18000</v>
      </c>
      <c r="J18" s="5">
        <v>4640</v>
      </c>
      <c r="K18" s="15">
        <f>L18+4459+4279</f>
        <v>13378</v>
      </c>
      <c r="L18" s="15">
        <f>2386+2254</f>
        <v>4640</v>
      </c>
      <c r="M18" s="15">
        <f t="shared" si="1"/>
        <v>4640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>AC18*AB18*(1-O18)</f>
        <v>1</v>
      </c>
      <c r="AE18" s="36">
        <f t="shared" si="8"/>
        <v>0.43888888888888894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126</v>
      </c>
      <c r="D19" s="52" t="s">
        <v>202</v>
      </c>
      <c r="E19" s="53" t="s">
        <v>205</v>
      </c>
      <c r="F19" s="30" t="s">
        <v>138</v>
      </c>
      <c r="G19" s="33">
        <v>4</v>
      </c>
      <c r="H19" s="35">
        <v>24</v>
      </c>
      <c r="I19" s="7">
        <v>800000</v>
      </c>
      <c r="J19" s="14">
        <v>21424</v>
      </c>
      <c r="K19" s="15">
        <f>L19+12980+20160+21332+21348</f>
        <v>97244</v>
      </c>
      <c r="L19" s="15">
        <f>2633*4+2723*4</f>
        <v>21424</v>
      </c>
      <c r="M19" s="15">
        <f t="shared" si="1"/>
        <v>21424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ref="AD19" si="11">AC19*AB19*(1-O19)</f>
        <v>1</v>
      </c>
      <c r="AE19" s="36">
        <f t="shared" si="8"/>
        <v>0.43888888888888894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144</v>
      </c>
      <c r="F20" s="12" t="s">
        <v>116</v>
      </c>
      <c r="G20" s="12">
        <v>3</v>
      </c>
      <c r="H20" s="35">
        <v>20</v>
      </c>
      <c r="I20" s="7">
        <v>200000</v>
      </c>
      <c r="J20" s="14">
        <v>34300</v>
      </c>
      <c r="K20" s="15">
        <f>L20+22050+34300</f>
        <v>56350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0.43888888888888894</v>
      </c>
      <c r="AF20" s="87">
        <f t="shared" si="9"/>
        <v>15</v>
      </c>
    </row>
    <row r="21" spans="1:32" ht="31.5" customHeight="1" thickBot="1">
      <c r="A21" s="431" t="s">
        <v>34</v>
      </c>
      <c r="B21" s="432"/>
      <c r="C21" s="432"/>
      <c r="D21" s="432"/>
      <c r="E21" s="432"/>
      <c r="F21" s="432"/>
      <c r="G21" s="432"/>
      <c r="H21" s="433"/>
      <c r="I21" s="22">
        <f t="shared" ref="I21:N21" si="12">SUM(I6:I20)</f>
        <v>2110550</v>
      </c>
      <c r="J21" s="19">
        <f t="shared" si="12"/>
        <v>137185</v>
      </c>
      <c r="K21" s="20">
        <f t="shared" si="12"/>
        <v>596936</v>
      </c>
      <c r="L21" s="21">
        <f t="shared" si="12"/>
        <v>88753</v>
      </c>
      <c r="M21" s="20">
        <f t="shared" si="12"/>
        <v>88753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158</v>
      </c>
      <c r="Q21" s="43">
        <f t="shared" si="13"/>
        <v>202</v>
      </c>
      <c r="R21" s="23">
        <f t="shared" si="13"/>
        <v>24</v>
      </c>
      <c r="S21" s="24">
        <f t="shared" si="13"/>
        <v>17</v>
      </c>
      <c r="T21" s="24">
        <f t="shared" si="13"/>
        <v>0</v>
      </c>
      <c r="U21" s="24">
        <f t="shared" si="13"/>
        <v>0</v>
      </c>
      <c r="V21" s="25">
        <f t="shared" si="13"/>
        <v>24</v>
      </c>
      <c r="W21" s="26">
        <f t="shared" si="13"/>
        <v>137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0.53333333333333333</v>
      </c>
      <c r="AC21" s="4">
        <f>SUM(AC6:AC20)/15</f>
        <v>0.43888888888888894</v>
      </c>
      <c r="AD21" s="4">
        <f>SUM(AD6:AD20)/15</f>
        <v>0.43888888888888894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34" t="s">
        <v>45</v>
      </c>
      <c r="B48" s="434"/>
      <c r="C48" s="434"/>
      <c r="D48" s="434"/>
      <c r="E48" s="43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35" t="s">
        <v>291</v>
      </c>
      <c r="B49" s="436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7"/>
      <c r="N49" s="438" t="s">
        <v>292</v>
      </c>
      <c r="O49" s="439"/>
      <c r="P49" s="439"/>
      <c r="Q49" s="439"/>
      <c r="R49" s="439"/>
      <c r="S49" s="439"/>
      <c r="T49" s="439"/>
      <c r="U49" s="439"/>
      <c r="V49" s="439"/>
      <c r="W49" s="439"/>
      <c r="X49" s="439"/>
      <c r="Y49" s="439"/>
      <c r="Z49" s="439"/>
      <c r="AA49" s="439"/>
      <c r="AB49" s="439"/>
      <c r="AC49" s="439"/>
      <c r="AD49" s="440"/>
    </row>
    <row r="50" spans="1:32" ht="27" customHeight="1">
      <c r="A50" s="441" t="s">
        <v>2</v>
      </c>
      <c r="B50" s="442"/>
      <c r="C50" s="178" t="s">
        <v>46</v>
      </c>
      <c r="D50" s="178" t="s">
        <v>47</v>
      </c>
      <c r="E50" s="178" t="s">
        <v>108</v>
      </c>
      <c r="F50" s="442" t="s">
        <v>107</v>
      </c>
      <c r="G50" s="442"/>
      <c r="H50" s="442"/>
      <c r="I50" s="442"/>
      <c r="J50" s="442"/>
      <c r="K50" s="442"/>
      <c r="L50" s="442"/>
      <c r="M50" s="443"/>
      <c r="N50" s="67" t="s">
        <v>112</v>
      </c>
      <c r="O50" s="178" t="s">
        <v>46</v>
      </c>
      <c r="P50" s="444" t="s">
        <v>47</v>
      </c>
      <c r="Q50" s="445"/>
      <c r="R50" s="444" t="s">
        <v>38</v>
      </c>
      <c r="S50" s="446"/>
      <c r="T50" s="446"/>
      <c r="U50" s="445"/>
      <c r="V50" s="444" t="s">
        <v>48</v>
      </c>
      <c r="W50" s="446"/>
      <c r="X50" s="446"/>
      <c r="Y50" s="446"/>
      <c r="Z50" s="446"/>
      <c r="AA50" s="446"/>
      <c r="AB50" s="446"/>
      <c r="AC50" s="446"/>
      <c r="AD50" s="447"/>
    </row>
    <row r="51" spans="1:32" ht="27" customHeight="1">
      <c r="A51" s="412" t="s">
        <v>123</v>
      </c>
      <c r="B51" s="413"/>
      <c r="C51" s="180" t="s">
        <v>129</v>
      </c>
      <c r="D51" s="180" t="s">
        <v>218</v>
      </c>
      <c r="E51" s="180" t="s">
        <v>219</v>
      </c>
      <c r="F51" s="414" t="s">
        <v>137</v>
      </c>
      <c r="G51" s="415"/>
      <c r="H51" s="415"/>
      <c r="I51" s="415"/>
      <c r="J51" s="415"/>
      <c r="K51" s="415"/>
      <c r="L51" s="415"/>
      <c r="M51" s="416"/>
      <c r="N51" s="179" t="s">
        <v>131</v>
      </c>
      <c r="O51" s="185" t="s">
        <v>139</v>
      </c>
      <c r="P51" s="426"/>
      <c r="Q51" s="427"/>
      <c r="R51" s="426" t="s">
        <v>294</v>
      </c>
      <c r="S51" s="428"/>
      <c r="T51" s="428"/>
      <c r="U51" s="427"/>
      <c r="V51" s="396" t="s">
        <v>137</v>
      </c>
      <c r="W51" s="396"/>
      <c r="X51" s="396"/>
      <c r="Y51" s="396"/>
      <c r="Z51" s="396"/>
      <c r="AA51" s="396"/>
      <c r="AB51" s="396"/>
      <c r="AC51" s="396"/>
      <c r="AD51" s="417"/>
    </row>
    <row r="52" spans="1:32" ht="27" customHeight="1">
      <c r="A52" s="412" t="s">
        <v>131</v>
      </c>
      <c r="B52" s="413"/>
      <c r="C52" s="180" t="s">
        <v>139</v>
      </c>
      <c r="D52" s="180"/>
      <c r="E52" s="180" t="s">
        <v>152</v>
      </c>
      <c r="F52" s="414" t="s">
        <v>293</v>
      </c>
      <c r="G52" s="415"/>
      <c r="H52" s="415"/>
      <c r="I52" s="415"/>
      <c r="J52" s="415"/>
      <c r="K52" s="415"/>
      <c r="L52" s="415"/>
      <c r="M52" s="416"/>
      <c r="N52" s="179" t="s">
        <v>276</v>
      </c>
      <c r="O52" s="185" t="s">
        <v>277</v>
      </c>
      <c r="P52" s="426"/>
      <c r="Q52" s="427"/>
      <c r="R52" s="426" t="s">
        <v>275</v>
      </c>
      <c r="S52" s="428"/>
      <c r="T52" s="428"/>
      <c r="U52" s="427"/>
      <c r="V52" s="396" t="s">
        <v>273</v>
      </c>
      <c r="W52" s="396"/>
      <c r="X52" s="396"/>
      <c r="Y52" s="396"/>
      <c r="Z52" s="396"/>
      <c r="AA52" s="396"/>
      <c r="AB52" s="396"/>
      <c r="AC52" s="396"/>
      <c r="AD52" s="417"/>
    </row>
    <row r="53" spans="1:32" ht="27" customHeight="1">
      <c r="A53" s="412" t="s">
        <v>126</v>
      </c>
      <c r="B53" s="413"/>
      <c r="C53" s="189" t="s">
        <v>210</v>
      </c>
      <c r="D53" s="189" t="s">
        <v>117</v>
      </c>
      <c r="E53" s="189" t="s">
        <v>211</v>
      </c>
      <c r="F53" s="414" t="s">
        <v>120</v>
      </c>
      <c r="G53" s="415"/>
      <c r="H53" s="415"/>
      <c r="I53" s="415"/>
      <c r="J53" s="415"/>
      <c r="K53" s="415"/>
      <c r="L53" s="415"/>
      <c r="M53" s="416"/>
      <c r="N53" s="179" t="s">
        <v>295</v>
      </c>
      <c r="O53" s="185" t="s">
        <v>296</v>
      </c>
      <c r="P53" s="426" t="s">
        <v>297</v>
      </c>
      <c r="Q53" s="427"/>
      <c r="R53" s="426" t="s">
        <v>298</v>
      </c>
      <c r="S53" s="428"/>
      <c r="T53" s="428"/>
      <c r="U53" s="427"/>
      <c r="V53" s="396" t="s">
        <v>120</v>
      </c>
      <c r="W53" s="396"/>
      <c r="X53" s="396"/>
      <c r="Y53" s="396"/>
      <c r="Z53" s="396"/>
      <c r="AA53" s="396"/>
      <c r="AB53" s="396"/>
      <c r="AC53" s="396"/>
      <c r="AD53" s="417"/>
    </row>
    <row r="54" spans="1:32" ht="27" customHeight="1">
      <c r="A54" s="412"/>
      <c r="B54" s="413"/>
      <c r="C54" s="180"/>
      <c r="D54" s="180"/>
      <c r="E54" s="180"/>
      <c r="F54" s="414"/>
      <c r="G54" s="415"/>
      <c r="H54" s="415"/>
      <c r="I54" s="415"/>
      <c r="J54" s="415"/>
      <c r="K54" s="415"/>
      <c r="L54" s="415"/>
      <c r="M54" s="416"/>
      <c r="N54" s="179" t="s">
        <v>300</v>
      </c>
      <c r="O54" s="185" t="s">
        <v>301</v>
      </c>
      <c r="P54" s="426" t="s">
        <v>302</v>
      </c>
      <c r="Q54" s="427"/>
      <c r="R54" s="426" t="s">
        <v>299</v>
      </c>
      <c r="S54" s="428"/>
      <c r="T54" s="428"/>
      <c r="U54" s="427"/>
      <c r="V54" s="396" t="s">
        <v>120</v>
      </c>
      <c r="W54" s="396"/>
      <c r="X54" s="396"/>
      <c r="Y54" s="396"/>
      <c r="Z54" s="396"/>
      <c r="AA54" s="396"/>
      <c r="AB54" s="396"/>
      <c r="AC54" s="396"/>
      <c r="AD54" s="417"/>
    </row>
    <row r="55" spans="1:32" ht="27" customHeight="1">
      <c r="A55" s="412"/>
      <c r="B55" s="413"/>
      <c r="C55" s="180"/>
      <c r="D55" s="180"/>
      <c r="E55" s="180"/>
      <c r="F55" s="414"/>
      <c r="G55" s="415"/>
      <c r="H55" s="415"/>
      <c r="I55" s="415"/>
      <c r="J55" s="415"/>
      <c r="K55" s="415"/>
      <c r="L55" s="415"/>
      <c r="M55" s="416"/>
      <c r="N55" s="179" t="s">
        <v>304</v>
      </c>
      <c r="O55" s="185" t="s">
        <v>305</v>
      </c>
      <c r="P55" s="426" t="s">
        <v>306</v>
      </c>
      <c r="Q55" s="427"/>
      <c r="R55" s="426" t="s">
        <v>303</v>
      </c>
      <c r="S55" s="428"/>
      <c r="T55" s="428"/>
      <c r="U55" s="427"/>
      <c r="V55" s="396" t="s">
        <v>120</v>
      </c>
      <c r="W55" s="396"/>
      <c r="X55" s="396"/>
      <c r="Y55" s="396"/>
      <c r="Z55" s="396"/>
      <c r="AA55" s="396"/>
      <c r="AB55" s="396"/>
      <c r="AC55" s="396"/>
      <c r="AD55" s="417"/>
    </row>
    <row r="56" spans="1:32" ht="27" customHeight="1">
      <c r="A56" s="412"/>
      <c r="B56" s="413"/>
      <c r="C56" s="180"/>
      <c r="D56" s="180"/>
      <c r="E56" s="180"/>
      <c r="F56" s="414"/>
      <c r="G56" s="415"/>
      <c r="H56" s="415"/>
      <c r="I56" s="415"/>
      <c r="J56" s="415"/>
      <c r="K56" s="415"/>
      <c r="L56" s="415"/>
      <c r="M56" s="416"/>
      <c r="N56" s="179"/>
      <c r="O56" s="185"/>
      <c r="P56" s="426"/>
      <c r="Q56" s="427"/>
      <c r="R56" s="413"/>
      <c r="S56" s="413"/>
      <c r="T56" s="413"/>
      <c r="U56" s="413"/>
      <c r="V56" s="396"/>
      <c r="W56" s="396"/>
      <c r="X56" s="396"/>
      <c r="Y56" s="396"/>
      <c r="Z56" s="396"/>
      <c r="AA56" s="396"/>
      <c r="AB56" s="396"/>
      <c r="AC56" s="396"/>
      <c r="AD56" s="417"/>
    </row>
    <row r="57" spans="1:32" ht="27" customHeight="1">
      <c r="A57" s="412"/>
      <c r="B57" s="413"/>
      <c r="C57" s="180"/>
      <c r="D57" s="180"/>
      <c r="E57" s="180"/>
      <c r="F57" s="414"/>
      <c r="G57" s="415"/>
      <c r="H57" s="415"/>
      <c r="I57" s="415"/>
      <c r="J57" s="415"/>
      <c r="K57" s="415"/>
      <c r="L57" s="415"/>
      <c r="M57" s="416"/>
      <c r="N57" s="179"/>
      <c r="O57" s="185"/>
      <c r="P57" s="426"/>
      <c r="Q57" s="427"/>
      <c r="R57" s="413"/>
      <c r="S57" s="413"/>
      <c r="T57" s="413"/>
      <c r="U57" s="413"/>
      <c r="V57" s="396"/>
      <c r="W57" s="396"/>
      <c r="X57" s="396"/>
      <c r="Y57" s="396"/>
      <c r="Z57" s="396"/>
      <c r="AA57" s="396"/>
      <c r="AB57" s="396"/>
      <c r="AC57" s="396"/>
      <c r="AD57" s="417"/>
    </row>
    <row r="58" spans="1:32" ht="27" customHeight="1">
      <c r="A58" s="412"/>
      <c r="B58" s="413"/>
      <c r="C58" s="180"/>
      <c r="D58" s="180"/>
      <c r="E58" s="180"/>
      <c r="F58" s="414"/>
      <c r="G58" s="415"/>
      <c r="H58" s="415"/>
      <c r="I58" s="415"/>
      <c r="J58" s="415"/>
      <c r="K58" s="415"/>
      <c r="L58" s="415"/>
      <c r="M58" s="416"/>
      <c r="N58" s="179"/>
      <c r="O58" s="185"/>
      <c r="P58" s="426"/>
      <c r="Q58" s="427"/>
      <c r="R58" s="413"/>
      <c r="S58" s="413"/>
      <c r="T58" s="413"/>
      <c r="U58" s="413"/>
      <c r="V58" s="396"/>
      <c r="W58" s="396"/>
      <c r="X58" s="396"/>
      <c r="Y58" s="396"/>
      <c r="Z58" s="396"/>
      <c r="AA58" s="396"/>
      <c r="AB58" s="396"/>
      <c r="AC58" s="396"/>
      <c r="AD58" s="417"/>
    </row>
    <row r="59" spans="1:32" ht="27" customHeight="1">
      <c r="A59" s="412"/>
      <c r="B59" s="413"/>
      <c r="C59" s="180"/>
      <c r="D59" s="180"/>
      <c r="E59" s="180"/>
      <c r="F59" s="414"/>
      <c r="G59" s="415"/>
      <c r="H59" s="415"/>
      <c r="I59" s="415"/>
      <c r="J59" s="415"/>
      <c r="K59" s="415"/>
      <c r="L59" s="415"/>
      <c r="M59" s="416"/>
      <c r="N59" s="179"/>
      <c r="O59" s="185"/>
      <c r="P59" s="413"/>
      <c r="Q59" s="413"/>
      <c r="R59" s="413"/>
      <c r="S59" s="413"/>
      <c r="T59" s="413"/>
      <c r="U59" s="413"/>
      <c r="V59" s="396"/>
      <c r="W59" s="396"/>
      <c r="X59" s="396"/>
      <c r="Y59" s="396"/>
      <c r="Z59" s="396"/>
      <c r="AA59" s="396"/>
      <c r="AB59" s="396"/>
      <c r="AC59" s="396"/>
      <c r="AD59" s="417"/>
      <c r="AF59" s="87">
        <f>8*3000</f>
        <v>24000</v>
      </c>
    </row>
    <row r="60" spans="1:32" ht="27" customHeight="1" thickBot="1">
      <c r="A60" s="418"/>
      <c r="B60" s="419"/>
      <c r="C60" s="181"/>
      <c r="D60" s="182"/>
      <c r="E60" s="182"/>
      <c r="F60" s="420"/>
      <c r="G60" s="421"/>
      <c r="H60" s="421"/>
      <c r="I60" s="421"/>
      <c r="J60" s="421"/>
      <c r="K60" s="421"/>
      <c r="L60" s="421"/>
      <c r="M60" s="422"/>
      <c r="N60" s="124"/>
      <c r="O60" s="114"/>
      <c r="P60" s="423"/>
      <c r="Q60" s="423"/>
      <c r="R60" s="423"/>
      <c r="S60" s="423"/>
      <c r="T60" s="423"/>
      <c r="U60" s="423"/>
      <c r="V60" s="424"/>
      <c r="W60" s="424"/>
      <c r="X60" s="424"/>
      <c r="Y60" s="424"/>
      <c r="Z60" s="424"/>
      <c r="AA60" s="424"/>
      <c r="AB60" s="424"/>
      <c r="AC60" s="424"/>
      <c r="AD60" s="425"/>
      <c r="AF60" s="87">
        <f>16*3000</f>
        <v>48000</v>
      </c>
    </row>
    <row r="61" spans="1:32" ht="27.75" thickBot="1">
      <c r="A61" s="410" t="s">
        <v>307</v>
      </c>
      <c r="B61" s="410"/>
      <c r="C61" s="410"/>
      <c r="D61" s="410"/>
      <c r="E61" s="410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1" t="s">
        <v>113</v>
      </c>
      <c r="B62" s="406"/>
      <c r="C62" s="183" t="s">
        <v>2</v>
      </c>
      <c r="D62" s="183" t="s">
        <v>37</v>
      </c>
      <c r="E62" s="183" t="s">
        <v>3</v>
      </c>
      <c r="F62" s="406" t="s">
        <v>110</v>
      </c>
      <c r="G62" s="406"/>
      <c r="H62" s="406"/>
      <c r="I62" s="406"/>
      <c r="J62" s="406"/>
      <c r="K62" s="406" t="s">
        <v>39</v>
      </c>
      <c r="L62" s="406"/>
      <c r="M62" s="183" t="s">
        <v>40</v>
      </c>
      <c r="N62" s="406" t="s">
        <v>41</v>
      </c>
      <c r="O62" s="406"/>
      <c r="P62" s="403" t="s">
        <v>42</v>
      </c>
      <c r="Q62" s="405"/>
      <c r="R62" s="403" t="s">
        <v>43</v>
      </c>
      <c r="S62" s="404"/>
      <c r="T62" s="404"/>
      <c r="U62" s="404"/>
      <c r="V62" s="404"/>
      <c r="W62" s="404"/>
      <c r="X62" s="404"/>
      <c r="Y62" s="404"/>
      <c r="Z62" s="404"/>
      <c r="AA62" s="405"/>
      <c r="AB62" s="406" t="s">
        <v>44</v>
      </c>
      <c r="AC62" s="406"/>
      <c r="AD62" s="407"/>
      <c r="AF62" s="87">
        <f>SUM(AF59:AF61)</f>
        <v>96000</v>
      </c>
    </row>
    <row r="63" spans="1:32" ht="25.5" customHeight="1">
      <c r="A63" s="389">
        <v>1</v>
      </c>
      <c r="B63" s="390"/>
      <c r="C63" s="117" t="s">
        <v>114</v>
      </c>
      <c r="D63" s="187"/>
      <c r="E63" s="184" t="s">
        <v>119</v>
      </c>
      <c r="F63" s="391" t="s">
        <v>308</v>
      </c>
      <c r="G63" s="383"/>
      <c r="H63" s="383"/>
      <c r="I63" s="383"/>
      <c r="J63" s="383"/>
      <c r="K63" s="383">
        <v>7301</v>
      </c>
      <c r="L63" s="383"/>
      <c r="M63" s="51" t="s">
        <v>309</v>
      </c>
      <c r="N63" s="401" t="s">
        <v>310</v>
      </c>
      <c r="O63" s="401"/>
      <c r="P63" s="402">
        <v>42</v>
      </c>
      <c r="Q63" s="402"/>
      <c r="R63" s="396"/>
      <c r="S63" s="396"/>
      <c r="T63" s="396"/>
      <c r="U63" s="396"/>
      <c r="V63" s="396"/>
      <c r="W63" s="396"/>
      <c r="X63" s="396"/>
      <c r="Y63" s="396"/>
      <c r="Z63" s="396"/>
      <c r="AA63" s="396"/>
      <c r="AB63" s="400"/>
      <c r="AC63" s="408"/>
      <c r="AD63" s="409"/>
      <c r="AF63" s="50"/>
    </row>
    <row r="64" spans="1:32" ht="25.5" customHeight="1">
      <c r="A64" s="389">
        <v>2</v>
      </c>
      <c r="B64" s="390"/>
      <c r="C64" s="117" t="s">
        <v>304</v>
      </c>
      <c r="D64" s="187"/>
      <c r="E64" s="184" t="s">
        <v>315</v>
      </c>
      <c r="F64" s="391" t="s">
        <v>311</v>
      </c>
      <c r="G64" s="383"/>
      <c r="H64" s="383"/>
      <c r="I64" s="383"/>
      <c r="J64" s="383"/>
      <c r="K64" s="383" t="s">
        <v>312</v>
      </c>
      <c r="L64" s="383"/>
      <c r="M64" s="51" t="s">
        <v>313</v>
      </c>
      <c r="N64" s="401" t="s">
        <v>314</v>
      </c>
      <c r="O64" s="401"/>
      <c r="P64" s="402">
        <v>50</v>
      </c>
      <c r="Q64" s="402"/>
      <c r="R64" s="396"/>
      <c r="S64" s="396"/>
      <c r="T64" s="396"/>
      <c r="U64" s="396"/>
      <c r="V64" s="396"/>
      <c r="W64" s="396"/>
      <c r="X64" s="396"/>
      <c r="Y64" s="396"/>
      <c r="Z64" s="396"/>
      <c r="AA64" s="396"/>
      <c r="AB64" s="383"/>
      <c r="AC64" s="383"/>
      <c r="AD64" s="384"/>
      <c r="AF64" s="50"/>
    </row>
    <row r="65" spans="1:32" ht="25.5" customHeight="1">
      <c r="A65" s="389">
        <v>3</v>
      </c>
      <c r="B65" s="390"/>
      <c r="C65" s="117"/>
      <c r="D65" s="187"/>
      <c r="E65" s="184"/>
      <c r="F65" s="397"/>
      <c r="G65" s="398"/>
      <c r="H65" s="398"/>
      <c r="I65" s="398"/>
      <c r="J65" s="399"/>
      <c r="K65" s="383"/>
      <c r="L65" s="383"/>
      <c r="M65" s="51"/>
      <c r="N65" s="401"/>
      <c r="O65" s="401"/>
      <c r="P65" s="402"/>
      <c r="Q65" s="402"/>
      <c r="R65" s="396"/>
      <c r="S65" s="396"/>
      <c r="T65" s="396"/>
      <c r="U65" s="396"/>
      <c r="V65" s="396"/>
      <c r="W65" s="396"/>
      <c r="X65" s="396"/>
      <c r="Y65" s="396"/>
      <c r="Z65" s="396"/>
      <c r="AA65" s="396"/>
      <c r="AB65" s="383"/>
      <c r="AC65" s="383"/>
      <c r="AD65" s="384"/>
      <c r="AF65" s="50"/>
    </row>
    <row r="66" spans="1:32" ht="25.5" customHeight="1">
      <c r="A66" s="389">
        <v>4</v>
      </c>
      <c r="B66" s="390"/>
      <c r="C66" s="117"/>
      <c r="D66" s="187"/>
      <c r="E66" s="184"/>
      <c r="F66" s="397"/>
      <c r="G66" s="398"/>
      <c r="H66" s="398"/>
      <c r="I66" s="398"/>
      <c r="J66" s="399"/>
      <c r="K66" s="383"/>
      <c r="L66" s="383"/>
      <c r="M66" s="51"/>
      <c r="N66" s="401"/>
      <c r="O66" s="401"/>
      <c r="P66" s="402"/>
      <c r="Q66" s="402"/>
      <c r="R66" s="396"/>
      <c r="S66" s="396"/>
      <c r="T66" s="396"/>
      <c r="U66" s="396"/>
      <c r="V66" s="396"/>
      <c r="W66" s="396"/>
      <c r="X66" s="396"/>
      <c r="Y66" s="396"/>
      <c r="Z66" s="396"/>
      <c r="AA66" s="396"/>
      <c r="AB66" s="383"/>
      <c r="AC66" s="383"/>
      <c r="AD66" s="384"/>
      <c r="AF66" s="50"/>
    </row>
    <row r="67" spans="1:32" ht="25.5" customHeight="1">
      <c r="A67" s="389">
        <v>5</v>
      </c>
      <c r="B67" s="390"/>
      <c r="C67" s="117"/>
      <c r="D67" s="187"/>
      <c r="E67" s="184"/>
      <c r="F67" s="397"/>
      <c r="G67" s="398"/>
      <c r="H67" s="398"/>
      <c r="I67" s="398"/>
      <c r="J67" s="399"/>
      <c r="K67" s="400"/>
      <c r="L67" s="390"/>
      <c r="M67" s="51"/>
      <c r="N67" s="401"/>
      <c r="O67" s="401"/>
      <c r="P67" s="402"/>
      <c r="Q67" s="402"/>
      <c r="R67" s="396"/>
      <c r="S67" s="396"/>
      <c r="T67" s="396"/>
      <c r="U67" s="396"/>
      <c r="V67" s="396"/>
      <c r="W67" s="396"/>
      <c r="X67" s="396"/>
      <c r="Y67" s="396"/>
      <c r="Z67" s="396"/>
      <c r="AA67" s="396"/>
      <c r="AB67" s="383"/>
      <c r="AC67" s="383"/>
      <c r="AD67" s="384"/>
      <c r="AF67" s="50"/>
    </row>
    <row r="68" spans="1:32" ht="25.5" customHeight="1">
      <c r="A68" s="389">
        <v>6</v>
      </c>
      <c r="B68" s="390"/>
      <c r="C68" s="117"/>
      <c r="D68" s="187"/>
      <c r="E68" s="184"/>
      <c r="F68" s="391"/>
      <c r="G68" s="383"/>
      <c r="H68" s="383"/>
      <c r="I68" s="383"/>
      <c r="J68" s="383"/>
      <c r="K68" s="383"/>
      <c r="L68" s="383"/>
      <c r="M68" s="51"/>
      <c r="N68" s="392"/>
      <c r="O68" s="393"/>
      <c r="P68" s="394"/>
      <c r="Q68" s="395"/>
      <c r="R68" s="396"/>
      <c r="S68" s="396"/>
      <c r="T68" s="396"/>
      <c r="U68" s="396"/>
      <c r="V68" s="396"/>
      <c r="W68" s="396"/>
      <c r="X68" s="396"/>
      <c r="Y68" s="396"/>
      <c r="Z68" s="396"/>
      <c r="AA68" s="396"/>
      <c r="AB68" s="383"/>
      <c r="AC68" s="383"/>
      <c r="AD68" s="384"/>
      <c r="AF68" s="50"/>
    </row>
    <row r="69" spans="1:32" ht="25.5" customHeight="1">
      <c r="A69" s="389">
        <v>7</v>
      </c>
      <c r="B69" s="390"/>
      <c r="C69" s="117"/>
      <c r="D69" s="187"/>
      <c r="E69" s="184"/>
      <c r="F69" s="391"/>
      <c r="G69" s="383"/>
      <c r="H69" s="383"/>
      <c r="I69" s="383"/>
      <c r="J69" s="383"/>
      <c r="K69" s="383"/>
      <c r="L69" s="383"/>
      <c r="M69" s="51"/>
      <c r="N69" s="392"/>
      <c r="O69" s="393"/>
      <c r="P69" s="394"/>
      <c r="Q69" s="395"/>
      <c r="R69" s="396"/>
      <c r="S69" s="396"/>
      <c r="T69" s="396"/>
      <c r="U69" s="396"/>
      <c r="V69" s="396"/>
      <c r="W69" s="396"/>
      <c r="X69" s="396"/>
      <c r="Y69" s="396"/>
      <c r="Z69" s="396"/>
      <c r="AA69" s="396"/>
      <c r="AB69" s="383"/>
      <c r="AC69" s="383"/>
      <c r="AD69" s="384"/>
      <c r="AF69" s="50"/>
    </row>
    <row r="70" spans="1:32" ht="25.5" customHeight="1">
      <c r="A70" s="389">
        <v>8</v>
      </c>
      <c r="B70" s="390"/>
      <c r="C70" s="117"/>
      <c r="D70" s="187"/>
      <c r="E70" s="184"/>
      <c r="F70" s="391"/>
      <c r="G70" s="383"/>
      <c r="H70" s="383"/>
      <c r="I70" s="383"/>
      <c r="J70" s="383"/>
      <c r="K70" s="383"/>
      <c r="L70" s="383"/>
      <c r="M70" s="51"/>
      <c r="N70" s="392"/>
      <c r="O70" s="393"/>
      <c r="P70" s="394"/>
      <c r="Q70" s="395"/>
      <c r="R70" s="396"/>
      <c r="S70" s="396"/>
      <c r="T70" s="396"/>
      <c r="U70" s="396"/>
      <c r="V70" s="396"/>
      <c r="W70" s="396"/>
      <c r="X70" s="396"/>
      <c r="Y70" s="396"/>
      <c r="Z70" s="396"/>
      <c r="AA70" s="396"/>
      <c r="AB70" s="383"/>
      <c r="AC70" s="383"/>
      <c r="AD70" s="384"/>
      <c r="AF70" s="50"/>
    </row>
    <row r="71" spans="1:32" ht="26.25" customHeight="1" thickBot="1">
      <c r="A71" s="363" t="s">
        <v>316</v>
      </c>
      <c r="B71" s="363"/>
      <c r="C71" s="363"/>
      <c r="D71" s="363"/>
      <c r="E71" s="363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64" t="s">
        <v>113</v>
      </c>
      <c r="B72" s="365"/>
      <c r="C72" s="186" t="s">
        <v>2</v>
      </c>
      <c r="D72" s="186" t="s">
        <v>37</v>
      </c>
      <c r="E72" s="186" t="s">
        <v>3</v>
      </c>
      <c r="F72" s="365" t="s">
        <v>38</v>
      </c>
      <c r="G72" s="365"/>
      <c r="H72" s="365"/>
      <c r="I72" s="365"/>
      <c r="J72" s="365"/>
      <c r="K72" s="385" t="s">
        <v>58</v>
      </c>
      <c r="L72" s="386"/>
      <c r="M72" s="386"/>
      <c r="N72" s="386"/>
      <c r="O72" s="386"/>
      <c r="P72" s="386"/>
      <c r="Q72" s="386"/>
      <c r="R72" s="386"/>
      <c r="S72" s="387"/>
      <c r="T72" s="365" t="s">
        <v>49</v>
      </c>
      <c r="U72" s="365"/>
      <c r="V72" s="385" t="s">
        <v>50</v>
      </c>
      <c r="W72" s="387"/>
      <c r="X72" s="386" t="s">
        <v>51</v>
      </c>
      <c r="Y72" s="386"/>
      <c r="Z72" s="386"/>
      <c r="AA72" s="386"/>
      <c r="AB72" s="386"/>
      <c r="AC72" s="386"/>
      <c r="AD72" s="388"/>
      <c r="AF72" s="50"/>
    </row>
    <row r="73" spans="1:32" ht="33.75" customHeight="1">
      <c r="A73" s="357">
        <v>1</v>
      </c>
      <c r="B73" s="358"/>
      <c r="C73" s="188" t="s">
        <v>114</v>
      </c>
      <c r="D73" s="188"/>
      <c r="E73" s="65" t="s">
        <v>119</v>
      </c>
      <c r="F73" s="372" t="s">
        <v>118</v>
      </c>
      <c r="G73" s="373"/>
      <c r="H73" s="373"/>
      <c r="I73" s="373"/>
      <c r="J73" s="374"/>
      <c r="K73" s="375" t="s">
        <v>128</v>
      </c>
      <c r="L73" s="376"/>
      <c r="M73" s="376"/>
      <c r="N73" s="376"/>
      <c r="O73" s="376"/>
      <c r="P73" s="376"/>
      <c r="Q73" s="376"/>
      <c r="R73" s="376"/>
      <c r="S73" s="377"/>
      <c r="T73" s="378">
        <v>43675</v>
      </c>
      <c r="U73" s="379"/>
      <c r="V73" s="380"/>
      <c r="W73" s="380"/>
      <c r="X73" s="381"/>
      <c r="Y73" s="381"/>
      <c r="Z73" s="381"/>
      <c r="AA73" s="381"/>
      <c r="AB73" s="381"/>
      <c r="AC73" s="381"/>
      <c r="AD73" s="382"/>
      <c r="AF73" s="50"/>
    </row>
    <row r="74" spans="1:32" ht="30" customHeight="1">
      <c r="A74" s="350">
        <f>A73+1</f>
        <v>2</v>
      </c>
      <c r="B74" s="351"/>
      <c r="C74" s="187"/>
      <c r="D74" s="187"/>
      <c r="E74" s="32"/>
      <c r="F74" s="351"/>
      <c r="G74" s="351"/>
      <c r="H74" s="351"/>
      <c r="I74" s="351"/>
      <c r="J74" s="351"/>
      <c r="K74" s="366"/>
      <c r="L74" s="367"/>
      <c r="M74" s="367"/>
      <c r="N74" s="367"/>
      <c r="O74" s="367"/>
      <c r="P74" s="367"/>
      <c r="Q74" s="367"/>
      <c r="R74" s="367"/>
      <c r="S74" s="368"/>
      <c r="T74" s="369"/>
      <c r="U74" s="369"/>
      <c r="V74" s="369"/>
      <c r="W74" s="369"/>
      <c r="X74" s="370"/>
      <c r="Y74" s="370"/>
      <c r="Z74" s="370"/>
      <c r="AA74" s="370"/>
      <c r="AB74" s="370"/>
      <c r="AC74" s="370"/>
      <c r="AD74" s="371"/>
      <c r="AF74" s="50"/>
    </row>
    <row r="75" spans="1:32" ht="30" customHeight="1">
      <c r="A75" s="350">
        <f t="shared" ref="A75:A81" si="14">A74+1</f>
        <v>3</v>
      </c>
      <c r="B75" s="351"/>
      <c r="C75" s="187"/>
      <c r="D75" s="187"/>
      <c r="E75" s="32"/>
      <c r="F75" s="351"/>
      <c r="G75" s="351"/>
      <c r="H75" s="351"/>
      <c r="I75" s="351"/>
      <c r="J75" s="351"/>
      <c r="K75" s="366"/>
      <c r="L75" s="367"/>
      <c r="M75" s="367"/>
      <c r="N75" s="367"/>
      <c r="O75" s="367"/>
      <c r="P75" s="367"/>
      <c r="Q75" s="367"/>
      <c r="R75" s="367"/>
      <c r="S75" s="368"/>
      <c r="T75" s="369"/>
      <c r="U75" s="369"/>
      <c r="V75" s="369"/>
      <c r="W75" s="369"/>
      <c r="X75" s="370"/>
      <c r="Y75" s="370"/>
      <c r="Z75" s="370"/>
      <c r="AA75" s="370"/>
      <c r="AB75" s="370"/>
      <c r="AC75" s="370"/>
      <c r="AD75" s="371"/>
      <c r="AF75" s="50"/>
    </row>
    <row r="76" spans="1:32" ht="30" customHeight="1">
      <c r="A76" s="350">
        <f t="shared" si="14"/>
        <v>4</v>
      </c>
      <c r="B76" s="351"/>
      <c r="C76" s="187"/>
      <c r="D76" s="187"/>
      <c r="E76" s="32"/>
      <c r="F76" s="351"/>
      <c r="G76" s="351"/>
      <c r="H76" s="351"/>
      <c r="I76" s="351"/>
      <c r="J76" s="351"/>
      <c r="K76" s="366"/>
      <c r="L76" s="367"/>
      <c r="M76" s="367"/>
      <c r="N76" s="367"/>
      <c r="O76" s="367"/>
      <c r="P76" s="367"/>
      <c r="Q76" s="367"/>
      <c r="R76" s="367"/>
      <c r="S76" s="368"/>
      <c r="T76" s="369"/>
      <c r="U76" s="369"/>
      <c r="V76" s="369"/>
      <c r="W76" s="369"/>
      <c r="X76" s="370"/>
      <c r="Y76" s="370"/>
      <c r="Z76" s="370"/>
      <c r="AA76" s="370"/>
      <c r="AB76" s="370"/>
      <c r="AC76" s="370"/>
      <c r="AD76" s="371"/>
      <c r="AF76" s="50"/>
    </row>
    <row r="77" spans="1:32" ht="30" customHeight="1">
      <c r="A77" s="350">
        <f t="shared" si="14"/>
        <v>5</v>
      </c>
      <c r="B77" s="351"/>
      <c r="C77" s="187"/>
      <c r="D77" s="187"/>
      <c r="E77" s="32"/>
      <c r="F77" s="351"/>
      <c r="G77" s="351"/>
      <c r="H77" s="351"/>
      <c r="I77" s="351"/>
      <c r="J77" s="351"/>
      <c r="K77" s="366"/>
      <c r="L77" s="367"/>
      <c r="M77" s="367"/>
      <c r="N77" s="367"/>
      <c r="O77" s="367"/>
      <c r="P77" s="367"/>
      <c r="Q77" s="367"/>
      <c r="R77" s="367"/>
      <c r="S77" s="368"/>
      <c r="T77" s="369"/>
      <c r="U77" s="369"/>
      <c r="V77" s="369"/>
      <c r="W77" s="369"/>
      <c r="X77" s="370"/>
      <c r="Y77" s="370"/>
      <c r="Z77" s="370"/>
      <c r="AA77" s="370"/>
      <c r="AB77" s="370"/>
      <c r="AC77" s="370"/>
      <c r="AD77" s="371"/>
      <c r="AF77" s="50"/>
    </row>
    <row r="78" spans="1:32" ht="30" customHeight="1">
      <c r="A78" s="350">
        <f t="shared" si="14"/>
        <v>6</v>
      </c>
      <c r="B78" s="351"/>
      <c r="C78" s="187"/>
      <c r="D78" s="187"/>
      <c r="E78" s="32"/>
      <c r="F78" s="351"/>
      <c r="G78" s="351"/>
      <c r="H78" s="351"/>
      <c r="I78" s="351"/>
      <c r="J78" s="351"/>
      <c r="K78" s="366"/>
      <c r="L78" s="367"/>
      <c r="M78" s="367"/>
      <c r="N78" s="367"/>
      <c r="O78" s="367"/>
      <c r="P78" s="367"/>
      <c r="Q78" s="367"/>
      <c r="R78" s="367"/>
      <c r="S78" s="368"/>
      <c r="T78" s="369"/>
      <c r="U78" s="369"/>
      <c r="V78" s="369"/>
      <c r="W78" s="369"/>
      <c r="X78" s="370"/>
      <c r="Y78" s="370"/>
      <c r="Z78" s="370"/>
      <c r="AA78" s="370"/>
      <c r="AB78" s="370"/>
      <c r="AC78" s="370"/>
      <c r="AD78" s="371"/>
      <c r="AF78" s="50"/>
    </row>
    <row r="79" spans="1:32" ht="30" customHeight="1">
      <c r="A79" s="350">
        <f t="shared" si="14"/>
        <v>7</v>
      </c>
      <c r="B79" s="351"/>
      <c r="C79" s="187"/>
      <c r="D79" s="187"/>
      <c r="E79" s="32"/>
      <c r="F79" s="351"/>
      <c r="G79" s="351"/>
      <c r="H79" s="351"/>
      <c r="I79" s="351"/>
      <c r="J79" s="351"/>
      <c r="K79" s="366"/>
      <c r="L79" s="367"/>
      <c r="M79" s="367"/>
      <c r="N79" s="367"/>
      <c r="O79" s="367"/>
      <c r="P79" s="367"/>
      <c r="Q79" s="367"/>
      <c r="R79" s="367"/>
      <c r="S79" s="368"/>
      <c r="T79" s="369"/>
      <c r="U79" s="369"/>
      <c r="V79" s="369"/>
      <c r="W79" s="369"/>
      <c r="X79" s="370"/>
      <c r="Y79" s="370"/>
      <c r="Z79" s="370"/>
      <c r="AA79" s="370"/>
      <c r="AB79" s="370"/>
      <c r="AC79" s="370"/>
      <c r="AD79" s="371"/>
      <c r="AF79" s="50"/>
    </row>
    <row r="80" spans="1:32" ht="30" customHeight="1">
      <c r="A80" s="350">
        <f t="shared" si="14"/>
        <v>8</v>
      </c>
      <c r="B80" s="351"/>
      <c r="C80" s="187"/>
      <c r="D80" s="187"/>
      <c r="E80" s="32"/>
      <c r="F80" s="351"/>
      <c r="G80" s="351"/>
      <c r="H80" s="351"/>
      <c r="I80" s="351"/>
      <c r="J80" s="351"/>
      <c r="K80" s="366"/>
      <c r="L80" s="367"/>
      <c r="M80" s="367"/>
      <c r="N80" s="367"/>
      <c r="O80" s="367"/>
      <c r="P80" s="367"/>
      <c r="Q80" s="367"/>
      <c r="R80" s="367"/>
      <c r="S80" s="368"/>
      <c r="T80" s="369"/>
      <c r="U80" s="369"/>
      <c r="V80" s="369"/>
      <c r="W80" s="369"/>
      <c r="X80" s="370"/>
      <c r="Y80" s="370"/>
      <c r="Z80" s="370"/>
      <c r="AA80" s="370"/>
      <c r="AB80" s="370"/>
      <c r="AC80" s="370"/>
      <c r="AD80" s="371"/>
      <c r="AF80" s="50"/>
    </row>
    <row r="81" spans="1:32" ht="30" customHeight="1">
      <c r="A81" s="350">
        <f t="shared" si="14"/>
        <v>9</v>
      </c>
      <c r="B81" s="351"/>
      <c r="C81" s="187"/>
      <c r="D81" s="187"/>
      <c r="E81" s="32"/>
      <c r="F81" s="351"/>
      <c r="G81" s="351"/>
      <c r="H81" s="351"/>
      <c r="I81" s="351"/>
      <c r="J81" s="351"/>
      <c r="K81" s="366"/>
      <c r="L81" s="367"/>
      <c r="M81" s="367"/>
      <c r="N81" s="367"/>
      <c r="O81" s="367"/>
      <c r="P81" s="367"/>
      <c r="Q81" s="367"/>
      <c r="R81" s="367"/>
      <c r="S81" s="368"/>
      <c r="T81" s="369"/>
      <c r="U81" s="369"/>
      <c r="V81" s="369"/>
      <c r="W81" s="369"/>
      <c r="X81" s="370"/>
      <c r="Y81" s="370"/>
      <c r="Z81" s="370"/>
      <c r="AA81" s="370"/>
      <c r="AB81" s="370"/>
      <c r="AC81" s="370"/>
      <c r="AD81" s="371"/>
      <c r="AF81" s="50"/>
    </row>
    <row r="82" spans="1:32" ht="36" thickBot="1">
      <c r="A82" s="363" t="s">
        <v>317</v>
      </c>
      <c r="B82" s="363"/>
      <c r="C82" s="363"/>
      <c r="D82" s="363"/>
      <c r="E82" s="363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64" t="s">
        <v>113</v>
      </c>
      <c r="B83" s="365"/>
      <c r="C83" s="355" t="s">
        <v>52</v>
      </c>
      <c r="D83" s="355"/>
      <c r="E83" s="355" t="s">
        <v>53</v>
      </c>
      <c r="F83" s="355"/>
      <c r="G83" s="355"/>
      <c r="H83" s="355"/>
      <c r="I83" s="355"/>
      <c r="J83" s="355"/>
      <c r="K83" s="355" t="s">
        <v>54</v>
      </c>
      <c r="L83" s="355"/>
      <c r="M83" s="355"/>
      <c r="N83" s="355"/>
      <c r="O83" s="355"/>
      <c r="P83" s="355"/>
      <c r="Q83" s="355"/>
      <c r="R83" s="355"/>
      <c r="S83" s="355"/>
      <c r="T83" s="355" t="s">
        <v>55</v>
      </c>
      <c r="U83" s="355"/>
      <c r="V83" s="355" t="s">
        <v>56</v>
      </c>
      <c r="W83" s="355"/>
      <c r="X83" s="355"/>
      <c r="Y83" s="355" t="s">
        <v>51</v>
      </c>
      <c r="Z83" s="355"/>
      <c r="AA83" s="355"/>
      <c r="AB83" s="355"/>
      <c r="AC83" s="355"/>
      <c r="AD83" s="356"/>
      <c r="AF83" s="50"/>
    </row>
    <row r="84" spans="1:32" ht="30.75" customHeight="1">
      <c r="A84" s="357">
        <v>1</v>
      </c>
      <c r="B84" s="358"/>
      <c r="C84" s="359"/>
      <c r="D84" s="359"/>
      <c r="E84" s="359"/>
      <c r="F84" s="359"/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/>
      <c r="R84" s="359"/>
      <c r="S84" s="359"/>
      <c r="T84" s="359"/>
      <c r="U84" s="359"/>
      <c r="V84" s="360"/>
      <c r="W84" s="360"/>
      <c r="X84" s="360"/>
      <c r="Y84" s="361"/>
      <c r="Z84" s="361"/>
      <c r="AA84" s="361"/>
      <c r="AB84" s="361"/>
      <c r="AC84" s="361"/>
      <c r="AD84" s="362"/>
      <c r="AF84" s="50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0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8C23-B7D1-4890-8CE8-49075DD39763}">
  <dimension ref="A1:AF86"/>
  <sheetViews>
    <sheetView zoomScale="72" zoomScaleNormal="72" zoomScaleSheetLayoutView="70" workbookViewId="0">
      <selection activeCell="L8" sqref="L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58" t="s">
        <v>318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8"/>
      <c r="B2" s="458"/>
      <c r="C2" s="458"/>
      <c r="D2" s="458"/>
      <c r="E2" s="458"/>
      <c r="F2" s="458"/>
      <c r="G2" s="458"/>
      <c r="H2" s="458"/>
      <c r="I2" s="458"/>
      <c r="J2" s="458"/>
      <c r="K2" s="458"/>
      <c r="L2" s="458"/>
      <c r="M2" s="458"/>
      <c r="N2" s="458"/>
      <c r="O2" s="45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9"/>
      <c r="B3" s="459"/>
      <c r="C3" s="459"/>
      <c r="D3" s="459"/>
      <c r="E3" s="459"/>
      <c r="F3" s="459"/>
      <c r="G3" s="45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0" t="s">
        <v>0</v>
      </c>
      <c r="B4" s="462" t="s">
        <v>1</v>
      </c>
      <c r="C4" s="462" t="s">
        <v>2</v>
      </c>
      <c r="D4" s="465" t="s">
        <v>3</v>
      </c>
      <c r="E4" s="467" t="s">
        <v>4</v>
      </c>
      <c r="F4" s="465" t="s">
        <v>5</v>
      </c>
      <c r="G4" s="462" t="s">
        <v>6</v>
      </c>
      <c r="H4" s="468" t="s">
        <v>7</v>
      </c>
      <c r="I4" s="448" t="s">
        <v>8</v>
      </c>
      <c r="J4" s="449"/>
      <c r="K4" s="449"/>
      <c r="L4" s="449"/>
      <c r="M4" s="449"/>
      <c r="N4" s="449"/>
      <c r="O4" s="450"/>
      <c r="P4" s="451" t="s">
        <v>9</v>
      </c>
      <c r="Q4" s="452"/>
      <c r="R4" s="453" t="s">
        <v>10</v>
      </c>
      <c r="S4" s="453"/>
      <c r="T4" s="453"/>
      <c r="U4" s="453"/>
      <c r="V4" s="453"/>
      <c r="W4" s="454" t="s">
        <v>11</v>
      </c>
      <c r="X4" s="453"/>
      <c r="Y4" s="453"/>
      <c r="Z4" s="453"/>
      <c r="AA4" s="455"/>
      <c r="AB4" s="456" t="s">
        <v>12</v>
      </c>
      <c r="AC4" s="429" t="s">
        <v>13</v>
      </c>
      <c r="AD4" s="429" t="s">
        <v>14</v>
      </c>
      <c r="AE4" s="54"/>
    </row>
    <row r="5" spans="1:32" ht="51" customHeight="1" thickBot="1">
      <c r="A5" s="461"/>
      <c r="B5" s="463"/>
      <c r="C5" s="464"/>
      <c r="D5" s="466"/>
      <c r="E5" s="466"/>
      <c r="F5" s="466"/>
      <c r="G5" s="463"/>
      <c r="H5" s="469"/>
      <c r="I5" s="55" t="s">
        <v>15</v>
      </c>
      <c r="J5" s="56" t="s">
        <v>16</v>
      </c>
      <c r="K5" s="201" t="s">
        <v>17</v>
      </c>
      <c r="L5" s="201" t="s">
        <v>18</v>
      </c>
      <c r="M5" s="201" t="s">
        <v>19</v>
      </c>
      <c r="N5" s="20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57"/>
      <c r="AC5" s="430"/>
      <c r="AD5" s="43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0.40555555555555561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126</v>
      </c>
      <c r="D7" s="52" t="s">
        <v>127</v>
      </c>
      <c r="E7" s="53" t="s">
        <v>125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0.40555555555555561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123</v>
      </c>
      <c r="D8" s="52" t="s">
        <v>146</v>
      </c>
      <c r="E8" s="53" t="s">
        <v>151</v>
      </c>
      <c r="F8" s="30" t="s">
        <v>140</v>
      </c>
      <c r="G8" s="33">
        <v>2</v>
      </c>
      <c r="H8" s="35">
        <v>24</v>
      </c>
      <c r="I8" s="7">
        <v>2000</v>
      </c>
      <c r="J8" s="14">
        <v>7228</v>
      </c>
      <c r="K8" s="15">
        <f>L8+7228</f>
        <v>7228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0.40555555555555561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275</v>
      </c>
      <c r="E9" s="53" t="s">
        <v>319</v>
      </c>
      <c r="F9" s="30" t="s">
        <v>132</v>
      </c>
      <c r="G9" s="33">
        <v>4</v>
      </c>
      <c r="H9" s="35">
        <v>24</v>
      </c>
      <c r="I9" s="7">
        <v>50000</v>
      </c>
      <c r="J9" s="14">
        <v>2020</v>
      </c>
      <c r="K9" s="15">
        <f>L9</f>
        <v>0</v>
      </c>
      <c r="L9" s="15"/>
      <c r="M9" s="15">
        <f t="shared" si="1"/>
        <v>0</v>
      </c>
      <c r="N9" s="15">
        <v>0</v>
      </c>
      <c r="O9" s="58" t="str">
        <f t="shared" si="2"/>
        <v>0</v>
      </c>
      <c r="P9" s="39" t="str">
        <f t="shared" si="3"/>
        <v>0</v>
      </c>
      <c r="Q9" s="40">
        <f t="shared" si="4"/>
        <v>24</v>
      </c>
      <c r="R9" s="7"/>
      <c r="S9" s="6">
        <v>24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0</v>
      </c>
      <c r="AC9" s="9">
        <f t="shared" si="6"/>
        <v>0</v>
      </c>
      <c r="AD9" s="10">
        <f t="shared" si="7"/>
        <v>0</v>
      </c>
      <c r="AE9" s="36">
        <f t="shared" si="8"/>
        <v>0.40555555555555561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131</v>
      </c>
      <c r="D10" s="52" t="s">
        <v>150</v>
      </c>
      <c r="E10" s="53" t="s">
        <v>152</v>
      </c>
      <c r="F10" s="30" t="s">
        <v>121</v>
      </c>
      <c r="G10" s="33">
        <v>2</v>
      </c>
      <c r="H10" s="35">
        <v>24</v>
      </c>
      <c r="I10" s="7">
        <v>130000</v>
      </c>
      <c r="J10" s="5">
        <v>4868</v>
      </c>
      <c r="K10" s="15">
        <f>L10+13288+10116+14610+5976+7143+12482+1676+11964+11004+13758+11480</f>
        <v>118365</v>
      </c>
      <c r="L10" s="15">
        <f>2434*2</f>
        <v>4868</v>
      </c>
      <c r="M10" s="15">
        <f t="shared" si="1"/>
        <v>4868</v>
      </c>
      <c r="N10" s="15">
        <v>0</v>
      </c>
      <c r="O10" s="58">
        <f t="shared" si="2"/>
        <v>0</v>
      </c>
      <c r="P10" s="39">
        <f t="shared" si="3"/>
        <v>9</v>
      </c>
      <c r="Q10" s="40">
        <f t="shared" si="4"/>
        <v>15</v>
      </c>
      <c r="R10" s="7"/>
      <c r="S10" s="6">
        <v>15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0.375</v>
      </c>
      <c r="AD10" s="10">
        <f>AC10*AB10*(1-O10)</f>
        <v>0.375</v>
      </c>
      <c r="AE10" s="36">
        <f t="shared" si="8"/>
        <v>0.40555555555555561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158</v>
      </c>
      <c r="D11" s="52" t="s">
        <v>198</v>
      </c>
      <c r="E11" s="53" t="s">
        <v>199</v>
      </c>
      <c r="F11" s="30" t="s">
        <v>162</v>
      </c>
      <c r="G11" s="33">
        <v>2</v>
      </c>
      <c r="H11" s="35">
        <v>24</v>
      </c>
      <c r="I11" s="7">
        <v>42000</v>
      </c>
      <c r="J11" s="5">
        <v>13998</v>
      </c>
      <c r="K11" s="15">
        <f>L11+12678+12678+14268</f>
        <v>53622</v>
      </c>
      <c r="L11" s="15">
        <f>3355*2+3644*2</f>
        <v>13998</v>
      </c>
      <c r="M11" s="15">
        <f t="shared" si="1"/>
        <v>13998</v>
      </c>
      <c r="N11" s="15">
        <v>0</v>
      </c>
      <c r="O11" s="58">
        <f t="shared" si="2"/>
        <v>0</v>
      </c>
      <c r="P11" s="39">
        <f t="shared" si="3"/>
        <v>24</v>
      </c>
      <c r="Q11" s="40">
        <f t="shared" si="4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1</v>
      </c>
      <c r="AD11" s="10">
        <f>AC11*AB11*(1-O11)</f>
        <v>1</v>
      </c>
      <c r="AE11" s="36">
        <f t="shared" si="8"/>
        <v>0.40555555555555561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320</v>
      </c>
      <c r="F12" s="30" t="s">
        <v>122</v>
      </c>
      <c r="G12" s="33">
        <v>1</v>
      </c>
      <c r="H12" s="35">
        <v>24</v>
      </c>
      <c r="I12" s="7">
        <v>500</v>
      </c>
      <c r="J12" s="14">
        <v>581</v>
      </c>
      <c r="K12" s="15">
        <f>L12</f>
        <v>581</v>
      </c>
      <c r="L12" s="15">
        <f>581</f>
        <v>581</v>
      </c>
      <c r="M12" s="15">
        <f t="shared" si="1"/>
        <v>581</v>
      </c>
      <c r="N12" s="15">
        <v>0</v>
      </c>
      <c r="O12" s="58">
        <f t="shared" si="2"/>
        <v>0</v>
      </c>
      <c r="P12" s="39">
        <f t="shared" si="3"/>
        <v>4</v>
      </c>
      <c r="Q12" s="40">
        <f t="shared" si="4"/>
        <v>20</v>
      </c>
      <c r="R12" s="7"/>
      <c r="S12" s="6"/>
      <c r="T12" s="16"/>
      <c r="U12" s="16"/>
      <c r="V12" s="17"/>
      <c r="W12" s="5">
        <v>20</v>
      </c>
      <c r="X12" s="16"/>
      <c r="Y12" s="16"/>
      <c r="Z12" s="16"/>
      <c r="AA12" s="18"/>
      <c r="AB12" s="8">
        <f t="shared" si="5"/>
        <v>1</v>
      </c>
      <c r="AC12" s="9">
        <f t="shared" si="6"/>
        <v>0.16666666666666666</v>
      </c>
      <c r="AD12" s="10">
        <f t="shared" ref="AD12:AD14" si="10">AC12*AB12*(1-O12)</f>
        <v>0.16666666666666666</v>
      </c>
      <c r="AE12" s="36">
        <f t="shared" si="8"/>
        <v>0.40555555555555561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117</v>
      </c>
      <c r="E13" s="53" t="s">
        <v>143</v>
      </c>
      <c r="F13" s="30" t="s">
        <v>138</v>
      </c>
      <c r="G13" s="33">
        <v>4</v>
      </c>
      <c r="H13" s="35">
        <v>24</v>
      </c>
      <c r="I13" s="7">
        <v>850000</v>
      </c>
      <c r="J13" s="14">
        <v>15116</v>
      </c>
      <c r="K13" s="15">
        <f>L13+20676+20704+882+19912+11748+21560+18812+17048+21840+19920+21784</f>
        <v>210002</v>
      </c>
      <c r="L13" s="15">
        <f>2390*4+1389*4</f>
        <v>15116</v>
      </c>
      <c r="M13" s="15">
        <f t="shared" si="1"/>
        <v>15116</v>
      </c>
      <c r="N13" s="15">
        <v>0</v>
      </c>
      <c r="O13" s="58">
        <f t="shared" si="2"/>
        <v>0</v>
      </c>
      <c r="P13" s="39">
        <f t="shared" si="3"/>
        <v>17</v>
      </c>
      <c r="Q13" s="40">
        <f t="shared" si="4"/>
        <v>7</v>
      </c>
      <c r="R13" s="7">
        <v>4</v>
      </c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0.70833333333333337</v>
      </c>
      <c r="AD13" s="10">
        <f t="shared" si="10"/>
        <v>0.70833333333333337</v>
      </c>
      <c r="AE13" s="36">
        <f t="shared" si="8"/>
        <v>0.40555555555555561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246</v>
      </c>
      <c r="F14" s="30" t="s">
        <v>247</v>
      </c>
      <c r="G14" s="33">
        <v>1</v>
      </c>
      <c r="H14" s="35">
        <v>24</v>
      </c>
      <c r="I14" s="7">
        <v>800</v>
      </c>
      <c r="J14" s="5">
        <v>367</v>
      </c>
      <c r="K14" s="15">
        <f>L14+689+367</f>
        <v>1056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10"/>
        <v>0</v>
      </c>
      <c r="AE14" s="36">
        <f t="shared" si="8"/>
        <v>0.40555555555555561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300</v>
      </c>
      <c r="D15" s="52" t="s">
        <v>302</v>
      </c>
      <c r="E15" s="53" t="s">
        <v>299</v>
      </c>
      <c r="F15" s="12" t="s">
        <v>321</v>
      </c>
      <c r="G15" s="12">
        <v>4</v>
      </c>
      <c r="H15" s="13">
        <v>24</v>
      </c>
      <c r="I15" s="31">
        <v>20000</v>
      </c>
      <c r="J15" s="14">
        <v>21980</v>
      </c>
      <c r="K15" s="15">
        <f>L15</f>
        <v>21980</v>
      </c>
      <c r="L15" s="15">
        <f>2427*4+3068*4</f>
        <v>21980</v>
      </c>
      <c r="M15" s="15">
        <f t="shared" si="1"/>
        <v>21980</v>
      </c>
      <c r="N15" s="15">
        <v>0</v>
      </c>
      <c r="O15" s="58">
        <f t="shared" si="2"/>
        <v>0</v>
      </c>
      <c r="P15" s="39">
        <f t="shared" si="3"/>
        <v>23</v>
      </c>
      <c r="Q15" s="40">
        <f t="shared" si="4"/>
        <v>1</v>
      </c>
      <c r="R15" s="7"/>
      <c r="S15" s="6"/>
      <c r="T15" s="16">
        <v>1</v>
      </c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0.95833333333333337</v>
      </c>
      <c r="AD15" s="10">
        <f t="shared" si="7"/>
        <v>0.95833333333333337</v>
      </c>
      <c r="AE15" s="36">
        <f t="shared" si="8"/>
        <v>0.40555555555555561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119</v>
      </c>
      <c r="E16" s="53" t="s">
        <v>298</v>
      </c>
      <c r="F16" s="30" t="s">
        <v>140</v>
      </c>
      <c r="G16" s="12">
        <v>1</v>
      </c>
      <c r="H16" s="13">
        <v>28</v>
      </c>
      <c r="I16" s="7">
        <v>500</v>
      </c>
      <c r="J16" s="14">
        <v>1053</v>
      </c>
      <c r="K16" s="15">
        <f>L16</f>
        <v>1053</v>
      </c>
      <c r="L16" s="15">
        <f>1053</f>
        <v>1053</v>
      </c>
      <c r="M16" s="15">
        <f t="shared" si="1"/>
        <v>1053</v>
      </c>
      <c r="N16" s="15">
        <v>0</v>
      </c>
      <c r="O16" s="58">
        <f t="shared" si="2"/>
        <v>0</v>
      </c>
      <c r="P16" s="39">
        <f t="shared" si="3"/>
        <v>6</v>
      </c>
      <c r="Q16" s="40">
        <f t="shared" si="4"/>
        <v>18</v>
      </c>
      <c r="R16" s="7"/>
      <c r="S16" s="6"/>
      <c r="T16" s="16"/>
      <c r="U16" s="16"/>
      <c r="V16" s="17"/>
      <c r="W16" s="5">
        <v>18</v>
      </c>
      <c r="X16" s="16"/>
      <c r="Y16" s="16"/>
      <c r="Z16" s="16"/>
      <c r="AA16" s="18"/>
      <c r="AB16" s="8">
        <f t="shared" si="5"/>
        <v>1</v>
      </c>
      <c r="AC16" s="9">
        <f t="shared" si="6"/>
        <v>0.25</v>
      </c>
      <c r="AD16" s="10">
        <f t="shared" si="7"/>
        <v>0.25</v>
      </c>
      <c r="AE16" s="36">
        <f t="shared" si="8"/>
        <v>0.40555555555555561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123</v>
      </c>
      <c r="D17" s="52" t="s">
        <v>141</v>
      </c>
      <c r="E17" s="53" t="s">
        <v>303</v>
      </c>
      <c r="F17" s="30" t="s">
        <v>322</v>
      </c>
      <c r="G17" s="33">
        <v>1</v>
      </c>
      <c r="H17" s="35">
        <v>24</v>
      </c>
      <c r="I17" s="7">
        <v>2000</v>
      </c>
      <c r="J17" s="5">
        <v>3042</v>
      </c>
      <c r="K17" s="15">
        <f>L17</f>
        <v>3042</v>
      </c>
      <c r="L17" s="15">
        <v>3042</v>
      </c>
      <c r="M17" s="15">
        <f t="shared" si="1"/>
        <v>3042</v>
      </c>
      <c r="N17" s="15">
        <v>0</v>
      </c>
      <c r="O17" s="58">
        <f t="shared" si="2"/>
        <v>0</v>
      </c>
      <c r="P17" s="39">
        <f t="shared" si="3"/>
        <v>15</v>
      </c>
      <c r="Q17" s="40">
        <f t="shared" si="4"/>
        <v>9</v>
      </c>
      <c r="R17" s="7"/>
      <c r="S17" s="6"/>
      <c r="T17" s="16">
        <v>9</v>
      </c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0.625</v>
      </c>
      <c r="AD17" s="10">
        <f t="shared" si="7"/>
        <v>0.625</v>
      </c>
      <c r="AE17" s="36">
        <f t="shared" si="8"/>
        <v>0.40555555555555561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123</v>
      </c>
      <c r="D18" s="52" t="s">
        <v>248</v>
      </c>
      <c r="E18" s="53" t="s">
        <v>249</v>
      </c>
      <c r="F18" s="30" t="s">
        <v>250</v>
      </c>
      <c r="G18" s="33" t="s">
        <v>204</v>
      </c>
      <c r="H18" s="35">
        <v>24</v>
      </c>
      <c r="I18" s="7">
        <v>18000</v>
      </c>
      <c r="J18" s="5">
        <v>4807</v>
      </c>
      <c r="K18" s="15">
        <f>L18+4459+4279+4640</f>
        <v>18185</v>
      </c>
      <c r="L18" s="15">
        <f>2393+2414</f>
        <v>4807</v>
      </c>
      <c r="M18" s="15">
        <f t="shared" si="1"/>
        <v>4807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>AC18*AB18*(1-O18)</f>
        <v>1</v>
      </c>
      <c r="AE18" s="36">
        <f t="shared" si="8"/>
        <v>0.40555555555555561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126</v>
      </c>
      <c r="D19" s="52" t="s">
        <v>202</v>
      </c>
      <c r="E19" s="53" t="s">
        <v>205</v>
      </c>
      <c r="F19" s="30" t="s">
        <v>138</v>
      </c>
      <c r="G19" s="33">
        <v>4</v>
      </c>
      <c r="H19" s="35">
        <v>24</v>
      </c>
      <c r="I19" s="7">
        <v>800000</v>
      </c>
      <c r="J19" s="14">
        <v>21388</v>
      </c>
      <c r="K19" s="15">
        <f>L19+12980+20160+21332+21348+21424</f>
        <v>118632</v>
      </c>
      <c r="L19" s="15">
        <f>2679*4+2668*4</f>
        <v>21388</v>
      </c>
      <c r="M19" s="15">
        <f t="shared" si="1"/>
        <v>21388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ref="AD19" si="11">AC19*AB19*(1-O19)</f>
        <v>1</v>
      </c>
      <c r="AE19" s="36">
        <f t="shared" si="8"/>
        <v>0.40555555555555561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144</v>
      </c>
      <c r="F20" s="12" t="s">
        <v>116</v>
      </c>
      <c r="G20" s="12">
        <v>3</v>
      </c>
      <c r="H20" s="35">
        <v>20</v>
      </c>
      <c r="I20" s="7">
        <v>200000</v>
      </c>
      <c r="J20" s="14">
        <v>34300</v>
      </c>
      <c r="K20" s="15">
        <f>L20+22050+34300</f>
        <v>56350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0.40555555555555561</v>
      </c>
      <c r="AF20" s="87">
        <f t="shared" si="9"/>
        <v>15</v>
      </c>
    </row>
    <row r="21" spans="1:32" ht="31.5" customHeight="1" thickBot="1">
      <c r="A21" s="431" t="s">
        <v>34</v>
      </c>
      <c r="B21" s="432"/>
      <c r="C21" s="432"/>
      <c r="D21" s="432"/>
      <c r="E21" s="432"/>
      <c r="F21" s="432"/>
      <c r="G21" s="432"/>
      <c r="H21" s="433"/>
      <c r="I21" s="22">
        <f t="shared" ref="I21:N21" si="12">SUM(I6:I20)</f>
        <v>2136800</v>
      </c>
      <c r="J21" s="19">
        <f t="shared" si="12"/>
        <v>132809</v>
      </c>
      <c r="K21" s="20">
        <f t="shared" si="12"/>
        <v>621644</v>
      </c>
      <c r="L21" s="21">
        <f t="shared" si="12"/>
        <v>86833</v>
      </c>
      <c r="M21" s="20">
        <f t="shared" si="12"/>
        <v>86833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146</v>
      </c>
      <c r="Q21" s="43">
        <f t="shared" si="13"/>
        <v>214</v>
      </c>
      <c r="R21" s="23">
        <f t="shared" si="13"/>
        <v>28</v>
      </c>
      <c r="S21" s="24">
        <f t="shared" si="13"/>
        <v>42</v>
      </c>
      <c r="T21" s="24">
        <f t="shared" si="13"/>
        <v>10</v>
      </c>
      <c r="U21" s="24">
        <f t="shared" si="13"/>
        <v>0</v>
      </c>
      <c r="V21" s="25">
        <f t="shared" si="13"/>
        <v>24</v>
      </c>
      <c r="W21" s="26">
        <f t="shared" si="13"/>
        <v>110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0.6</v>
      </c>
      <c r="AC21" s="4">
        <f>SUM(AC6:AC20)/15</f>
        <v>0.40555555555555561</v>
      </c>
      <c r="AD21" s="4">
        <f>SUM(AD6:AD20)/15</f>
        <v>0.40555555555555561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34" t="s">
        <v>45</v>
      </c>
      <c r="B48" s="434"/>
      <c r="C48" s="434"/>
      <c r="D48" s="434"/>
      <c r="E48" s="43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35" t="s">
        <v>323</v>
      </c>
      <c r="B49" s="436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7"/>
      <c r="N49" s="438" t="s">
        <v>327</v>
      </c>
      <c r="O49" s="439"/>
      <c r="P49" s="439"/>
      <c r="Q49" s="439"/>
      <c r="R49" s="439"/>
      <c r="S49" s="439"/>
      <c r="T49" s="439"/>
      <c r="U49" s="439"/>
      <c r="V49" s="439"/>
      <c r="W49" s="439"/>
      <c r="X49" s="439"/>
      <c r="Y49" s="439"/>
      <c r="Z49" s="439"/>
      <c r="AA49" s="439"/>
      <c r="AB49" s="439"/>
      <c r="AC49" s="439"/>
      <c r="AD49" s="440"/>
    </row>
    <row r="50" spans="1:32" ht="27" customHeight="1">
      <c r="A50" s="441" t="s">
        <v>2</v>
      </c>
      <c r="B50" s="442"/>
      <c r="C50" s="200" t="s">
        <v>46</v>
      </c>
      <c r="D50" s="200" t="s">
        <v>47</v>
      </c>
      <c r="E50" s="200" t="s">
        <v>108</v>
      </c>
      <c r="F50" s="442" t="s">
        <v>107</v>
      </c>
      <c r="G50" s="442"/>
      <c r="H50" s="442"/>
      <c r="I50" s="442"/>
      <c r="J50" s="442"/>
      <c r="K50" s="442"/>
      <c r="L50" s="442"/>
      <c r="M50" s="443"/>
      <c r="N50" s="67" t="s">
        <v>112</v>
      </c>
      <c r="O50" s="200" t="s">
        <v>46</v>
      </c>
      <c r="P50" s="444" t="s">
        <v>47</v>
      </c>
      <c r="Q50" s="445"/>
      <c r="R50" s="444" t="s">
        <v>38</v>
      </c>
      <c r="S50" s="446"/>
      <c r="T50" s="446"/>
      <c r="U50" s="445"/>
      <c r="V50" s="444" t="s">
        <v>48</v>
      </c>
      <c r="W50" s="446"/>
      <c r="X50" s="446"/>
      <c r="Y50" s="446"/>
      <c r="Z50" s="446"/>
      <c r="AA50" s="446"/>
      <c r="AB50" s="446"/>
      <c r="AC50" s="446"/>
      <c r="AD50" s="447"/>
    </row>
    <row r="51" spans="1:32" ht="27" customHeight="1">
      <c r="A51" s="412" t="s">
        <v>126</v>
      </c>
      <c r="B51" s="413"/>
      <c r="C51" s="197" t="s">
        <v>129</v>
      </c>
      <c r="D51" s="197" t="s">
        <v>275</v>
      </c>
      <c r="E51" s="197" t="s">
        <v>319</v>
      </c>
      <c r="F51" s="414" t="s">
        <v>324</v>
      </c>
      <c r="G51" s="415"/>
      <c r="H51" s="415"/>
      <c r="I51" s="415"/>
      <c r="J51" s="415"/>
      <c r="K51" s="415"/>
      <c r="L51" s="415"/>
      <c r="M51" s="416"/>
      <c r="N51" s="196" t="s">
        <v>131</v>
      </c>
      <c r="O51" s="194" t="s">
        <v>139</v>
      </c>
      <c r="P51" s="426"/>
      <c r="Q51" s="427"/>
      <c r="R51" s="426" t="s">
        <v>152</v>
      </c>
      <c r="S51" s="428"/>
      <c r="T51" s="428"/>
      <c r="U51" s="427"/>
      <c r="V51" s="396" t="s">
        <v>137</v>
      </c>
      <c r="W51" s="396"/>
      <c r="X51" s="396"/>
      <c r="Y51" s="396"/>
      <c r="Z51" s="396"/>
      <c r="AA51" s="396"/>
      <c r="AB51" s="396"/>
      <c r="AC51" s="396"/>
      <c r="AD51" s="417"/>
    </row>
    <row r="52" spans="1:32" ht="27" customHeight="1">
      <c r="A52" s="412" t="s">
        <v>131</v>
      </c>
      <c r="B52" s="413"/>
      <c r="C52" s="197" t="s">
        <v>139</v>
      </c>
      <c r="D52" s="197"/>
      <c r="E52" s="197" t="s">
        <v>152</v>
      </c>
      <c r="F52" s="414" t="s">
        <v>325</v>
      </c>
      <c r="G52" s="415"/>
      <c r="H52" s="415"/>
      <c r="I52" s="415"/>
      <c r="J52" s="415"/>
      <c r="K52" s="415"/>
      <c r="L52" s="415"/>
      <c r="M52" s="416"/>
      <c r="N52" s="196" t="s">
        <v>126</v>
      </c>
      <c r="O52" s="194" t="s">
        <v>129</v>
      </c>
      <c r="P52" s="426"/>
      <c r="Q52" s="427"/>
      <c r="R52" s="426" t="s">
        <v>275</v>
      </c>
      <c r="S52" s="428"/>
      <c r="T52" s="428"/>
      <c r="U52" s="427"/>
      <c r="V52" s="396" t="s">
        <v>137</v>
      </c>
      <c r="W52" s="396"/>
      <c r="X52" s="396"/>
      <c r="Y52" s="396"/>
      <c r="Z52" s="396"/>
      <c r="AA52" s="396"/>
      <c r="AB52" s="396"/>
      <c r="AC52" s="396"/>
      <c r="AD52" s="417"/>
    </row>
    <row r="53" spans="1:32" ht="27" customHeight="1">
      <c r="A53" s="412" t="s">
        <v>126</v>
      </c>
      <c r="B53" s="413"/>
      <c r="C53" s="197" t="s">
        <v>210</v>
      </c>
      <c r="D53" s="197" t="s">
        <v>117</v>
      </c>
      <c r="E53" s="197" t="s">
        <v>211</v>
      </c>
      <c r="F53" s="414" t="s">
        <v>326</v>
      </c>
      <c r="G53" s="415"/>
      <c r="H53" s="415"/>
      <c r="I53" s="415"/>
      <c r="J53" s="415"/>
      <c r="K53" s="415"/>
      <c r="L53" s="415"/>
      <c r="M53" s="416"/>
      <c r="N53" s="196" t="s">
        <v>126</v>
      </c>
      <c r="O53" s="194" t="s">
        <v>210</v>
      </c>
      <c r="P53" s="426" t="s">
        <v>117</v>
      </c>
      <c r="Q53" s="427"/>
      <c r="R53" s="426" t="s">
        <v>211</v>
      </c>
      <c r="S53" s="428"/>
      <c r="T53" s="428"/>
      <c r="U53" s="427"/>
      <c r="V53" s="396" t="s">
        <v>137</v>
      </c>
      <c r="W53" s="396"/>
      <c r="X53" s="396"/>
      <c r="Y53" s="396"/>
      <c r="Z53" s="396"/>
      <c r="AA53" s="396"/>
      <c r="AB53" s="396"/>
      <c r="AC53" s="396"/>
      <c r="AD53" s="417"/>
    </row>
    <row r="54" spans="1:32" ht="27" customHeight="1">
      <c r="A54" s="412" t="s">
        <v>123</v>
      </c>
      <c r="B54" s="413"/>
      <c r="C54" s="197" t="s">
        <v>237</v>
      </c>
      <c r="D54" s="197" t="s">
        <v>141</v>
      </c>
      <c r="E54" s="197" t="s">
        <v>303</v>
      </c>
      <c r="F54" s="414" t="s">
        <v>120</v>
      </c>
      <c r="G54" s="415"/>
      <c r="H54" s="415"/>
      <c r="I54" s="415"/>
      <c r="J54" s="415"/>
      <c r="K54" s="415"/>
      <c r="L54" s="415"/>
      <c r="M54" s="416"/>
      <c r="N54" s="196" t="s">
        <v>114</v>
      </c>
      <c r="O54" s="194" t="s">
        <v>169</v>
      </c>
      <c r="P54" s="426" t="s">
        <v>117</v>
      </c>
      <c r="Q54" s="427"/>
      <c r="R54" s="426" t="s">
        <v>328</v>
      </c>
      <c r="S54" s="428"/>
      <c r="T54" s="428"/>
      <c r="U54" s="427"/>
      <c r="V54" s="396" t="s">
        <v>120</v>
      </c>
      <c r="W54" s="396"/>
      <c r="X54" s="396"/>
      <c r="Y54" s="396"/>
      <c r="Z54" s="396"/>
      <c r="AA54" s="396"/>
      <c r="AB54" s="396"/>
      <c r="AC54" s="396"/>
      <c r="AD54" s="417"/>
    </row>
    <row r="55" spans="1:32" ht="27" customHeight="1">
      <c r="A55" s="412" t="s">
        <v>114</v>
      </c>
      <c r="B55" s="413"/>
      <c r="C55" s="197" t="s">
        <v>136</v>
      </c>
      <c r="D55" s="197" t="s">
        <v>117</v>
      </c>
      <c r="E55" s="197" t="s">
        <v>320</v>
      </c>
      <c r="F55" s="414" t="s">
        <v>120</v>
      </c>
      <c r="G55" s="415"/>
      <c r="H55" s="415"/>
      <c r="I55" s="415"/>
      <c r="J55" s="415"/>
      <c r="K55" s="415"/>
      <c r="L55" s="415"/>
      <c r="M55" s="416"/>
      <c r="N55" s="196"/>
      <c r="O55" s="194"/>
      <c r="P55" s="426"/>
      <c r="Q55" s="427"/>
      <c r="R55" s="426"/>
      <c r="S55" s="428"/>
      <c r="T55" s="428"/>
      <c r="U55" s="427"/>
      <c r="V55" s="396"/>
      <c r="W55" s="396"/>
      <c r="X55" s="396"/>
      <c r="Y55" s="396"/>
      <c r="Z55" s="396"/>
      <c r="AA55" s="396"/>
      <c r="AB55" s="396"/>
      <c r="AC55" s="396"/>
      <c r="AD55" s="417"/>
    </row>
    <row r="56" spans="1:32" ht="27" customHeight="1">
      <c r="A56" s="412" t="s">
        <v>114</v>
      </c>
      <c r="B56" s="413"/>
      <c r="C56" s="197" t="s">
        <v>258</v>
      </c>
      <c r="D56" s="197" t="s">
        <v>119</v>
      </c>
      <c r="E56" s="197" t="s">
        <v>298</v>
      </c>
      <c r="F56" s="414" t="s">
        <v>120</v>
      </c>
      <c r="G56" s="415"/>
      <c r="H56" s="415"/>
      <c r="I56" s="415"/>
      <c r="J56" s="415"/>
      <c r="K56" s="415"/>
      <c r="L56" s="415"/>
      <c r="M56" s="416"/>
      <c r="N56" s="196"/>
      <c r="O56" s="194"/>
      <c r="P56" s="426"/>
      <c r="Q56" s="427"/>
      <c r="R56" s="413"/>
      <c r="S56" s="413"/>
      <c r="T56" s="413"/>
      <c r="U56" s="413"/>
      <c r="V56" s="396"/>
      <c r="W56" s="396"/>
      <c r="X56" s="396"/>
      <c r="Y56" s="396"/>
      <c r="Z56" s="396"/>
      <c r="AA56" s="396"/>
      <c r="AB56" s="396"/>
      <c r="AC56" s="396"/>
      <c r="AD56" s="417"/>
    </row>
    <row r="57" spans="1:32" ht="27" customHeight="1">
      <c r="A57" s="412" t="s">
        <v>300</v>
      </c>
      <c r="B57" s="413"/>
      <c r="C57" s="197" t="s">
        <v>171</v>
      </c>
      <c r="D57" s="197" t="s">
        <v>302</v>
      </c>
      <c r="E57" s="197" t="s">
        <v>299</v>
      </c>
      <c r="F57" s="414" t="s">
        <v>120</v>
      </c>
      <c r="G57" s="415"/>
      <c r="H57" s="415"/>
      <c r="I57" s="415"/>
      <c r="J57" s="415"/>
      <c r="K57" s="415"/>
      <c r="L57" s="415"/>
      <c r="M57" s="416"/>
      <c r="N57" s="196"/>
      <c r="O57" s="194"/>
      <c r="P57" s="426"/>
      <c r="Q57" s="427"/>
      <c r="R57" s="413"/>
      <c r="S57" s="413"/>
      <c r="T57" s="413"/>
      <c r="U57" s="413"/>
      <c r="V57" s="396"/>
      <c r="W57" s="396"/>
      <c r="X57" s="396"/>
      <c r="Y57" s="396"/>
      <c r="Z57" s="396"/>
      <c r="AA57" s="396"/>
      <c r="AB57" s="396"/>
      <c r="AC57" s="396"/>
      <c r="AD57" s="417"/>
    </row>
    <row r="58" spans="1:32" ht="27" customHeight="1">
      <c r="A58" s="412"/>
      <c r="B58" s="413"/>
      <c r="C58" s="197"/>
      <c r="D58" s="197"/>
      <c r="E58" s="197"/>
      <c r="F58" s="414"/>
      <c r="G58" s="415"/>
      <c r="H58" s="415"/>
      <c r="I58" s="415"/>
      <c r="J58" s="415"/>
      <c r="K58" s="415"/>
      <c r="L58" s="415"/>
      <c r="M58" s="416"/>
      <c r="N58" s="196"/>
      <c r="O58" s="194"/>
      <c r="P58" s="426"/>
      <c r="Q58" s="427"/>
      <c r="R58" s="413"/>
      <c r="S58" s="413"/>
      <c r="T58" s="413"/>
      <c r="U58" s="413"/>
      <c r="V58" s="396"/>
      <c r="W58" s="396"/>
      <c r="X58" s="396"/>
      <c r="Y58" s="396"/>
      <c r="Z58" s="396"/>
      <c r="AA58" s="396"/>
      <c r="AB58" s="396"/>
      <c r="AC58" s="396"/>
      <c r="AD58" s="417"/>
    </row>
    <row r="59" spans="1:32" ht="27" customHeight="1">
      <c r="A59" s="412"/>
      <c r="B59" s="413"/>
      <c r="C59" s="197"/>
      <c r="D59" s="197"/>
      <c r="E59" s="197"/>
      <c r="F59" s="414"/>
      <c r="G59" s="415"/>
      <c r="H59" s="415"/>
      <c r="I59" s="415"/>
      <c r="J59" s="415"/>
      <c r="K59" s="415"/>
      <c r="L59" s="415"/>
      <c r="M59" s="416"/>
      <c r="N59" s="196"/>
      <c r="O59" s="194"/>
      <c r="P59" s="413"/>
      <c r="Q59" s="413"/>
      <c r="R59" s="413"/>
      <c r="S59" s="413"/>
      <c r="T59" s="413"/>
      <c r="U59" s="413"/>
      <c r="V59" s="396"/>
      <c r="W59" s="396"/>
      <c r="X59" s="396"/>
      <c r="Y59" s="396"/>
      <c r="Z59" s="396"/>
      <c r="AA59" s="396"/>
      <c r="AB59" s="396"/>
      <c r="AC59" s="396"/>
      <c r="AD59" s="417"/>
      <c r="AF59" s="87">
        <f>8*3000</f>
        <v>24000</v>
      </c>
    </row>
    <row r="60" spans="1:32" ht="27" customHeight="1" thickBot="1">
      <c r="A60" s="418"/>
      <c r="B60" s="419"/>
      <c r="C60" s="198"/>
      <c r="D60" s="199"/>
      <c r="E60" s="199"/>
      <c r="F60" s="420"/>
      <c r="G60" s="421"/>
      <c r="H60" s="421"/>
      <c r="I60" s="421"/>
      <c r="J60" s="421"/>
      <c r="K60" s="421"/>
      <c r="L60" s="421"/>
      <c r="M60" s="422"/>
      <c r="N60" s="124"/>
      <c r="O60" s="114"/>
      <c r="P60" s="423"/>
      <c r="Q60" s="423"/>
      <c r="R60" s="423"/>
      <c r="S60" s="423"/>
      <c r="T60" s="423"/>
      <c r="U60" s="423"/>
      <c r="V60" s="424"/>
      <c r="W60" s="424"/>
      <c r="X60" s="424"/>
      <c r="Y60" s="424"/>
      <c r="Z60" s="424"/>
      <c r="AA60" s="424"/>
      <c r="AB60" s="424"/>
      <c r="AC60" s="424"/>
      <c r="AD60" s="425"/>
      <c r="AF60" s="87">
        <f>16*3000</f>
        <v>48000</v>
      </c>
    </row>
    <row r="61" spans="1:32" ht="27.75" thickBot="1">
      <c r="A61" s="410" t="s">
        <v>329</v>
      </c>
      <c r="B61" s="410"/>
      <c r="C61" s="410"/>
      <c r="D61" s="410"/>
      <c r="E61" s="410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1" t="s">
        <v>113</v>
      </c>
      <c r="B62" s="406"/>
      <c r="C62" s="195" t="s">
        <v>2</v>
      </c>
      <c r="D62" s="195" t="s">
        <v>37</v>
      </c>
      <c r="E62" s="195" t="s">
        <v>3</v>
      </c>
      <c r="F62" s="406" t="s">
        <v>110</v>
      </c>
      <c r="G62" s="406"/>
      <c r="H62" s="406"/>
      <c r="I62" s="406"/>
      <c r="J62" s="406"/>
      <c r="K62" s="406" t="s">
        <v>39</v>
      </c>
      <c r="L62" s="406"/>
      <c r="M62" s="195" t="s">
        <v>40</v>
      </c>
      <c r="N62" s="406" t="s">
        <v>41</v>
      </c>
      <c r="O62" s="406"/>
      <c r="P62" s="403" t="s">
        <v>42</v>
      </c>
      <c r="Q62" s="405"/>
      <c r="R62" s="403" t="s">
        <v>43</v>
      </c>
      <c r="S62" s="404"/>
      <c r="T62" s="404"/>
      <c r="U62" s="404"/>
      <c r="V62" s="404"/>
      <c r="W62" s="404"/>
      <c r="X62" s="404"/>
      <c r="Y62" s="404"/>
      <c r="Z62" s="404"/>
      <c r="AA62" s="405"/>
      <c r="AB62" s="406" t="s">
        <v>44</v>
      </c>
      <c r="AC62" s="406"/>
      <c r="AD62" s="407"/>
      <c r="AF62" s="87">
        <f>SUM(AF59:AF61)</f>
        <v>96000</v>
      </c>
    </row>
    <row r="63" spans="1:32" ht="25.5" customHeight="1">
      <c r="A63" s="389">
        <v>1</v>
      </c>
      <c r="B63" s="390"/>
      <c r="C63" s="117"/>
      <c r="D63" s="190"/>
      <c r="E63" s="193"/>
      <c r="F63" s="391"/>
      <c r="G63" s="383"/>
      <c r="H63" s="383"/>
      <c r="I63" s="383"/>
      <c r="J63" s="383"/>
      <c r="K63" s="383"/>
      <c r="L63" s="383"/>
      <c r="M63" s="51"/>
      <c r="N63" s="401"/>
      <c r="O63" s="401"/>
      <c r="P63" s="402"/>
      <c r="Q63" s="402"/>
      <c r="R63" s="396"/>
      <c r="S63" s="396"/>
      <c r="T63" s="396"/>
      <c r="U63" s="396"/>
      <c r="V63" s="396"/>
      <c r="W63" s="396"/>
      <c r="X63" s="396"/>
      <c r="Y63" s="396"/>
      <c r="Z63" s="396"/>
      <c r="AA63" s="396"/>
      <c r="AB63" s="400"/>
      <c r="AC63" s="408"/>
      <c r="AD63" s="409"/>
      <c r="AF63" s="50"/>
    </row>
    <row r="64" spans="1:32" ht="25.5" customHeight="1">
      <c r="A64" s="389">
        <v>2</v>
      </c>
      <c r="B64" s="390"/>
      <c r="C64" s="117"/>
      <c r="D64" s="190"/>
      <c r="E64" s="193"/>
      <c r="F64" s="391"/>
      <c r="G64" s="383"/>
      <c r="H64" s="383"/>
      <c r="I64" s="383"/>
      <c r="J64" s="383"/>
      <c r="K64" s="383"/>
      <c r="L64" s="383"/>
      <c r="M64" s="51"/>
      <c r="N64" s="401"/>
      <c r="O64" s="401"/>
      <c r="P64" s="402"/>
      <c r="Q64" s="402"/>
      <c r="R64" s="396"/>
      <c r="S64" s="396"/>
      <c r="T64" s="396"/>
      <c r="U64" s="396"/>
      <c r="V64" s="396"/>
      <c r="W64" s="396"/>
      <c r="X64" s="396"/>
      <c r="Y64" s="396"/>
      <c r="Z64" s="396"/>
      <c r="AA64" s="396"/>
      <c r="AB64" s="383"/>
      <c r="AC64" s="383"/>
      <c r="AD64" s="384"/>
      <c r="AF64" s="50"/>
    </row>
    <row r="65" spans="1:32" ht="25.5" customHeight="1">
      <c r="A65" s="389">
        <v>3</v>
      </c>
      <c r="B65" s="390"/>
      <c r="C65" s="117"/>
      <c r="D65" s="190"/>
      <c r="E65" s="193"/>
      <c r="F65" s="397"/>
      <c r="G65" s="398"/>
      <c r="H65" s="398"/>
      <c r="I65" s="398"/>
      <c r="J65" s="399"/>
      <c r="K65" s="383"/>
      <c r="L65" s="383"/>
      <c r="M65" s="51"/>
      <c r="N65" s="401"/>
      <c r="O65" s="401"/>
      <c r="P65" s="402"/>
      <c r="Q65" s="402"/>
      <c r="R65" s="396"/>
      <c r="S65" s="396"/>
      <c r="T65" s="396"/>
      <c r="U65" s="396"/>
      <c r="V65" s="396"/>
      <c r="W65" s="396"/>
      <c r="X65" s="396"/>
      <c r="Y65" s="396"/>
      <c r="Z65" s="396"/>
      <c r="AA65" s="396"/>
      <c r="AB65" s="383"/>
      <c r="AC65" s="383"/>
      <c r="AD65" s="384"/>
      <c r="AF65" s="50"/>
    </row>
    <row r="66" spans="1:32" ht="25.5" customHeight="1">
      <c r="A66" s="389">
        <v>4</v>
      </c>
      <c r="B66" s="390"/>
      <c r="C66" s="117"/>
      <c r="D66" s="190"/>
      <c r="E66" s="193"/>
      <c r="F66" s="397"/>
      <c r="G66" s="398"/>
      <c r="H66" s="398"/>
      <c r="I66" s="398"/>
      <c r="J66" s="399"/>
      <c r="K66" s="383"/>
      <c r="L66" s="383"/>
      <c r="M66" s="51"/>
      <c r="N66" s="401"/>
      <c r="O66" s="401"/>
      <c r="P66" s="402"/>
      <c r="Q66" s="402"/>
      <c r="R66" s="396"/>
      <c r="S66" s="396"/>
      <c r="T66" s="396"/>
      <c r="U66" s="396"/>
      <c r="V66" s="396"/>
      <c r="W66" s="396"/>
      <c r="X66" s="396"/>
      <c r="Y66" s="396"/>
      <c r="Z66" s="396"/>
      <c r="AA66" s="396"/>
      <c r="AB66" s="383"/>
      <c r="AC66" s="383"/>
      <c r="AD66" s="384"/>
      <c r="AF66" s="50"/>
    </row>
    <row r="67" spans="1:32" ht="25.5" customHeight="1">
      <c r="A67" s="389">
        <v>5</v>
      </c>
      <c r="B67" s="390"/>
      <c r="C67" s="117"/>
      <c r="D67" s="190"/>
      <c r="E67" s="193"/>
      <c r="F67" s="397"/>
      <c r="G67" s="398"/>
      <c r="H67" s="398"/>
      <c r="I67" s="398"/>
      <c r="J67" s="399"/>
      <c r="K67" s="400"/>
      <c r="L67" s="390"/>
      <c r="M67" s="51"/>
      <c r="N67" s="401"/>
      <c r="O67" s="401"/>
      <c r="P67" s="402"/>
      <c r="Q67" s="402"/>
      <c r="R67" s="396"/>
      <c r="S67" s="396"/>
      <c r="T67" s="396"/>
      <c r="U67" s="396"/>
      <c r="V67" s="396"/>
      <c r="W67" s="396"/>
      <c r="X67" s="396"/>
      <c r="Y67" s="396"/>
      <c r="Z67" s="396"/>
      <c r="AA67" s="396"/>
      <c r="AB67" s="383"/>
      <c r="AC67" s="383"/>
      <c r="AD67" s="384"/>
      <c r="AF67" s="50"/>
    </row>
    <row r="68" spans="1:32" ht="25.5" customHeight="1">
      <c r="A68" s="389">
        <v>6</v>
      </c>
      <c r="B68" s="390"/>
      <c r="C68" s="117"/>
      <c r="D68" s="190"/>
      <c r="E68" s="193"/>
      <c r="F68" s="391"/>
      <c r="G68" s="383"/>
      <c r="H68" s="383"/>
      <c r="I68" s="383"/>
      <c r="J68" s="383"/>
      <c r="K68" s="383"/>
      <c r="L68" s="383"/>
      <c r="M68" s="51"/>
      <c r="N68" s="392"/>
      <c r="O68" s="393"/>
      <c r="P68" s="394"/>
      <c r="Q68" s="395"/>
      <c r="R68" s="396"/>
      <c r="S68" s="396"/>
      <c r="T68" s="396"/>
      <c r="U68" s="396"/>
      <c r="V68" s="396"/>
      <c r="W68" s="396"/>
      <c r="X68" s="396"/>
      <c r="Y68" s="396"/>
      <c r="Z68" s="396"/>
      <c r="AA68" s="396"/>
      <c r="AB68" s="383"/>
      <c r="AC68" s="383"/>
      <c r="AD68" s="384"/>
      <c r="AF68" s="50"/>
    </row>
    <row r="69" spans="1:32" ht="25.5" customHeight="1">
      <c r="A69" s="389">
        <v>7</v>
      </c>
      <c r="B69" s="390"/>
      <c r="C69" s="117"/>
      <c r="D69" s="190"/>
      <c r="E69" s="193"/>
      <c r="F69" s="391"/>
      <c r="G69" s="383"/>
      <c r="H69" s="383"/>
      <c r="I69" s="383"/>
      <c r="J69" s="383"/>
      <c r="K69" s="383"/>
      <c r="L69" s="383"/>
      <c r="M69" s="51"/>
      <c r="N69" s="392"/>
      <c r="O69" s="393"/>
      <c r="P69" s="394"/>
      <c r="Q69" s="395"/>
      <c r="R69" s="396"/>
      <c r="S69" s="396"/>
      <c r="T69" s="396"/>
      <c r="U69" s="396"/>
      <c r="V69" s="396"/>
      <c r="W69" s="396"/>
      <c r="X69" s="396"/>
      <c r="Y69" s="396"/>
      <c r="Z69" s="396"/>
      <c r="AA69" s="396"/>
      <c r="AB69" s="383"/>
      <c r="AC69" s="383"/>
      <c r="AD69" s="384"/>
      <c r="AF69" s="50"/>
    </row>
    <row r="70" spans="1:32" ht="25.5" customHeight="1">
      <c r="A70" s="389">
        <v>8</v>
      </c>
      <c r="B70" s="390"/>
      <c r="C70" s="117"/>
      <c r="D70" s="190"/>
      <c r="E70" s="193"/>
      <c r="F70" s="391"/>
      <c r="G70" s="383"/>
      <c r="H70" s="383"/>
      <c r="I70" s="383"/>
      <c r="J70" s="383"/>
      <c r="K70" s="383"/>
      <c r="L70" s="383"/>
      <c r="M70" s="51"/>
      <c r="N70" s="392"/>
      <c r="O70" s="393"/>
      <c r="P70" s="394"/>
      <c r="Q70" s="395"/>
      <c r="R70" s="396"/>
      <c r="S70" s="396"/>
      <c r="T70" s="396"/>
      <c r="U70" s="396"/>
      <c r="V70" s="396"/>
      <c r="W70" s="396"/>
      <c r="X70" s="396"/>
      <c r="Y70" s="396"/>
      <c r="Z70" s="396"/>
      <c r="AA70" s="396"/>
      <c r="AB70" s="383"/>
      <c r="AC70" s="383"/>
      <c r="AD70" s="384"/>
      <c r="AF70" s="50"/>
    </row>
    <row r="71" spans="1:32" ht="26.25" customHeight="1" thickBot="1">
      <c r="A71" s="363" t="s">
        <v>330</v>
      </c>
      <c r="B71" s="363"/>
      <c r="C71" s="363"/>
      <c r="D71" s="363"/>
      <c r="E71" s="363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64" t="s">
        <v>113</v>
      </c>
      <c r="B72" s="365"/>
      <c r="C72" s="192" t="s">
        <v>2</v>
      </c>
      <c r="D72" s="192" t="s">
        <v>37</v>
      </c>
      <c r="E72" s="192" t="s">
        <v>3</v>
      </c>
      <c r="F72" s="365" t="s">
        <v>38</v>
      </c>
      <c r="G72" s="365"/>
      <c r="H72" s="365"/>
      <c r="I72" s="365"/>
      <c r="J72" s="365"/>
      <c r="K72" s="385" t="s">
        <v>58</v>
      </c>
      <c r="L72" s="386"/>
      <c r="M72" s="386"/>
      <c r="N72" s="386"/>
      <c r="O72" s="386"/>
      <c r="P72" s="386"/>
      <c r="Q72" s="386"/>
      <c r="R72" s="386"/>
      <c r="S72" s="387"/>
      <c r="T72" s="365" t="s">
        <v>49</v>
      </c>
      <c r="U72" s="365"/>
      <c r="V72" s="385" t="s">
        <v>50</v>
      </c>
      <c r="W72" s="387"/>
      <c r="X72" s="386" t="s">
        <v>51</v>
      </c>
      <c r="Y72" s="386"/>
      <c r="Z72" s="386"/>
      <c r="AA72" s="386"/>
      <c r="AB72" s="386"/>
      <c r="AC72" s="386"/>
      <c r="AD72" s="388"/>
      <c r="AF72" s="50"/>
    </row>
    <row r="73" spans="1:32" ht="33.75" customHeight="1">
      <c r="A73" s="357">
        <v>1</v>
      </c>
      <c r="B73" s="358"/>
      <c r="C73" s="191" t="s">
        <v>114</v>
      </c>
      <c r="D73" s="191"/>
      <c r="E73" s="65" t="s">
        <v>119</v>
      </c>
      <c r="F73" s="372" t="s">
        <v>118</v>
      </c>
      <c r="G73" s="373"/>
      <c r="H73" s="373"/>
      <c r="I73" s="373"/>
      <c r="J73" s="374"/>
      <c r="K73" s="375" t="s">
        <v>128</v>
      </c>
      <c r="L73" s="376"/>
      <c r="M73" s="376"/>
      <c r="N73" s="376"/>
      <c r="O73" s="376"/>
      <c r="P73" s="376"/>
      <c r="Q73" s="376"/>
      <c r="R73" s="376"/>
      <c r="S73" s="377"/>
      <c r="T73" s="378">
        <v>43675</v>
      </c>
      <c r="U73" s="379"/>
      <c r="V73" s="380"/>
      <c r="W73" s="380"/>
      <c r="X73" s="381"/>
      <c r="Y73" s="381"/>
      <c r="Z73" s="381"/>
      <c r="AA73" s="381"/>
      <c r="AB73" s="381"/>
      <c r="AC73" s="381"/>
      <c r="AD73" s="382"/>
      <c r="AF73" s="50"/>
    </row>
    <row r="74" spans="1:32" ht="30" customHeight="1">
      <c r="A74" s="350">
        <f>A73+1</f>
        <v>2</v>
      </c>
      <c r="B74" s="351"/>
      <c r="C74" s="190"/>
      <c r="D74" s="190"/>
      <c r="E74" s="32"/>
      <c r="F74" s="351"/>
      <c r="G74" s="351"/>
      <c r="H74" s="351"/>
      <c r="I74" s="351"/>
      <c r="J74" s="351"/>
      <c r="K74" s="366"/>
      <c r="L74" s="367"/>
      <c r="M74" s="367"/>
      <c r="N74" s="367"/>
      <c r="O74" s="367"/>
      <c r="P74" s="367"/>
      <c r="Q74" s="367"/>
      <c r="R74" s="367"/>
      <c r="S74" s="368"/>
      <c r="T74" s="369"/>
      <c r="U74" s="369"/>
      <c r="V74" s="369"/>
      <c r="W74" s="369"/>
      <c r="X74" s="370"/>
      <c r="Y74" s="370"/>
      <c r="Z74" s="370"/>
      <c r="AA74" s="370"/>
      <c r="AB74" s="370"/>
      <c r="AC74" s="370"/>
      <c r="AD74" s="371"/>
      <c r="AF74" s="50"/>
    </row>
    <row r="75" spans="1:32" ht="30" customHeight="1">
      <c r="A75" s="350">
        <f t="shared" ref="A75:A81" si="14">A74+1</f>
        <v>3</v>
      </c>
      <c r="B75" s="351"/>
      <c r="C75" s="190"/>
      <c r="D75" s="190"/>
      <c r="E75" s="32"/>
      <c r="F75" s="351"/>
      <c r="G75" s="351"/>
      <c r="H75" s="351"/>
      <c r="I75" s="351"/>
      <c r="J75" s="351"/>
      <c r="K75" s="366"/>
      <c r="L75" s="367"/>
      <c r="M75" s="367"/>
      <c r="N75" s="367"/>
      <c r="O75" s="367"/>
      <c r="P75" s="367"/>
      <c r="Q75" s="367"/>
      <c r="R75" s="367"/>
      <c r="S75" s="368"/>
      <c r="T75" s="369"/>
      <c r="U75" s="369"/>
      <c r="V75" s="369"/>
      <c r="W75" s="369"/>
      <c r="X75" s="370"/>
      <c r="Y75" s="370"/>
      <c r="Z75" s="370"/>
      <c r="AA75" s="370"/>
      <c r="AB75" s="370"/>
      <c r="AC75" s="370"/>
      <c r="AD75" s="371"/>
      <c r="AF75" s="50"/>
    </row>
    <row r="76" spans="1:32" ht="30" customHeight="1">
      <c r="A76" s="350">
        <f t="shared" si="14"/>
        <v>4</v>
      </c>
      <c r="B76" s="351"/>
      <c r="C76" s="190"/>
      <c r="D76" s="190"/>
      <c r="E76" s="32"/>
      <c r="F76" s="351"/>
      <c r="G76" s="351"/>
      <c r="H76" s="351"/>
      <c r="I76" s="351"/>
      <c r="J76" s="351"/>
      <c r="K76" s="366"/>
      <c r="L76" s="367"/>
      <c r="M76" s="367"/>
      <c r="N76" s="367"/>
      <c r="O76" s="367"/>
      <c r="P76" s="367"/>
      <c r="Q76" s="367"/>
      <c r="R76" s="367"/>
      <c r="S76" s="368"/>
      <c r="T76" s="369"/>
      <c r="U76" s="369"/>
      <c r="V76" s="369"/>
      <c r="W76" s="369"/>
      <c r="X76" s="370"/>
      <c r="Y76" s="370"/>
      <c r="Z76" s="370"/>
      <c r="AA76" s="370"/>
      <c r="AB76" s="370"/>
      <c r="AC76" s="370"/>
      <c r="AD76" s="371"/>
      <c r="AF76" s="50"/>
    </row>
    <row r="77" spans="1:32" ht="30" customHeight="1">
      <c r="A77" s="350">
        <f t="shared" si="14"/>
        <v>5</v>
      </c>
      <c r="B77" s="351"/>
      <c r="C77" s="190"/>
      <c r="D77" s="190"/>
      <c r="E77" s="32"/>
      <c r="F77" s="351"/>
      <c r="G77" s="351"/>
      <c r="H77" s="351"/>
      <c r="I77" s="351"/>
      <c r="J77" s="351"/>
      <c r="K77" s="366"/>
      <c r="L77" s="367"/>
      <c r="M77" s="367"/>
      <c r="N77" s="367"/>
      <c r="O77" s="367"/>
      <c r="P77" s="367"/>
      <c r="Q77" s="367"/>
      <c r="R77" s="367"/>
      <c r="S77" s="368"/>
      <c r="T77" s="369"/>
      <c r="U77" s="369"/>
      <c r="V77" s="369"/>
      <c r="W77" s="369"/>
      <c r="X77" s="370"/>
      <c r="Y77" s="370"/>
      <c r="Z77" s="370"/>
      <c r="AA77" s="370"/>
      <c r="AB77" s="370"/>
      <c r="AC77" s="370"/>
      <c r="AD77" s="371"/>
      <c r="AF77" s="50"/>
    </row>
    <row r="78" spans="1:32" ht="30" customHeight="1">
      <c r="A78" s="350">
        <f t="shared" si="14"/>
        <v>6</v>
      </c>
      <c r="B78" s="351"/>
      <c r="C78" s="190"/>
      <c r="D78" s="190"/>
      <c r="E78" s="32"/>
      <c r="F78" s="351"/>
      <c r="G78" s="351"/>
      <c r="H78" s="351"/>
      <c r="I78" s="351"/>
      <c r="J78" s="351"/>
      <c r="K78" s="366"/>
      <c r="L78" s="367"/>
      <c r="M78" s="367"/>
      <c r="N78" s="367"/>
      <c r="O78" s="367"/>
      <c r="P78" s="367"/>
      <c r="Q78" s="367"/>
      <c r="R78" s="367"/>
      <c r="S78" s="368"/>
      <c r="T78" s="369"/>
      <c r="U78" s="369"/>
      <c r="V78" s="369"/>
      <c r="W78" s="369"/>
      <c r="X78" s="370"/>
      <c r="Y78" s="370"/>
      <c r="Z78" s="370"/>
      <c r="AA78" s="370"/>
      <c r="AB78" s="370"/>
      <c r="AC78" s="370"/>
      <c r="AD78" s="371"/>
      <c r="AF78" s="50"/>
    </row>
    <row r="79" spans="1:32" ht="30" customHeight="1">
      <c r="A79" s="350">
        <f t="shared" si="14"/>
        <v>7</v>
      </c>
      <c r="B79" s="351"/>
      <c r="C79" s="190"/>
      <c r="D79" s="190"/>
      <c r="E79" s="32"/>
      <c r="F79" s="351"/>
      <c r="G79" s="351"/>
      <c r="H79" s="351"/>
      <c r="I79" s="351"/>
      <c r="J79" s="351"/>
      <c r="K79" s="366"/>
      <c r="L79" s="367"/>
      <c r="M79" s="367"/>
      <c r="N79" s="367"/>
      <c r="O79" s="367"/>
      <c r="P79" s="367"/>
      <c r="Q79" s="367"/>
      <c r="R79" s="367"/>
      <c r="S79" s="368"/>
      <c r="T79" s="369"/>
      <c r="U79" s="369"/>
      <c r="V79" s="369"/>
      <c r="W79" s="369"/>
      <c r="X79" s="370"/>
      <c r="Y79" s="370"/>
      <c r="Z79" s="370"/>
      <c r="AA79" s="370"/>
      <c r="AB79" s="370"/>
      <c r="AC79" s="370"/>
      <c r="AD79" s="371"/>
      <c r="AF79" s="50"/>
    </row>
    <row r="80" spans="1:32" ht="30" customHeight="1">
      <c r="A80" s="350">
        <f t="shared" si="14"/>
        <v>8</v>
      </c>
      <c r="B80" s="351"/>
      <c r="C80" s="190"/>
      <c r="D80" s="190"/>
      <c r="E80" s="32"/>
      <c r="F80" s="351"/>
      <c r="G80" s="351"/>
      <c r="H80" s="351"/>
      <c r="I80" s="351"/>
      <c r="J80" s="351"/>
      <c r="K80" s="366"/>
      <c r="L80" s="367"/>
      <c r="M80" s="367"/>
      <c r="N80" s="367"/>
      <c r="O80" s="367"/>
      <c r="P80" s="367"/>
      <c r="Q80" s="367"/>
      <c r="R80" s="367"/>
      <c r="S80" s="368"/>
      <c r="T80" s="369"/>
      <c r="U80" s="369"/>
      <c r="V80" s="369"/>
      <c r="W80" s="369"/>
      <c r="X80" s="370"/>
      <c r="Y80" s="370"/>
      <c r="Z80" s="370"/>
      <c r="AA80" s="370"/>
      <c r="AB80" s="370"/>
      <c r="AC80" s="370"/>
      <c r="AD80" s="371"/>
      <c r="AF80" s="50"/>
    </row>
    <row r="81" spans="1:32" ht="30" customHeight="1">
      <c r="A81" s="350">
        <f t="shared" si="14"/>
        <v>9</v>
      </c>
      <c r="B81" s="351"/>
      <c r="C81" s="190"/>
      <c r="D81" s="190"/>
      <c r="E81" s="32"/>
      <c r="F81" s="351"/>
      <c r="G81" s="351"/>
      <c r="H81" s="351"/>
      <c r="I81" s="351"/>
      <c r="J81" s="351"/>
      <c r="K81" s="366"/>
      <c r="L81" s="367"/>
      <c r="M81" s="367"/>
      <c r="N81" s="367"/>
      <c r="O81" s="367"/>
      <c r="P81" s="367"/>
      <c r="Q81" s="367"/>
      <c r="R81" s="367"/>
      <c r="S81" s="368"/>
      <c r="T81" s="369"/>
      <c r="U81" s="369"/>
      <c r="V81" s="369"/>
      <c r="W81" s="369"/>
      <c r="X81" s="370"/>
      <c r="Y81" s="370"/>
      <c r="Z81" s="370"/>
      <c r="AA81" s="370"/>
      <c r="AB81" s="370"/>
      <c r="AC81" s="370"/>
      <c r="AD81" s="371"/>
      <c r="AF81" s="50"/>
    </row>
    <row r="82" spans="1:32" ht="36" thickBot="1">
      <c r="A82" s="363" t="s">
        <v>331</v>
      </c>
      <c r="B82" s="363"/>
      <c r="C82" s="363"/>
      <c r="D82" s="363"/>
      <c r="E82" s="363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64" t="s">
        <v>113</v>
      </c>
      <c r="B83" s="365"/>
      <c r="C83" s="355" t="s">
        <v>52</v>
      </c>
      <c r="D83" s="355"/>
      <c r="E83" s="355" t="s">
        <v>53</v>
      </c>
      <c r="F83" s="355"/>
      <c r="G83" s="355"/>
      <c r="H83" s="355"/>
      <c r="I83" s="355"/>
      <c r="J83" s="355"/>
      <c r="K83" s="355" t="s">
        <v>54</v>
      </c>
      <c r="L83" s="355"/>
      <c r="M83" s="355"/>
      <c r="N83" s="355"/>
      <c r="O83" s="355"/>
      <c r="P83" s="355"/>
      <c r="Q83" s="355"/>
      <c r="R83" s="355"/>
      <c r="S83" s="355"/>
      <c r="T83" s="355" t="s">
        <v>55</v>
      </c>
      <c r="U83" s="355"/>
      <c r="V83" s="355" t="s">
        <v>56</v>
      </c>
      <c r="W83" s="355"/>
      <c r="X83" s="355"/>
      <c r="Y83" s="355" t="s">
        <v>51</v>
      </c>
      <c r="Z83" s="355"/>
      <c r="AA83" s="355"/>
      <c r="AB83" s="355"/>
      <c r="AC83" s="355"/>
      <c r="AD83" s="356"/>
      <c r="AF83" s="50"/>
    </row>
    <row r="84" spans="1:32" ht="30.75" customHeight="1">
      <c r="A84" s="357">
        <v>1</v>
      </c>
      <c r="B84" s="358"/>
      <c r="C84" s="359"/>
      <c r="D84" s="359"/>
      <c r="E84" s="359"/>
      <c r="F84" s="359"/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/>
      <c r="R84" s="359"/>
      <c r="S84" s="359"/>
      <c r="T84" s="359"/>
      <c r="U84" s="359"/>
      <c r="V84" s="360"/>
      <c r="W84" s="360"/>
      <c r="X84" s="360"/>
      <c r="Y84" s="361"/>
      <c r="Z84" s="361"/>
      <c r="AA84" s="361"/>
      <c r="AB84" s="361"/>
      <c r="AC84" s="361"/>
      <c r="AD84" s="362"/>
      <c r="AF84" s="50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0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BA2C-D40E-428A-9F1E-2259EAACE428}">
  <dimension ref="A1:AF86"/>
  <sheetViews>
    <sheetView zoomScale="72" zoomScaleNormal="72" zoomScaleSheetLayoutView="70" workbookViewId="0">
      <selection activeCell="L19" sqref="L1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58" t="s">
        <v>332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8"/>
      <c r="B2" s="458"/>
      <c r="C2" s="458"/>
      <c r="D2" s="458"/>
      <c r="E2" s="458"/>
      <c r="F2" s="458"/>
      <c r="G2" s="458"/>
      <c r="H2" s="458"/>
      <c r="I2" s="458"/>
      <c r="J2" s="458"/>
      <c r="K2" s="458"/>
      <c r="L2" s="458"/>
      <c r="M2" s="458"/>
      <c r="N2" s="458"/>
      <c r="O2" s="45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9"/>
      <c r="B3" s="459"/>
      <c r="C3" s="459"/>
      <c r="D3" s="459"/>
      <c r="E3" s="459"/>
      <c r="F3" s="459"/>
      <c r="G3" s="45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0" t="s">
        <v>0</v>
      </c>
      <c r="B4" s="462" t="s">
        <v>1</v>
      </c>
      <c r="C4" s="462" t="s">
        <v>2</v>
      </c>
      <c r="D4" s="465" t="s">
        <v>3</v>
      </c>
      <c r="E4" s="467" t="s">
        <v>4</v>
      </c>
      <c r="F4" s="465" t="s">
        <v>5</v>
      </c>
      <c r="G4" s="462" t="s">
        <v>6</v>
      </c>
      <c r="H4" s="468" t="s">
        <v>7</v>
      </c>
      <c r="I4" s="448" t="s">
        <v>8</v>
      </c>
      <c r="J4" s="449"/>
      <c r="K4" s="449"/>
      <c r="L4" s="449"/>
      <c r="M4" s="449"/>
      <c r="N4" s="449"/>
      <c r="O4" s="450"/>
      <c r="P4" s="451" t="s">
        <v>9</v>
      </c>
      <c r="Q4" s="452"/>
      <c r="R4" s="453" t="s">
        <v>10</v>
      </c>
      <c r="S4" s="453"/>
      <c r="T4" s="453"/>
      <c r="U4" s="453"/>
      <c r="V4" s="453"/>
      <c r="W4" s="454" t="s">
        <v>11</v>
      </c>
      <c r="X4" s="453"/>
      <c r="Y4" s="453"/>
      <c r="Z4" s="453"/>
      <c r="AA4" s="455"/>
      <c r="AB4" s="456" t="s">
        <v>12</v>
      </c>
      <c r="AC4" s="429" t="s">
        <v>13</v>
      </c>
      <c r="AD4" s="429" t="s">
        <v>14</v>
      </c>
      <c r="AE4" s="54"/>
    </row>
    <row r="5" spans="1:32" ht="51" customHeight="1" thickBot="1">
      <c r="A5" s="461"/>
      <c r="B5" s="463"/>
      <c r="C5" s="464"/>
      <c r="D5" s="466"/>
      <c r="E5" s="466"/>
      <c r="F5" s="466"/>
      <c r="G5" s="463"/>
      <c r="H5" s="469"/>
      <c r="I5" s="55" t="s">
        <v>15</v>
      </c>
      <c r="J5" s="56" t="s">
        <v>16</v>
      </c>
      <c r="K5" s="202" t="s">
        <v>17</v>
      </c>
      <c r="L5" s="202" t="s">
        <v>18</v>
      </c>
      <c r="M5" s="202" t="s">
        <v>19</v>
      </c>
      <c r="N5" s="20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57"/>
      <c r="AC5" s="430"/>
      <c r="AD5" s="43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0.43888888888888894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126</v>
      </c>
      <c r="D7" s="52" t="s">
        <v>127</v>
      </c>
      <c r="E7" s="53" t="s">
        <v>125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0.43888888888888894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126</v>
      </c>
      <c r="D8" s="52" t="s">
        <v>146</v>
      </c>
      <c r="E8" s="53" t="s">
        <v>333</v>
      </c>
      <c r="F8" s="30" t="s">
        <v>140</v>
      </c>
      <c r="G8" s="33">
        <v>2</v>
      </c>
      <c r="H8" s="35">
        <v>24</v>
      </c>
      <c r="I8" s="7">
        <v>2000</v>
      </c>
      <c r="J8" s="14">
        <v>3396</v>
      </c>
      <c r="K8" s="15">
        <f>L8</f>
        <v>3396</v>
      </c>
      <c r="L8" s="15">
        <f>381*2+1317*2</f>
        <v>3396</v>
      </c>
      <c r="M8" s="15">
        <f t="shared" si="1"/>
        <v>3396</v>
      </c>
      <c r="N8" s="15">
        <v>0</v>
      </c>
      <c r="O8" s="58">
        <f t="shared" si="2"/>
        <v>0</v>
      </c>
      <c r="P8" s="39">
        <f t="shared" si="3"/>
        <v>8</v>
      </c>
      <c r="Q8" s="40">
        <f t="shared" si="4"/>
        <v>16</v>
      </c>
      <c r="R8" s="7"/>
      <c r="S8" s="6"/>
      <c r="T8" s="16"/>
      <c r="U8" s="16"/>
      <c r="V8" s="17"/>
      <c r="W8" s="5">
        <v>16</v>
      </c>
      <c r="X8" s="16"/>
      <c r="Y8" s="16"/>
      <c r="Z8" s="16"/>
      <c r="AA8" s="18"/>
      <c r="AB8" s="8">
        <f t="shared" si="5"/>
        <v>1</v>
      </c>
      <c r="AC8" s="9">
        <f t="shared" si="6"/>
        <v>0.33333333333333331</v>
      </c>
      <c r="AD8" s="10">
        <f t="shared" si="7"/>
        <v>0.33333333333333331</v>
      </c>
      <c r="AE8" s="36">
        <f t="shared" si="8"/>
        <v>0.43888888888888894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275</v>
      </c>
      <c r="E9" s="53" t="s">
        <v>319</v>
      </c>
      <c r="F9" s="30" t="s">
        <v>132</v>
      </c>
      <c r="G9" s="33">
        <v>4</v>
      </c>
      <c r="H9" s="35">
        <v>24</v>
      </c>
      <c r="I9" s="7">
        <v>50000</v>
      </c>
      <c r="J9" s="14">
        <v>14524</v>
      </c>
      <c r="K9" s="15">
        <f>L9</f>
        <v>14524</v>
      </c>
      <c r="L9" s="15">
        <f>287*4+3344*4</f>
        <v>14524</v>
      </c>
      <c r="M9" s="15">
        <f t="shared" si="1"/>
        <v>14524</v>
      </c>
      <c r="N9" s="15">
        <v>0</v>
      </c>
      <c r="O9" s="58">
        <f t="shared" si="2"/>
        <v>0</v>
      </c>
      <c r="P9" s="39">
        <f t="shared" si="3"/>
        <v>16</v>
      </c>
      <c r="Q9" s="40">
        <f t="shared" si="4"/>
        <v>8</v>
      </c>
      <c r="R9" s="7"/>
      <c r="S9" s="6">
        <v>8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0.66666666666666663</v>
      </c>
      <c r="AD9" s="10">
        <f t="shared" si="7"/>
        <v>0.66666666666666663</v>
      </c>
      <c r="AE9" s="36">
        <f t="shared" si="8"/>
        <v>0.43888888888888894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131</v>
      </c>
      <c r="D10" s="52" t="s">
        <v>150</v>
      </c>
      <c r="E10" s="53" t="s">
        <v>152</v>
      </c>
      <c r="F10" s="30" t="s">
        <v>121</v>
      </c>
      <c r="G10" s="33">
        <v>2</v>
      </c>
      <c r="H10" s="35">
        <v>24</v>
      </c>
      <c r="I10" s="7">
        <v>130000</v>
      </c>
      <c r="J10" s="5">
        <v>7902</v>
      </c>
      <c r="K10" s="15">
        <f>L10+13288+10116+14610+5976+7143+12482+1676+11964+11004+13758+11480+4868</f>
        <v>126267</v>
      </c>
      <c r="L10" s="15">
        <f>777*2+3174*2</f>
        <v>7902</v>
      </c>
      <c r="M10" s="15">
        <f t="shared" si="1"/>
        <v>7902</v>
      </c>
      <c r="N10" s="15">
        <v>0</v>
      </c>
      <c r="O10" s="58">
        <f t="shared" si="2"/>
        <v>0</v>
      </c>
      <c r="P10" s="39">
        <f t="shared" si="3"/>
        <v>17</v>
      </c>
      <c r="Q10" s="40">
        <f t="shared" si="4"/>
        <v>7</v>
      </c>
      <c r="R10" s="7"/>
      <c r="S10" s="6">
        <v>7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0.70833333333333337</v>
      </c>
      <c r="AD10" s="10">
        <f>AC10*AB10*(1-O10)</f>
        <v>0.70833333333333337</v>
      </c>
      <c r="AE10" s="36">
        <f t="shared" si="8"/>
        <v>0.43888888888888894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158</v>
      </c>
      <c r="D11" s="52" t="s">
        <v>198</v>
      </c>
      <c r="E11" s="53" t="s">
        <v>199</v>
      </c>
      <c r="F11" s="30" t="s">
        <v>162</v>
      </c>
      <c r="G11" s="33">
        <v>2</v>
      </c>
      <c r="H11" s="35">
        <v>24</v>
      </c>
      <c r="I11" s="7">
        <v>42000</v>
      </c>
      <c r="J11" s="5">
        <v>6212</v>
      </c>
      <c r="K11" s="15">
        <f>L11+12678+12678+14268+13998</f>
        <v>59834</v>
      </c>
      <c r="L11" s="15">
        <f>2526*2+580*2</f>
        <v>6212</v>
      </c>
      <c r="M11" s="15">
        <f t="shared" si="1"/>
        <v>6212</v>
      </c>
      <c r="N11" s="15">
        <v>0</v>
      </c>
      <c r="O11" s="58">
        <f t="shared" si="2"/>
        <v>0</v>
      </c>
      <c r="P11" s="39">
        <f t="shared" si="3"/>
        <v>14</v>
      </c>
      <c r="Q11" s="40">
        <f t="shared" si="4"/>
        <v>10</v>
      </c>
      <c r="R11" s="7"/>
      <c r="S11" s="6">
        <v>10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0.58333333333333337</v>
      </c>
      <c r="AD11" s="10">
        <f>AC11*AB11*(1-O11)</f>
        <v>0.58333333333333337</v>
      </c>
      <c r="AE11" s="36">
        <f t="shared" si="8"/>
        <v>0.43888888888888894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123</v>
      </c>
      <c r="D12" s="52" t="s">
        <v>163</v>
      </c>
      <c r="E12" s="53" t="s">
        <v>334</v>
      </c>
      <c r="F12" s="30" t="s">
        <v>132</v>
      </c>
      <c r="G12" s="33">
        <v>4</v>
      </c>
      <c r="H12" s="35">
        <v>24</v>
      </c>
      <c r="I12" s="7">
        <v>1700</v>
      </c>
      <c r="J12" s="14">
        <v>2000</v>
      </c>
      <c r="K12" s="15">
        <f>L12</f>
        <v>2000</v>
      </c>
      <c r="L12" s="15">
        <v>2000</v>
      </c>
      <c r="M12" s="15">
        <f t="shared" si="1"/>
        <v>2000</v>
      </c>
      <c r="N12" s="15">
        <v>0</v>
      </c>
      <c r="O12" s="58">
        <f t="shared" si="2"/>
        <v>0</v>
      </c>
      <c r="P12" s="39">
        <f t="shared" si="3"/>
        <v>6</v>
      </c>
      <c r="Q12" s="40">
        <f t="shared" si="4"/>
        <v>18</v>
      </c>
      <c r="R12" s="7"/>
      <c r="S12" s="6"/>
      <c r="T12" s="16"/>
      <c r="U12" s="16"/>
      <c r="V12" s="17"/>
      <c r="W12" s="5">
        <v>18</v>
      </c>
      <c r="X12" s="16"/>
      <c r="Y12" s="16"/>
      <c r="Z12" s="16"/>
      <c r="AA12" s="18"/>
      <c r="AB12" s="8">
        <f t="shared" si="5"/>
        <v>1</v>
      </c>
      <c r="AC12" s="9">
        <f t="shared" si="6"/>
        <v>0.25</v>
      </c>
      <c r="AD12" s="10">
        <f t="shared" ref="AD12:AD14" si="10">AC12*AB12*(1-O12)</f>
        <v>0.25</v>
      </c>
      <c r="AE12" s="36">
        <f t="shared" si="8"/>
        <v>0.43888888888888894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117</v>
      </c>
      <c r="E13" s="53" t="s">
        <v>143</v>
      </c>
      <c r="F13" s="30" t="s">
        <v>138</v>
      </c>
      <c r="G13" s="33">
        <v>4</v>
      </c>
      <c r="H13" s="35">
        <v>24</v>
      </c>
      <c r="I13" s="7">
        <v>850000</v>
      </c>
      <c r="J13" s="14">
        <v>10164</v>
      </c>
      <c r="K13" s="15">
        <f>L13+20676+20704+882+19912+11748+21560+18812+17048+21840+19920+21784+15116</f>
        <v>220166</v>
      </c>
      <c r="L13" s="15">
        <f>2541*4</f>
        <v>10164</v>
      </c>
      <c r="M13" s="15">
        <f t="shared" si="1"/>
        <v>10164</v>
      </c>
      <c r="N13" s="15">
        <v>0</v>
      </c>
      <c r="O13" s="58">
        <f t="shared" si="2"/>
        <v>0</v>
      </c>
      <c r="P13" s="39">
        <f t="shared" si="3"/>
        <v>14</v>
      </c>
      <c r="Q13" s="40">
        <f t="shared" si="4"/>
        <v>10</v>
      </c>
      <c r="R13" s="7">
        <v>10</v>
      </c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0.58333333333333337</v>
      </c>
      <c r="AD13" s="10">
        <f t="shared" si="10"/>
        <v>0.58333333333333337</v>
      </c>
      <c r="AE13" s="36">
        <f t="shared" si="8"/>
        <v>0.43888888888888894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328</v>
      </c>
      <c r="F14" s="30" t="s">
        <v>265</v>
      </c>
      <c r="G14" s="33">
        <v>1</v>
      </c>
      <c r="H14" s="35">
        <v>24</v>
      </c>
      <c r="I14" s="7">
        <v>200</v>
      </c>
      <c r="J14" s="5">
        <v>267</v>
      </c>
      <c r="K14" s="15">
        <f>L14</f>
        <v>267</v>
      </c>
      <c r="L14" s="15">
        <v>267</v>
      </c>
      <c r="M14" s="15">
        <f t="shared" si="1"/>
        <v>267</v>
      </c>
      <c r="N14" s="15">
        <v>0</v>
      </c>
      <c r="O14" s="58">
        <f t="shared" si="2"/>
        <v>0</v>
      </c>
      <c r="P14" s="39">
        <f t="shared" si="3"/>
        <v>5</v>
      </c>
      <c r="Q14" s="40">
        <f t="shared" si="4"/>
        <v>19</v>
      </c>
      <c r="R14" s="7"/>
      <c r="S14" s="6"/>
      <c r="T14" s="16"/>
      <c r="U14" s="16"/>
      <c r="V14" s="17"/>
      <c r="W14" s="5">
        <v>19</v>
      </c>
      <c r="X14" s="16"/>
      <c r="Y14" s="16"/>
      <c r="Z14" s="16"/>
      <c r="AA14" s="18"/>
      <c r="AB14" s="8">
        <f t="shared" si="5"/>
        <v>1</v>
      </c>
      <c r="AC14" s="9">
        <f t="shared" si="6"/>
        <v>0.20833333333333334</v>
      </c>
      <c r="AD14" s="10">
        <f t="shared" si="10"/>
        <v>0.20833333333333334</v>
      </c>
      <c r="AE14" s="36">
        <f t="shared" si="8"/>
        <v>0.43888888888888894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300</v>
      </c>
      <c r="D15" s="52" t="s">
        <v>302</v>
      </c>
      <c r="E15" s="53" t="s">
        <v>299</v>
      </c>
      <c r="F15" s="12" t="s">
        <v>321</v>
      </c>
      <c r="G15" s="12">
        <v>4</v>
      </c>
      <c r="H15" s="13">
        <v>24</v>
      </c>
      <c r="I15" s="31">
        <v>20000</v>
      </c>
      <c r="J15" s="14">
        <v>22464</v>
      </c>
      <c r="K15" s="15">
        <f>L15+21980</f>
        <v>44444</v>
      </c>
      <c r="L15" s="15">
        <f>2632*4+2984*4</f>
        <v>22464</v>
      </c>
      <c r="M15" s="15">
        <f t="shared" si="1"/>
        <v>22464</v>
      </c>
      <c r="N15" s="15">
        <v>0</v>
      </c>
      <c r="O15" s="58">
        <f t="shared" si="2"/>
        <v>0</v>
      </c>
      <c r="P15" s="39">
        <f t="shared" si="3"/>
        <v>24</v>
      </c>
      <c r="Q15" s="40">
        <f t="shared" si="4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1</v>
      </c>
      <c r="AD15" s="10">
        <f t="shared" si="7"/>
        <v>1</v>
      </c>
      <c r="AE15" s="36">
        <f t="shared" si="8"/>
        <v>0.43888888888888894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126</v>
      </c>
      <c r="D16" s="52" t="s">
        <v>335</v>
      </c>
      <c r="E16" s="53" t="s">
        <v>336</v>
      </c>
      <c r="F16" s="30" t="s">
        <v>140</v>
      </c>
      <c r="G16" s="12">
        <v>1</v>
      </c>
      <c r="H16" s="13">
        <v>28</v>
      </c>
      <c r="I16" s="7">
        <v>1000</v>
      </c>
      <c r="J16" s="14">
        <v>1191</v>
      </c>
      <c r="K16" s="15">
        <f>L16</f>
        <v>1191</v>
      </c>
      <c r="L16" s="15">
        <f>604+587</f>
        <v>1191</v>
      </c>
      <c r="M16" s="15">
        <f t="shared" si="1"/>
        <v>1191</v>
      </c>
      <c r="N16" s="15">
        <v>0</v>
      </c>
      <c r="O16" s="58">
        <f t="shared" si="2"/>
        <v>0</v>
      </c>
      <c r="P16" s="39">
        <f t="shared" si="3"/>
        <v>6</v>
      </c>
      <c r="Q16" s="40">
        <f t="shared" si="4"/>
        <v>18</v>
      </c>
      <c r="R16" s="7"/>
      <c r="S16" s="6">
        <v>9</v>
      </c>
      <c r="T16" s="16"/>
      <c r="U16" s="16"/>
      <c r="V16" s="17"/>
      <c r="W16" s="5">
        <v>9</v>
      </c>
      <c r="X16" s="16"/>
      <c r="Y16" s="16"/>
      <c r="Z16" s="16"/>
      <c r="AA16" s="18"/>
      <c r="AB16" s="8">
        <f t="shared" si="5"/>
        <v>1</v>
      </c>
      <c r="AC16" s="9">
        <f t="shared" si="6"/>
        <v>0.25</v>
      </c>
      <c r="AD16" s="10">
        <f t="shared" si="7"/>
        <v>0.25</v>
      </c>
      <c r="AE16" s="36">
        <f t="shared" si="8"/>
        <v>0.43888888888888894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123</v>
      </c>
      <c r="D17" s="52" t="s">
        <v>141</v>
      </c>
      <c r="E17" s="53" t="s">
        <v>303</v>
      </c>
      <c r="F17" s="30" t="s">
        <v>322</v>
      </c>
      <c r="G17" s="33">
        <v>1</v>
      </c>
      <c r="H17" s="35">
        <v>24</v>
      </c>
      <c r="I17" s="7">
        <v>2000</v>
      </c>
      <c r="J17" s="5">
        <v>3042</v>
      </c>
      <c r="K17" s="15">
        <f>L17+3042</f>
        <v>3042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0.43888888888888894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123</v>
      </c>
      <c r="D18" s="52" t="s">
        <v>248</v>
      </c>
      <c r="E18" s="53" t="s">
        <v>249</v>
      </c>
      <c r="F18" s="30" t="s">
        <v>250</v>
      </c>
      <c r="G18" s="33" t="s">
        <v>204</v>
      </c>
      <c r="H18" s="35">
        <v>24</v>
      </c>
      <c r="I18" s="7">
        <v>18000</v>
      </c>
      <c r="J18" s="5">
        <v>4197</v>
      </c>
      <c r="K18" s="15">
        <f>L18+4459+4279+4640+4807</f>
        <v>22382</v>
      </c>
      <c r="L18" s="15">
        <f>2033+2164</f>
        <v>4197</v>
      </c>
      <c r="M18" s="15">
        <f t="shared" si="1"/>
        <v>4197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>AC18*AB18*(1-O18)</f>
        <v>1</v>
      </c>
      <c r="AE18" s="36">
        <f t="shared" si="8"/>
        <v>0.43888888888888894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126</v>
      </c>
      <c r="D19" s="52" t="s">
        <v>202</v>
      </c>
      <c r="E19" s="53" t="s">
        <v>205</v>
      </c>
      <c r="F19" s="30" t="s">
        <v>138</v>
      </c>
      <c r="G19" s="33">
        <v>4</v>
      </c>
      <c r="H19" s="35">
        <v>24</v>
      </c>
      <c r="I19" s="7">
        <v>800000</v>
      </c>
      <c r="J19" s="14">
        <v>19544</v>
      </c>
      <c r="K19" s="15">
        <f>L19+12980+20160+21332+21348+21424+21388</f>
        <v>138176</v>
      </c>
      <c r="L19" s="15">
        <f>2467*4+2419*4</f>
        <v>19544</v>
      </c>
      <c r="M19" s="15">
        <f t="shared" si="1"/>
        <v>19544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ref="AD19" si="11">AC19*AB19*(1-O19)</f>
        <v>1</v>
      </c>
      <c r="AE19" s="36">
        <f t="shared" si="8"/>
        <v>0.43888888888888894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144</v>
      </c>
      <c r="F20" s="12" t="s">
        <v>116</v>
      </c>
      <c r="G20" s="12">
        <v>3</v>
      </c>
      <c r="H20" s="35">
        <v>20</v>
      </c>
      <c r="I20" s="7">
        <v>200000</v>
      </c>
      <c r="J20" s="14">
        <v>34300</v>
      </c>
      <c r="K20" s="15">
        <f>L20+22050+34300</f>
        <v>56350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0.43888888888888894</v>
      </c>
      <c r="AF20" s="87">
        <f t="shared" si="9"/>
        <v>15</v>
      </c>
    </row>
    <row r="21" spans="1:32" ht="31.5" customHeight="1" thickBot="1">
      <c r="A21" s="431" t="s">
        <v>34</v>
      </c>
      <c r="B21" s="432"/>
      <c r="C21" s="432"/>
      <c r="D21" s="432"/>
      <c r="E21" s="432"/>
      <c r="F21" s="432"/>
      <c r="G21" s="432"/>
      <c r="H21" s="433"/>
      <c r="I21" s="22">
        <f t="shared" ref="I21:N21" si="12">SUM(I6:I20)</f>
        <v>2137900</v>
      </c>
      <c r="J21" s="19">
        <f t="shared" si="12"/>
        <v>131264</v>
      </c>
      <c r="K21" s="20">
        <f t="shared" si="12"/>
        <v>703587</v>
      </c>
      <c r="L21" s="21">
        <f t="shared" si="12"/>
        <v>91861</v>
      </c>
      <c r="M21" s="20">
        <f t="shared" si="12"/>
        <v>91861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158</v>
      </c>
      <c r="Q21" s="43">
        <f t="shared" si="13"/>
        <v>202</v>
      </c>
      <c r="R21" s="23">
        <f t="shared" si="13"/>
        <v>34</v>
      </c>
      <c r="S21" s="24">
        <f t="shared" si="13"/>
        <v>34</v>
      </c>
      <c r="T21" s="24">
        <f t="shared" si="13"/>
        <v>0</v>
      </c>
      <c r="U21" s="24">
        <f t="shared" si="13"/>
        <v>0</v>
      </c>
      <c r="V21" s="25">
        <f t="shared" si="13"/>
        <v>24</v>
      </c>
      <c r="W21" s="26">
        <f t="shared" si="13"/>
        <v>110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0.73333333333333328</v>
      </c>
      <c r="AC21" s="4">
        <f>SUM(AC6:AC20)/15</f>
        <v>0.43888888888888894</v>
      </c>
      <c r="AD21" s="4">
        <f>SUM(AD6:AD20)/15</f>
        <v>0.43888888888888894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34" t="s">
        <v>45</v>
      </c>
      <c r="B48" s="434"/>
      <c r="C48" s="434"/>
      <c r="D48" s="434"/>
      <c r="E48" s="43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35" t="s">
        <v>337</v>
      </c>
      <c r="B49" s="436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7"/>
      <c r="N49" s="438" t="s">
        <v>340</v>
      </c>
      <c r="O49" s="439"/>
      <c r="P49" s="439"/>
      <c r="Q49" s="439"/>
      <c r="R49" s="439"/>
      <c r="S49" s="439"/>
      <c r="T49" s="439"/>
      <c r="U49" s="439"/>
      <c r="V49" s="439"/>
      <c r="W49" s="439"/>
      <c r="X49" s="439"/>
      <c r="Y49" s="439"/>
      <c r="Z49" s="439"/>
      <c r="AA49" s="439"/>
      <c r="AB49" s="439"/>
      <c r="AC49" s="439"/>
      <c r="AD49" s="440"/>
    </row>
    <row r="50" spans="1:32" ht="27" customHeight="1">
      <c r="A50" s="441" t="s">
        <v>2</v>
      </c>
      <c r="B50" s="442"/>
      <c r="C50" s="203" t="s">
        <v>46</v>
      </c>
      <c r="D50" s="203" t="s">
        <v>47</v>
      </c>
      <c r="E50" s="203" t="s">
        <v>108</v>
      </c>
      <c r="F50" s="442" t="s">
        <v>107</v>
      </c>
      <c r="G50" s="442"/>
      <c r="H50" s="442"/>
      <c r="I50" s="442"/>
      <c r="J50" s="442"/>
      <c r="K50" s="442"/>
      <c r="L50" s="442"/>
      <c r="M50" s="443"/>
      <c r="N50" s="67" t="s">
        <v>112</v>
      </c>
      <c r="O50" s="203" t="s">
        <v>46</v>
      </c>
      <c r="P50" s="444" t="s">
        <v>47</v>
      </c>
      <c r="Q50" s="445"/>
      <c r="R50" s="444" t="s">
        <v>38</v>
      </c>
      <c r="S50" s="446"/>
      <c r="T50" s="446"/>
      <c r="U50" s="445"/>
      <c r="V50" s="444" t="s">
        <v>48</v>
      </c>
      <c r="W50" s="446"/>
      <c r="X50" s="446"/>
      <c r="Y50" s="446"/>
      <c r="Z50" s="446"/>
      <c r="AA50" s="446"/>
      <c r="AB50" s="446"/>
      <c r="AC50" s="446"/>
      <c r="AD50" s="447"/>
    </row>
    <row r="51" spans="1:32" ht="27" customHeight="1">
      <c r="A51" s="412" t="s">
        <v>126</v>
      </c>
      <c r="B51" s="413"/>
      <c r="C51" s="205" t="s">
        <v>129</v>
      </c>
      <c r="D51" s="205" t="s">
        <v>275</v>
      </c>
      <c r="E51" s="205" t="s">
        <v>319</v>
      </c>
      <c r="F51" s="414" t="s">
        <v>338</v>
      </c>
      <c r="G51" s="415"/>
      <c r="H51" s="415"/>
      <c r="I51" s="415"/>
      <c r="J51" s="415"/>
      <c r="K51" s="415"/>
      <c r="L51" s="415"/>
      <c r="M51" s="416"/>
      <c r="N51" s="204" t="s">
        <v>114</v>
      </c>
      <c r="O51" s="210" t="s">
        <v>136</v>
      </c>
      <c r="P51" s="426" t="s">
        <v>117</v>
      </c>
      <c r="Q51" s="427"/>
      <c r="R51" s="426" t="s">
        <v>226</v>
      </c>
      <c r="S51" s="428"/>
      <c r="T51" s="428"/>
      <c r="U51" s="427"/>
      <c r="V51" s="396" t="s">
        <v>137</v>
      </c>
      <c r="W51" s="396"/>
      <c r="X51" s="396"/>
      <c r="Y51" s="396"/>
      <c r="Z51" s="396"/>
      <c r="AA51" s="396"/>
      <c r="AB51" s="396"/>
      <c r="AC51" s="396"/>
      <c r="AD51" s="417"/>
    </row>
    <row r="52" spans="1:32" ht="27" customHeight="1">
      <c r="A52" s="412" t="s">
        <v>131</v>
      </c>
      <c r="B52" s="413"/>
      <c r="C52" s="205" t="s">
        <v>139</v>
      </c>
      <c r="D52" s="205"/>
      <c r="E52" s="205" t="s">
        <v>152</v>
      </c>
      <c r="F52" s="414" t="s">
        <v>339</v>
      </c>
      <c r="G52" s="415"/>
      <c r="H52" s="415"/>
      <c r="I52" s="415"/>
      <c r="J52" s="415"/>
      <c r="K52" s="415"/>
      <c r="L52" s="415"/>
      <c r="M52" s="416"/>
      <c r="N52" s="204" t="s">
        <v>114</v>
      </c>
      <c r="O52" s="210" t="s">
        <v>258</v>
      </c>
      <c r="P52" s="426" t="s">
        <v>146</v>
      </c>
      <c r="Q52" s="427"/>
      <c r="R52" s="426" t="s">
        <v>282</v>
      </c>
      <c r="S52" s="428"/>
      <c r="T52" s="428"/>
      <c r="U52" s="427"/>
      <c r="V52" s="396" t="s">
        <v>120</v>
      </c>
      <c r="W52" s="396"/>
      <c r="X52" s="396"/>
      <c r="Y52" s="396"/>
      <c r="Z52" s="396"/>
      <c r="AA52" s="396"/>
      <c r="AB52" s="396"/>
      <c r="AC52" s="396"/>
      <c r="AD52" s="417"/>
    </row>
    <row r="53" spans="1:32" ht="27" customHeight="1">
      <c r="A53" s="412" t="s">
        <v>126</v>
      </c>
      <c r="B53" s="413"/>
      <c r="C53" s="205" t="s">
        <v>210</v>
      </c>
      <c r="D53" s="205" t="s">
        <v>117</v>
      </c>
      <c r="E53" s="205" t="s">
        <v>211</v>
      </c>
      <c r="F53" s="414" t="s">
        <v>137</v>
      </c>
      <c r="G53" s="415"/>
      <c r="H53" s="415"/>
      <c r="I53" s="415"/>
      <c r="J53" s="415"/>
      <c r="K53" s="415"/>
      <c r="L53" s="415"/>
      <c r="M53" s="416"/>
      <c r="N53" s="204" t="s">
        <v>126</v>
      </c>
      <c r="O53" s="210" t="s">
        <v>173</v>
      </c>
      <c r="P53" s="426" t="s">
        <v>341</v>
      </c>
      <c r="Q53" s="427"/>
      <c r="R53" s="426" t="s">
        <v>342</v>
      </c>
      <c r="S53" s="428"/>
      <c r="T53" s="428"/>
      <c r="U53" s="427"/>
      <c r="V53" s="396" t="s">
        <v>343</v>
      </c>
      <c r="W53" s="396"/>
      <c r="X53" s="396"/>
      <c r="Y53" s="396"/>
      <c r="Z53" s="396"/>
      <c r="AA53" s="396"/>
      <c r="AB53" s="396"/>
      <c r="AC53" s="396"/>
      <c r="AD53" s="417"/>
    </row>
    <row r="54" spans="1:32" ht="27" customHeight="1">
      <c r="A54" s="412" t="s">
        <v>126</v>
      </c>
      <c r="B54" s="413"/>
      <c r="C54" s="205" t="s">
        <v>310</v>
      </c>
      <c r="D54" s="205" t="s">
        <v>146</v>
      </c>
      <c r="E54" s="205" t="s">
        <v>333</v>
      </c>
      <c r="F54" s="414" t="s">
        <v>120</v>
      </c>
      <c r="G54" s="415"/>
      <c r="H54" s="415"/>
      <c r="I54" s="415"/>
      <c r="J54" s="415"/>
      <c r="K54" s="415"/>
      <c r="L54" s="415"/>
      <c r="M54" s="416"/>
      <c r="N54" s="204" t="s">
        <v>126</v>
      </c>
      <c r="O54" s="210" t="s">
        <v>175</v>
      </c>
      <c r="P54" s="426" t="s">
        <v>117</v>
      </c>
      <c r="Q54" s="427"/>
      <c r="R54" s="426" t="s">
        <v>344</v>
      </c>
      <c r="S54" s="428"/>
      <c r="T54" s="428"/>
      <c r="U54" s="427"/>
      <c r="V54" s="396" t="s">
        <v>343</v>
      </c>
      <c r="W54" s="396"/>
      <c r="X54" s="396"/>
      <c r="Y54" s="396"/>
      <c r="Z54" s="396"/>
      <c r="AA54" s="396"/>
      <c r="AB54" s="396"/>
      <c r="AC54" s="396"/>
      <c r="AD54" s="417"/>
    </row>
    <row r="55" spans="1:32" ht="27" customHeight="1">
      <c r="A55" s="412" t="s">
        <v>126</v>
      </c>
      <c r="B55" s="413"/>
      <c r="C55" s="205" t="s">
        <v>258</v>
      </c>
      <c r="D55" s="205" t="s">
        <v>335</v>
      </c>
      <c r="E55" s="205" t="s">
        <v>336</v>
      </c>
      <c r="F55" s="414" t="s">
        <v>120</v>
      </c>
      <c r="G55" s="415"/>
      <c r="H55" s="415"/>
      <c r="I55" s="415"/>
      <c r="J55" s="415"/>
      <c r="K55" s="415"/>
      <c r="L55" s="415"/>
      <c r="M55" s="416"/>
      <c r="N55" s="204"/>
      <c r="O55" s="210"/>
      <c r="P55" s="426"/>
      <c r="Q55" s="427"/>
      <c r="R55" s="426"/>
      <c r="S55" s="428"/>
      <c r="T55" s="428"/>
      <c r="U55" s="427"/>
      <c r="V55" s="396"/>
      <c r="W55" s="396"/>
      <c r="X55" s="396"/>
      <c r="Y55" s="396"/>
      <c r="Z55" s="396"/>
      <c r="AA55" s="396"/>
      <c r="AB55" s="396"/>
      <c r="AC55" s="396"/>
      <c r="AD55" s="417"/>
    </row>
    <row r="56" spans="1:32" ht="27" customHeight="1">
      <c r="A56" s="412" t="s">
        <v>114</v>
      </c>
      <c r="B56" s="413"/>
      <c r="C56" s="205" t="s">
        <v>169</v>
      </c>
      <c r="D56" s="205" t="s">
        <v>117</v>
      </c>
      <c r="E56" s="205" t="s">
        <v>328</v>
      </c>
      <c r="F56" s="414" t="s">
        <v>120</v>
      </c>
      <c r="G56" s="415"/>
      <c r="H56" s="415"/>
      <c r="I56" s="415"/>
      <c r="J56" s="415"/>
      <c r="K56" s="415"/>
      <c r="L56" s="415"/>
      <c r="M56" s="416"/>
      <c r="N56" s="204"/>
      <c r="O56" s="210"/>
      <c r="P56" s="426"/>
      <c r="Q56" s="427"/>
      <c r="R56" s="413"/>
      <c r="S56" s="413"/>
      <c r="T56" s="413"/>
      <c r="U56" s="413"/>
      <c r="V56" s="396"/>
      <c r="W56" s="396"/>
      <c r="X56" s="396"/>
      <c r="Y56" s="396"/>
      <c r="Z56" s="396"/>
      <c r="AA56" s="396"/>
      <c r="AB56" s="396"/>
      <c r="AC56" s="396"/>
      <c r="AD56" s="417"/>
    </row>
    <row r="57" spans="1:32" ht="27" customHeight="1">
      <c r="A57" s="412" t="s">
        <v>123</v>
      </c>
      <c r="B57" s="413"/>
      <c r="C57" s="205" t="s">
        <v>136</v>
      </c>
      <c r="D57" s="205" t="s">
        <v>163</v>
      </c>
      <c r="E57" s="205" t="s">
        <v>346</v>
      </c>
      <c r="F57" s="414" t="s">
        <v>343</v>
      </c>
      <c r="G57" s="415"/>
      <c r="H57" s="415"/>
      <c r="I57" s="415"/>
      <c r="J57" s="415"/>
      <c r="K57" s="415"/>
      <c r="L57" s="415"/>
      <c r="M57" s="416"/>
      <c r="N57" s="204"/>
      <c r="O57" s="210"/>
      <c r="P57" s="426"/>
      <c r="Q57" s="427"/>
      <c r="R57" s="413"/>
      <c r="S57" s="413"/>
      <c r="T57" s="413"/>
      <c r="U57" s="413"/>
      <c r="V57" s="396"/>
      <c r="W57" s="396"/>
      <c r="X57" s="396"/>
      <c r="Y57" s="396"/>
      <c r="Z57" s="396"/>
      <c r="AA57" s="396"/>
      <c r="AB57" s="396"/>
      <c r="AC57" s="396"/>
      <c r="AD57" s="417"/>
    </row>
    <row r="58" spans="1:32" ht="27" customHeight="1">
      <c r="A58" s="412"/>
      <c r="B58" s="413"/>
      <c r="C58" s="205"/>
      <c r="D58" s="205"/>
      <c r="E58" s="205"/>
      <c r="F58" s="414"/>
      <c r="G58" s="415"/>
      <c r="H58" s="415"/>
      <c r="I58" s="415"/>
      <c r="J58" s="415"/>
      <c r="K58" s="415"/>
      <c r="L58" s="415"/>
      <c r="M58" s="416"/>
      <c r="N58" s="204"/>
      <c r="O58" s="210"/>
      <c r="P58" s="426"/>
      <c r="Q58" s="427"/>
      <c r="R58" s="413"/>
      <c r="S58" s="413"/>
      <c r="T58" s="413"/>
      <c r="U58" s="413"/>
      <c r="V58" s="396"/>
      <c r="W58" s="396"/>
      <c r="X58" s="396"/>
      <c r="Y58" s="396"/>
      <c r="Z58" s="396"/>
      <c r="AA58" s="396"/>
      <c r="AB58" s="396"/>
      <c r="AC58" s="396"/>
      <c r="AD58" s="417"/>
    </row>
    <row r="59" spans="1:32" ht="27" customHeight="1">
      <c r="A59" s="412"/>
      <c r="B59" s="413"/>
      <c r="C59" s="205"/>
      <c r="D59" s="205"/>
      <c r="E59" s="205"/>
      <c r="F59" s="414"/>
      <c r="G59" s="415"/>
      <c r="H59" s="415"/>
      <c r="I59" s="415"/>
      <c r="J59" s="415"/>
      <c r="K59" s="415"/>
      <c r="L59" s="415"/>
      <c r="M59" s="416"/>
      <c r="N59" s="204"/>
      <c r="O59" s="210"/>
      <c r="P59" s="413"/>
      <c r="Q59" s="413"/>
      <c r="R59" s="413"/>
      <c r="S59" s="413"/>
      <c r="T59" s="413"/>
      <c r="U59" s="413"/>
      <c r="V59" s="396"/>
      <c r="W59" s="396"/>
      <c r="X59" s="396"/>
      <c r="Y59" s="396"/>
      <c r="Z59" s="396"/>
      <c r="AA59" s="396"/>
      <c r="AB59" s="396"/>
      <c r="AC59" s="396"/>
      <c r="AD59" s="417"/>
      <c r="AF59" s="87">
        <f>8*3000</f>
        <v>24000</v>
      </c>
    </row>
    <row r="60" spans="1:32" ht="27" customHeight="1" thickBot="1">
      <c r="A60" s="418"/>
      <c r="B60" s="419"/>
      <c r="C60" s="206"/>
      <c r="D60" s="207"/>
      <c r="E60" s="207"/>
      <c r="F60" s="420"/>
      <c r="G60" s="421"/>
      <c r="H60" s="421"/>
      <c r="I60" s="421"/>
      <c r="J60" s="421"/>
      <c r="K60" s="421"/>
      <c r="L60" s="421"/>
      <c r="M60" s="422"/>
      <c r="N60" s="124"/>
      <c r="O60" s="114"/>
      <c r="P60" s="423"/>
      <c r="Q60" s="423"/>
      <c r="R60" s="423"/>
      <c r="S60" s="423"/>
      <c r="T60" s="423"/>
      <c r="U60" s="423"/>
      <c r="V60" s="424"/>
      <c r="W60" s="424"/>
      <c r="X60" s="424"/>
      <c r="Y60" s="424"/>
      <c r="Z60" s="424"/>
      <c r="AA60" s="424"/>
      <c r="AB60" s="424"/>
      <c r="AC60" s="424"/>
      <c r="AD60" s="425"/>
      <c r="AF60" s="87">
        <f>16*3000</f>
        <v>48000</v>
      </c>
    </row>
    <row r="61" spans="1:32" ht="27.75" thickBot="1">
      <c r="A61" s="410" t="s">
        <v>345</v>
      </c>
      <c r="B61" s="410"/>
      <c r="C61" s="410"/>
      <c r="D61" s="410"/>
      <c r="E61" s="410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1" t="s">
        <v>113</v>
      </c>
      <c r="B62" s="406"/>
      <c r="C62" s="208" t="s">
        <v>2</v>
      </c>
      <c r="D62" s="208" t="s">
        <v>37</v>
      </c>
      <c r="E62" s="208" t="s">
        <v>3</v>
      </c>
      <c r="F62" s="406" t="s">
        <v>110</v>
      </c>
      <c r="G62" s="406"/>
      <c r="H62" s="406"/>
      <c r="I62" s="406"/>
      <c r="J62" s="406"/>
      <c r="K62" s="406" t="s">
        <v>39</v>
      </c>
      <c r="L62" s="406"/>
      <c r="M62" s="208" t="s">
        <v>40</v>
      </c>
      <c r="N62" s="406" t="s">
        <v>41</v>
      </c>
      <c r="O62" s="406"/>
      <c r="P62" s="403" t="s">
        <v>42</v>
      </c>
      <c r="Q62" s="405"/>
      <c r="R62" s="403" t="s">
        <v>43</v>
      </c>
      <c r="S62" s="404"/>
      <c r="T62" s="404"/>
      <c r="U62" s="404"/>
      <c r="V62" s="404"/>
      <c r="W62" s="404"/>
      <c r="X62" s="404"/>
      <c r="Y62" s="404"/>
      <c r="Z62" s="404"/>
      <c r="AA62" s="405"/>
      <c r="AB62" s="406" t="s">
        <v>44</v>
      </c>
      <c r="AC62" s="406"/>
      <c r="AD62" s="407"/>
      <c r="AF62" s="87">
        <f>SUM(AF59:AF61)</f>
        <v>96000</v>
      </c>
    </row>
    <row r="63" spans="1:32" ht="25.5" customHeight="1">
      <c r="A63" s="389">
        <v>1</v>
      </c>
      <c r="B63" s="390"/>
      <c r="C63" s="117" t="s">
        <v>123</v>
      </c>
      <c r="D63" s="212"/>
      <c r="E63" s="209" t="s">
        <v>163</v>
      </c>
      <c r="F63" s="391" t="s">
        <v>346</v>
      </c>
      <c r="G63" s="383"/>
      <c r="H63" s="383"/>
      <c r="I63" s="383"/>
      <c r="J63" s="383"/>
      <c r="K63" s="383" t="s">
        <v>132</v>
      </c>
      <c r="L63" s="383"/>
      <c r="M63" s="51" t="s">
        <v>222</v>
      </c>
      <c r="N63" s="401" t="s">
        <v>136</v>
      </c>
      <c r="O63" s="401"/>
      <c r="P63" s="402">
        <v>160</v>
      </c>
      <c r="Q63" s="402"/>
      <c r="R63" s="396"/>
      <c r="S63" s="396"/>
      <c r="T63" s="396"/>
      <c r="U63" s="396"/>
      <c r="V63" s="396"/>
      <c r="W63" s="396"/>
      <c r="X63" s="396"/>
      <c r="Y63" s="396"/>
      <c r="Z63" s="396"/>
      <c r="AA63" s="396"/>
      <c r="AB63" s="400"/>
      <c r="AC63" s="408"/>
      <c r="AD63" s="409"/>
      <c r="AF63" s="50"/>
    </row>
    <row r="64" spans="1:32" ht="25.5" customHeight="1">
      <c r="A64" s="389">
        <v>2</v>
      </c>
      <c r="B64" s="390"/>
      <c r="C64" s="117"/>
      <c r="D64" s="212"/>
      <c r="E64" s="209"/>
      <c r="F64" s="391"/>
      <c r="G64" s="383"/>
      <c r="H64" s="383"/>
      <c r="I64" s="383"/>
      <c r="J64" s="383"/>
      <c r="K64" s="383"/>
      <c r="L64" s="383"/>
      <c r="M64" s="51"/>
      <c r="N64" s="401"/>
      <c r="O64" s="401"/>
      <c r="P64" s="402"/>
      <c r="Q64" s="402"/>
      <c r="R64" s="396"/>
      <c r="S64" s="396"/>
      <c r="T64" s="396"/>
      <c r="U64" s="396"/>
      <c r="V64" s="396"/>
      <c r="W64" s="396"/>
      <c r="X64" s="396"/>
      <c r="Y64" s="396"/>
      <c r="Z64" s="396"/>
      <c r="AA64" s="396"/>
      <c r="AB64" s="383"/>
      <c r="AC64" s="383"/>
      <c r="AD64" s="384"/>
      <c r="AF64" s="50"/>
    </row>
    <row r="65" spans="1:32" ht="25.5" customHeight="1">
      <c r="A65" s="389">
        <v>3</v>
      </c>
      <c r="B65" s="390"/>
      <c r="C65" s="117"/>
      <c r="D65" s="212"/>
      <c r="E65" s="209"/>
      <c r="F65" s="397"/>
      <c r="G65" s="398"/>
      <c r="H65" s="398"/>
      <c r="I65" s="398"/>
      <c r="J65" s="399"/>
      <c r="K65" s="383"/>
      <c r="L65" s="383"/>
      <c r="M65" s="51"/>
      <c r="N65" s="401"/>
      <c r="O65" s="401"/>
      <c r="P65" s="402"/>
      <c r="Q65" s="402"/>
      <c r="R65" s="396"/>
      <c r="S65" s="396"/>
      <c r="T65" s="396"/>
      <c r="U65" s="396"/>
      <c r="V65" s="396"/>
      <c r="W65" s="396"/>
      <c r="X65" s="396"/>
      <c r="Y65" s="396"/>
      <c r="Z65" s="396"/>
      <c r="AA65" s="396"/>
      <c r="AB65" s="383"/>
      <c r="AC65" s="383"/>
      <c r="AD65" s="384"/>
      <c r="AF65" s="50"/>
    </row>
    <row r="66" spans="1:32" ht="25.5" customHeight="1">
      <c r="A66" s="389">
        <v>4</v>
      </c>
      <c r="B66" s="390"/>
      <c r="C66" s="117"/>
      <c r="D66" s="212"/>
      <c r="E66" s="209"/>
      <c r="F66" s="397"/>
      <c r="G66" s="398"/>
      <c r="H66" s="398"/>
      <c r="I66" s="398"/>
      <c r="J66" s="399"/>
      <c r="K66" s="383"/>
      <c r="L66" s="383"/>
      <c r="M66" s="51"/>
      <c r="N66" s="401"/>
      <c r="O66" s="401"/>
      <c r="P66" s="402"/>
      <c r="Q66" s="402"/>
      <c r="R66" s="396"/>
      <c r="S66" s="396"/>
      <c r="T66" s="396"/>
      <c r="U66" s="396"/>
      <c r="V66" s="396"/>
      <c r="W66" s="396"/>
      <c r="X66" s="396"/>
      <c r="Y66" s="396"/>
      <c r="Z66" s="396"/>
      <c r="AA66" s="396"/>
      <c r="AB66" s="383"/>
      <c r="AC66" s="383"/>
      <c r="AD66" s="384"/>
      <c r="AF66" s="50"/>
    </row>
    <row r="67" spans="1:32" ht="25.5" customHeight="1">
      <c r="A67" s="389">
        <v>5</v>
      </c>
      <c r="B67" s="390"/>
      <c r="C67" s="117"/>
      <c r="D67" s="212"/>
      <c r="E67" s="209"/>
      <c r="F67" s="397"/>
      <c r="G67" s="398"/>
      <c r="H67" s="398"/>
      <c r="I67" s="398"/>
      <c r="J67" s="399"/>
      <c r="K67" s="400"/>
      <c r="L67" s="390"/>
      <c r="M67" s="51"/>
      <c r="N67" s="401"/>
      <c r="O67" s="401"/>
      <c r="P67" s="402"/>
      <c r="Q67" s="402"/>
      <c r="R67" s="396"/>
      <c r="S67" s="396"/>
      <c r="T67" s="396"/>
      <c r="U67" s="396"/>
      <c r="V67" s="396"/>
      <c r="W67" s="396"/>
      <c r="X67" s="396"/>
      <c r="Y67" s="396"/>
      <c r="Z67" s="396"/>
      <c r="AA67" s="396"/>
      <c r="AB67" s="383"/>
      <c r="AC67" s="383"/>
      <c r="AD67" s="384"/>
      <c r="AF67" s="50"/>
    </row>
    <row r="68" spans="1:32" ht="25.5" customHeight="1">
      <c r="A68" s="389">
        <v>6</v>
      </c>
      <c r="B68" s="390"/>
      <c r="C68" s="117"/>
      <c r="D68" s="212"/>
      <c r="E68" s="209"/>
      <c r="F68" s="391"/>
      <c r="G68" s="383"/>
      <c r="H68" s="383"/>
      <c r="I68" s="383"/>
      <c r="J68" s="383"/>
      <c r="K68" s="383"/>
      <c r="L68" s="383"/>
      <c r="M68" s="51"/>
      <c r="N68" s="392"/>
      <c r="O68" s="393"/>
      <c r="P68" s="394"/>
      <c r="Q68" s="395"/>
      <c r="R68" s="396"/>
      <c r="S68" s="396"/>
      <c r="T68" s="396"/>
      <c r="U68" s="396"/>
      <c r="V68" s="396"/>
      <c r="W68" s="396"/>
      <c r="X68" s="396"/>
      <c r="Y68" s="396"/>
      <c r="Z68" s="396"/>
      <c r="AA68" s="396"/>
      <c r="AB68" s="383"/>
      <c r="AC68" s="383"/>
      <c r="AD68" s="384"/>
      <c r="AF68" s="50"/>
    </row>
    <row r="69" spans="1:32" ht="25.5" customHeight="1">
      <c r="A69" s="389">
        <v>7</v>
      </c>
      <c r="B69" s="390"/>
      <c r="C69" s="117"/>
      <c r="D69" s="212"/>
      <c r="E69" s="209"/>
      <c r="F69" s="391"/>
      <c r="G69" s="383"/>
      <c r="H69" s="383"/>
      <c r="I69" s="383"/>
      <c r="J69" s="383"/>
      <c r="K69" s="383"/>
      <c r="L69" s="383"/>
      <c r="M69" s="51"/>
      <c r="N69" s="392"/>
      <c r="O69" s="393"/>
      <c r="P69" s="394"/>
      <c r="Q69" s="395"/>
      <c r="R69" s="396"/>
      <c r="S69" s="396"/>
      <c r="T69" s="396"/>
      <c r="U69" s="396"/>
      <c r="V69" s="396"/>
      <c r="W69" s="396"/>
      <c r="X69" s="396"/>
      <c r="Y69" s="396"/>
      <c r="Z69" s="396"/>
      <c r="AA69" s="396"/>
      <c r="AB69" s="383"/>
      <c r="AC69" s="383"/>
      <c r="AD69" s="384"/>
      <c r="AF69" s="50"/>
    </row>
    <row r="70" spans="1:32" ht="25.5" customHeight="1">
      <c r="A70" s="389">
        <v>8</v>
      </c>
      <c r="B70" s="390"/>
      <c r="C70" s="117"/>
      <c r="D70" s="212"/>
      <c r="E70" s="209"/>
      <c r="F70" s="391"/>
      <c r="G70" s="383"/>
      <c r="H70" s="383"/>
      <c r="I70" s="383"/>
      <c r="J70" s="383"/>
      <c r="K70" s="383"/>
      <c r="L70" s="383"/>
      <c r="M70" s="51"/>
      <c r="N70" s="392"/>
      <c r="O70" s="393"/>
      <c r="P70" s="394"/>
      <c r="Q70" s="395"/>
      <c r="R70" s="396"/>
      <c r="S70" s="396"/>
      <c r="T70" s="396"/>
      <c r="U70" s="396"/>
      <c r="V70" s="396"/>
      <c r="W70" s="396"/>
      <c r="X70" s="396"/>
      <c r="Y70" s="396"/>
      <c r="Z70" s="396"/>
      <c r="AA70" s="396"/>
      <c r="AB70" s="383"/>
      <c r="AC70" s="383"/>
      <c r="AD70" s="384"/>
      <c r="AF70" s="50"/>
    </row>
    <row r="71" spans="1:32" ht="26.25" customHeight="1" thickBot="1">
      <c r="A71" s="363" t="s">
        <v>347</v>
      </c>
      <c r="B71" s="363"/>
      <c r="C71" s="363"/>
      <c r="D71" s="363"/>
      <c r="E71" s="363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64" t="s">
        <v>113</v>
      </c>
      <c r="B72" s="365"/>
      <c r="C72" s="211" t="s">
        <v>2</v>
      </c>
      <c r="D72" s="211" t="s">
        <v>37</v>
      </c>
      <c r="E72" s="211" t="s">
        <v>3</v>
      </c>
      <c r="F72" s="365" t="s">
        <v>38</v>
      </c>
      <c r="G72" s="365"/>
      <c r="H72" s="365"/>
      <c r="I72" s="365"/>
      <c r="J72" s="365"/>
      <c r="K72" s="385" t="s">
        <v>58</v>
      </c>
      <c r="L72" s="386"/>
      <c r="M72" s="386"/>
      <c r="N72" s="386"/>
      <c r="O72" s="386"/>
      <c r="P72" s="386"/>
      <c r="Q72" s="386"/>
      <c r="R72" s="386"/>
      <c r="S72" s="387"/>
      <c r="T72" s="365" t="s">
        <v>49</v>
      </c>
      <c r="U72" s="365"/>
      <c r="V72" s="385" t="s">
        <v>50</v>
      </c>
      <c r="W72" s="387"/>
      <c r="X72" s="386" t="s">
        <v>51</v>
      </c>
      <c r="Y72" s="386"/>
      <c r="Z72" s="386"/>
      <c r="AA72" s="386"/>
      <c r="AB72" s="386"/>
      <c r="AC72" s="386"/>
      <c r="AD72" s="388"/>
      <c r="AF72" s="50"/>
    </row>
    <row r="73" spans="1:32" ht="33.75" customHeight="1">
      <c r="A73" s="357">
        <v>1</v>
      </c>
      <c r="B73" s="358"/>
      <c r="C73" s="213" t="s">
        <v>114</v>
      </c>
      <c r="D73" s="213"/>
      <c r="E73" s="65" t="s">
        <v>119</v>
      </c>
      <c r="F73" s="372" t="s">
        <v>118</v>
      </c>
      <c r="G73" s="373"/>
      <c r="H73" s="373"/>
      <c r="I73" s="373"/>
      <c r="J73" s="374"/>
      <c r="K73" s="375" t="s">
        <v>128</v>
      </c>
      <c r="L73" s="376"/>
      <c r="M73" s="376"/>
      <c r="N73" s="376"/>
      <c r="O73" s="376"/>
      <c r="P73" s="376"/>
      <c r="Q73" s="376"/>
      <c r="R73" s="376"/>
      <c r="S73" s="377"/>
      <c r="T73" s="378">
        <v>43675</v>
      </c>
      <c r="U73" s="379"/>
      <c r="V73" s="380"/>
      <c r="W73" s="380"/>
      <c r="X73" s="381"/>
      <c r="Y73" s="381"/>
      <c r="Z73" s="381"/>
      <c r="AA73" s="381"/>
      <c r="AB73" s="381"/>
      <c r="AC73" s="381"/>
      <c r="AD73" s="382"/>
      <c r="AF73" s="50"/>
    </row>
    <row r="74" spans="1:32" ht="30" customHeight="1">
      <c r="A74" s="350">
        <f>A73+1</f>
        <v>2</v>
      </c>
      <c r="B74" s="351"/>
      <c r="C74" s="212"/>
      <c r="D74" s="212"/>
      <c r="E74" s="32"/>
      <c r="F74" s="351"/>
      <c r="G74" s="351"/>
      <c r="H74" s="351"/>
      <c r="I74" s="351"/>
      <c r="J74" s="351"/>
      <c r="K74" s="366"/>
      <c r="L74" s="367"/>
      <c r="M74" s="367"/>
      <c r="N74" s="367"/>
      <c r="O74" s="367"/>
      <c r="P74" s="367"/>
      <c r="Q74" s="367"/>
      <c r="R74" s="367"/>
      <c r="S74" s="368"/>
      <c r="T74" s="369"/>
      <c r="U74" s="369"/>
      <c r="V74" s="369"/>
      <c r="W74" s="369"/>
      <c r="X74" s="370"/>
      <c r="Y74" s="370"/>
      <c r="Z74" s="370"/>
      <c r="AA74" s="370"/>
      <c r="AB74" s="370"/>
      <c r="AC74" s="370"/>
      <c r="AD74" s="371"/>
      <c r="AF74" s="50"/>
    </row>
    <row r="75" spans="1:32" ht="30" customHeight="1">
      <c r="A75" s="350">
        <f t="shared" ref="A75:A81" si="14">A74+1</f>
        <v>3</v>
      </c>
      <c r="B75" s="351"/>
      <c r="C75" s="212"/>
      <c r="D75" s="212"/>
      <c r="E75" s="32"/>
      <c r="F75" s="351"/>
      <c r="G75" s="351"/>
      <c r="H75" s="351"/>
      <c r="I75" s="351"/>
      <c r="J75" s="351"/>
      <c r="K75" s="366"/>
      <c r="L75" s="367"/>
      <c r="M75" s="367"/>
      <c r="N75" s="367"/>
      <c r="O75" s="367"/>
      <c r="P75" s="367"/>
      <c r="Q75" s="367"/>
      <c r="R75" s="367"/>
      <c r="S75" s="368"/>
      <c r="T75" s="369"/>
      <c r="U75" s="369"/>
      <c r="V75" s="369"/>
      <c r="W75" s="369"/>
      <c r="X75" s="370"/>
      <c r="Y75" s="370"/>
      <c r="Z75" s="370"/>
      <c r="AA75" s="370"/>
      <c r="AB75" s="370"/>
      <c r="AC75" s="370"/>
      <c r="AD75" s="371"/>
      <c r="AF75" s="50"/>
    </row>
    <row r="76" spans="1:32" ht="30" customHeight="1">
      <c r="A76" s="350">
        <f t="shared" si="14"/>
        <v>4</v>
      </c>
      <c r="B76" s="351"/>
      <c r="C76" s="212"/>
      <c r="D76" s="212"/>
      <c r="E76" s="32"/>
      <c r="F76" s="351"/>
      <c r="G76" s="351"/>
      <c r="H76" s="351"/>
      <c r="I76" s="351"/>
      <c r="J76" s="351"/>
      <c r="K76" s="366"/>
      <c r="L76" s="367"/>
      <c r="M76" s="367"/>
      <c r="N76" s="367"/>
      <c r="O76" s="367"/>
      <c r="P76" s="367"/>
      <c r="Q76" s="367"/>
      <c r="R76" s="367"/>
      <c r="S76" s="368"/>
      <c r="T76" s="369"/>
      <c r="U76" s="369"/>
      <c r="V76" s="369"/>
      <c r="W76" s="369"/>
      <c r="X76" s="370"/>
      <c r="Y76" s="370"/>
      <c r="Z76" s="370"/>
      <c r="AA76" s="370"/>
      <c r="AB76" s="370"/>
      <c r="AC76" s="370"/>
      <c r="AD76" s="371"/>
      <c r="AF76" s="50"/>
    </row>
    <row r="77" spans="1:32" ht="30" customHeight="1">
      <c r="A77" s="350">
        <f t="shared" si="14"/>
        <v>5</v>
      </c>
      <c r="B77" s="351"/>
      <c r="C77" s="212"/>
      <c r="D77" s="212"/>
      <c r="E77" s="32"/>
      <c r="F77" s="351"/>
      <c r="G77" s="351"/>
      <c r="H77" s="351"/>
      <c r="I77" s="351"/>
      <c r="J77" s="351"/>
      <c r="K77" s="366"/>
      <c r="L77" s="367"/>
      <c r="M77" s="367"/>
      <c r="N77" s="367"/>
      <c r="O77" s="367"/>
      <c r="P77" s="367"/>
      <c r="Q77" s="367"/>
      <c r="R77" s="367"/>
      <c r="S77" s="368"/>
      <c r="T77" s="369"/>
      <c r="U77" s="369"/>
      <c r="V77" s="369"/>
      <c r="W77" s="369"/>
      <c r="X77" s="370"/>
      <c r="Y77" s="370"/>
      <c r="Z77" s="370"/>
      <c r="AA77" s="370"/>
      <c r="AB77" s="370"/>
      <c r="AC77" s="370"/>
      <c r="AD77" s="371"/>
      <c r="AF77" s="50"/>
    </row>
    <row r="78" spans="1:32" ht="30" customHeight="1">
      <c r="A78" s="350">
        <f t="shared" si="14"/>
        <v>6</v>
      </c>
      <c r="B78" s="351"/>
      <c r="C78" s="212"/>
      <c r="D78" s="212"/>
      <c r="E78" s="32"/>
      <c r="F78" s="351"/>
      <c r="G78" s="351"/>
      <c r="H78" s="351"/>
      <c r="I78" s="351"/>
      <c r="J78" s="351"/>
      <c r="K78" s="366"/>
      <c r="L78" s="367"/>
      <c r="M78" s="367"/>
      <c r="N78" s="367"/>
      <c r="O78" s="367"/>
      <c r="P78" s="367"/>
      <c r="Q78" s="367"/>
      <c r="R78" s="367"/>
      <c r="S78" s="368"/>
      <c r="T78" s="369"/>
      <c r="U78" s="369"/>
      <c r="V78" s="369"/>
      <c r="W78" s="369"/>
      <c r="X78" s="370"/>
      <c r="Y78" s="370"/>
      <c r="Z78" s="370"/>
      <c r="AA78" s="370"/>
      <c r="AB78" s="370"/>
      <c r="AC78" s="370"/>
      <c r="AD78" s="371"/>
      <c r="AF78" s="50"/>
    </row>
    <row r="79" spans="1:32" ht="30" customHeight="1">
      <c r="A79" s="350">
        <f t="shared" si="14"/>
        <v>7</v>
      </c>
      <c r="B79" s="351"/>
      <c r="C79" s="212"/>
      <c r="D79" s="212"/>
      <c r="E79" s="32"/>
      <c r="F79" s="351"/>
      <c r="G79" s="351"/>
      <c r="H79" s="351"/>
      <c r="I79" s="351"/>
      <c r="J79" s="351"/>
      <c r="K79" s="366"/>
      <c r="L79" s="367"/>
      <c r="M79" s="367"/>
      <c r="N79" s="367"/>
      <c r="O79" s="367"/>
      <c r="P79" s="367"/>
      <c r="Q79" s="367"/>
      <c r="R79" s="367"/>
      <c r="S79" s="368"/>
      <c r="T79" s="369"/>
      <c r="U79" s="369"/>
      <c r="V79" s="369"/>
      <c r="W79" s="369"/>
      <c r="X79" s="370"/>
      <c r="Y79" s="370"/>
      <c r="Z79" s="370"/>
      <c r="AA79" s="370"/>
      <c r="AB79" s="370"/>
      <c r="AC79" s="370"/>
      <c r="AD79" s="371"/>
      <c r="AF79" s="50"/>
    </row>
    <row r="80" spans="1:32" ht="30" customHeight="1">
      <c r="A80" s="350">
        <f t="shared" si="14"/>
        <v>8</v>
      </c>
      <c r="B80" s="351"/>
      <c r="C80" s="212"/>
      <c r="D80" s="212"/>
      <c r="E80" s="32"/>
      <c r="F80" s="351"/>
      <c r="G80" s="351"/>
      <c r="H80" s="351"/>
      <c r="I80" s="351"/>
      <c r="J80" s="351"/>
      <c r="K80" s="366"/>
      <c r="L80" s="367"/>
      <c r="M80" s="367"/>
      <c r="N80" s="367"/>
      <c r="O80" s="367"/>
      <c r="P80" s="367"/>
      <c r="Q80" s="367"/>
      <c r="R80" s="367"/>
      <c r="S80" s="368"/>
      <c r="T80" s="369"/>
      <c r="U80" s="369"/>
      <c r="V80" s="369"/>
      <c r="W80" s="369"/>
      <c r="X80" s="370"/>
      <c r="Y80" s="370"/>
      <c r="Z80" s="370"/>
      <c r="AA80" s="370"/>
      <c r="AB80" s="370"/>
      <c r="AC80" s="370"/>
      <c r="AD80" s="371"/>
      <c r="AF80" s="50"/>
    </row>
    <row r="81" spans="1:32" ht="30" customHeight="1">
      <c r="A81" s="350">
        <f t="shared" si="14"/>
        <v>9</v>
      </c>
      <c r="B81" s="351"/>
      <c r="C81" s="212"/>
      <c r="D81" s="212"/>
      <c r="E81" s="32"/>
      <c r="F81" s="351"/>
      <c r="G81" s="351"/>
      <c r="H81" s="351"/>
      <c r="I81" s="351"/>
      <c r="J81" s="351"/>
      <c r="K81" s="366"/>
      <c r="L81" s="367"/>
      <c r="M81" s="367"/>
      <c r="N81" s="367"/>
      <c r="O81" s="367"/>
      <c r="P81" s="367"/>
      <c r="Q81" s="367"/>
      <c r="R81" s="367"/>
      <c r="S81" s="368"/>
      <c r="T81" s="369"/>
      <c r="U81" s="369"/>
      <c r="V81" s="369"/>
      <c r="W81" s="369"/>
      <c r="X81" s="370"/>
      <c r="Y81" s="370"/>
      <c r="Z81" s="370"/>
      <c r="AA81" s="370"/>
      <c r="AB81" s="370"/>
      <c r="AC81" s="370"/>
      <c r="AD81" s="371"/>
      <c r="AF81" s="50"/>
    </row>
    <row r="82" spans="1:32" ht="36" thickBot="1">
      <c r="A82" s="363" t="s">
        <v>348</v>
      </c>
      <c r="B82" s="363"/>
      <c r="C82" s="363"/>
      <c r="D82" s="363"/>
      <c r="E82" s="363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64" t="s">
        <v>113</v>
      </c>
      <c r="B83" s="365"/>
      <c r="C83" s="355" t="s">
        <v>52</v>
      </c>
      <c r="D83" s="355"/>
      <c r="E83" s="355" t="s">
        <v>53</v>
      </c>
      <c r="F83" s="355"/>
      <c r="G83" s="355"/>
      <c r="H83" s="355"/>
      <c r="I83" s="355"/>
      <c r="J83" s="355"/>
      <c r="K83" s="355" t="s">
        <v>54</v>
      </c>
      <c r="L83" s="355"/>
      <c r="M83" s="355"/>
      <c r="N83" s="355"/>
      <c r="O83" s="355"/>
      <c r="P83" s="355"/>
      <c r="Q83" s="355"/>
      <c r="R83" s="355"/>
      <c r="S83" s="355"/>
      <c r="T83" s="355" t="s">
        <v>55</v>
      </c>
      <c r="U83" s="355"/>
      <c r="V83" s="355" t="s">
        <v>56</v>
      </c>
      <c r="W83" s="355"/>
      <c r="X83" s="355"/>
      <c r="Y83" s="355" t="s">
        <v>51</v>
      </c>
      <c r="Z83" s="355"/>
      <c r="AA83" s="355"/>
      <c r="AB83" s="355"/>
      <c r="AC83" s="355"/>
      <c r="AD83" s="356"/>
      <c r="AF83" s="50"/>
    </row>
    <row r="84" spans="1:32" ht="30.75" customHeight="1">
      <c r="A84" s="357">
        <v>1</v>
      </c>
      <c r="B84" s="358"/>
      <c r="C84" s="359">
        <v>8</v>
      </c>
      <c r="D84" s="359"/>
      <c r="E84" s="359" t="s">
        <v>349</v>
      </c>
      <c r="F84" s="359"/>
      <c r="G84" s="359"/>
      <c r="H84" s="359"/>
      <c r="I84" s="359"/>
      <c r="J84" s="359"/>
      <c r="K84" s="359" t="s">
        <v>350</v>
      </c>
      <c r="L84" s="359"/>
      <c r="M84" s="359"/>
      <c r="N84" s="359"/>
      <c r="O84" s="359"/>
      <c r="P84" s="359"/>
      <c r="Q84" s="359"/>
      <c r="R84" s="359"/>
      <c r="S84" s="359"/>
      <c r="T84" s="359" t="s">
        <v>351</v>
      </c>
      <c r="U84" s="359"/>
      <c r="V84" s="360">
        <v>204000</v>
      </c>
      <c r="W84" s="360"/>
      <c r="X84" s="360"/>
      <c r="Y84" s="361"/>
      <c r="Z84" s="361"/>
      <c r="AA84" s="361"/>
      <c r="AB84" s="361"/>
      <c r="AC84" s="361"/>
      <c r="AD84" s="362"/>
      <c r="AF84" s="50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0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B4EB-5551-4D53-ACD0-8BA286F41667}">
  <dimension ref="A1:AF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58" t="s">
        <v>352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8"/>
      <c r="B2" s="458"/>
      <c r="C2" s="458"/>
      <c r="D2" s="458"/>
      <c r="E2" s="458"/>
      <c r="F2" s="458"/>
      <c r="G2" s="458"/>
      <c r="H2" s="458"/>
      <c r="I2" s="458"/>
      <c r="J2" s="458"/>
      <c r="K2" s="458"/>
      <c r="L2" s="458"/>
      <c r="M2" s="458"/>
      <c r="N2" s="458"/>
      <c r="O2" s="45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9"/>
      <c r="B3" s="459"/>
      <c r="C3" s="459"/>
      <c r="D3" s="459"/>
      <c r="E3" s="459"/>
      <c r="F3" s="459"/>
      <c r="G3" s="45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0" t="s">
        <v>0</v>
      </c>
      <c r="B4" s="462" t="s">
        <v>1</v>
      </c>
      <c r="C4" s="462" t="s">
        <v>2</v>
      </c>
      <c r="D4" s="465" t="s">
        <v>3</v>
      </c>
      <c r="E4" s="467" t="s">
        <v>4</v>
      </c>
      <c r="F4" s="465" t="s">
        <v>5</v>
      </c>
      <c r="G4" s="462" t="s">
        <v>6</v>
      </c>
      <c r="H4" s="468" t="s">
        <v>7</v>
      </c>
      <c r="I4" s="448" t="s">
        <v>8</v>
      </c>
      <c r="J4" s="449"/>
      <c r="K4" s="449"/>
      <c r="L4" s="449"/>
      <c r="M4" s="449"/>
      <c r="N4" s="449"/>
      <c r="O4" s="450"/>
      <c r="P4" s="451" t="s">
        <v>9</v>
      </c>
      <c r="Q4" s="452"/>
      <c r="R4" s="453" t="s">
        <v>10</v>
      </c>
      <c r="S4" s="453"/>
      <c r="T4" s="453"/>
      <c r="U4" s="453"/>
      <c r="V4" s="453"/>
      <c r="W4" s="454" t="s">
        <v>11</v>
      </c>
      <c r="X4" s="453"/>
      <c r="Y4" s="453"/>
      <c r="Z4" s="453"/>
      <c r="AA4" s="455"/>
      <c r="AB4" s="456" t="s">
        <v>12</v>
      </c>
      <c r="AC4" s="429" t="s">
        <v>13</v>
      </c>
      <c r="AD4" s="429" t="s">
        <v>14</v>
      </c>
      <c r="AE4" s="54"/>
    </row>
    <row r="5" spans="1:32" ht="51" customHeight="1" thickBot="1">
      <c r="A5" s="461"/>
      <c r="B5" s="463"/>
      <c r="C5" s="464"/>
      <c r="D5" s="466"/>
      <c r="E5" s="466"/>
      <c r="F5" s="466"/>
      <c r="G5" s="463"/>
      <c r="H5" s="469"/>
      <c r="I5" s="55" t="s">
        <v>15</v>
      </c>
      <c r="J5" s="56" t="s">
        <v>16</v>
      </c>
      <c r="K5" s="202" t="s">
        <v>17</v>
      </c>
      <c r="L5" s="202" t="s">
        <v>18</v>
      </c>
      <c r="M5" s="202" t="s">
        <v>19</v>
      </c>
      <c r="N5" s="20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57"/>
      <c r="AC5" s="430"/>
      <c r="AD5" s="43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0.39722222222222225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126</v>
      </c>
      <c r="D7" s="52" t="s">
        <v>127</v>
      </c>
      <c r="E7" s="53" t="s">
        <v>125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0.39722222222222225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126</v>
      </c>
      <c r="D8" s="52" t="s">
        <v>146</v>
      </c>
      <c r="E8" s="53" t="s">
        <v>333</v>
      </c>
      <c r="F8" s="30" t="s">
        <v>140</v>
      </c>
      <c r="G8" s="33">
        <v>2</v>
      </c>
      <c r="H8" s="35">
        <v>24</v>
      </c>
      <c r="I8" s="7">
        <v>2000</v>
      </c>
      <c r="J8" s="14">
        <v>3396</v>
      </c>
      <c r="K8" s="15">
        <f>L8+3396</f>
        <v>3396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0.39722222222222225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275</v>
      </c>
      <c r="E9" s="53" t="s">
        <v>319</v>
      </c>
      <c r="F9" s="30" t="s">
        <v>132</v>
      </c>
      <c r="G9" s="33">
        <v>4</v>
      </c>
      <c r="H9" s="35">
        <v>24</v>
      </c>
      <c r="I9" s="7">
        <v>50000</v>
      </c>
      <c r="J9" s="14">
        <v>30712</v>
      </c>
      <c r="K9" s="15">
        <f>L9+14524</f>
        <v>45236</v>
      </c>
      <c r="L9" s="15">
        <f>3980*4+3698*4</f>
        <v>30712</v>
      </c>
      <c r="M9" s="15">
        <f t="shared" si="1"/>
        <v>30712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0.39722222222222225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131</v>
      </c>
      <c r="D10" s="52" t="s">
        <v>150</v>
      </c>
      <c r="E10" s="53" t="s">
        <v>152</v>
      </c>
      <c r="F10" s="30" t="s">
        <v>121</v>
      </c>
      <c r="G10" s="33">
        <v>2</v>
      </c>
      <c r="H10" s="35">
        <v>24</v>
      </c>
      <c r="I10" s="7">
        <v>130000</v>
      </c>
      <c r="J10" s="5">
        <v>7902</v>
      </c>
      <c r="K10" s="15">
        <f>L10+13288+10116+14610+5976+7143+12482+1676+11964+11004+13758+11480+4868+7902</f>
        <v>126267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>AC10*AB10*(1-O10)</f>
        <v>0</v>
      </c>
      <c r="AE10" s="36">
        <f t="shared" si="8"/>
        <v>0.39722222222222225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126</v>
      </c>
      <c r="D11" s="52" t="s">
        <v>353</v>
      </c>
      <c r="E11" s="53" t="s">
        <v>354</v>
      </c>
      <c r="F11" s="30" t="s">
        <v>132</v>
      </c>
      <c r="G11" s="33">
        <v>2</v>
      </c>
      <c r="H11" s="35">
        <v>24</v>
      </c>
      <c r="I11" s="7">
        <v>5000</v>
      </c>
      <c r="J11" s="5">
        <v>4004</v>
      </c>
      <c r="K11" s="15">
        <f>L11</f>
        <v>4004</v>
      </c>
      <c r="L11" s="15">
        <f>2002*2</f>
        <v>4004</v>
      </c>
      <c r="M11" s="15">
        <f t="shared" si="1"/>
        <v>4004</v>
      </c>
      <c r="N11" s="15">
        <v>0</v>
      </c>
      <c r="O11" s="58">
        <f t="shared" si="2"/>
        <v>0</v>
      </c>
      <c r="P11" s="39">
        <f t="shared" si="3"/>
        <v>12</v>
      </c>
      <c r="Q11" s="40">
        <f t="shared" si="4"/>
        <v>12</v>
      </c>
      <c r="R11" s="7"/>
      <c r="S11" s="6"/>
      <c r="T11" s="16">
        <v>12</v>
      </c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0.5</v>
      </c>
      <c r="AD11" s="10">
        <f>AC11*AB11*(1-O11)</f>
        <v>0.5</v>
      </c>
      <c r="AE11" s="36">
        <f t="shared" si="8"/>
        <v>0.39722222222222225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226</v>
      </c>
      <c r="F12" s="30" t="s">
        <v>227</v>
      </c>
      <c r="G12" s="33">
        <v>1</v>
      </c>
      <c r="H12" s="35">
        <v>24</v>
      </c>
      <c r="I12" s="7">
        <v>1200</v>
      </c>
      <c r="J12" s="14">
        <v>2000</v>
      </c>
      <c r="K12" s="15">
        <f>L12</f>
        <v>2000</v>
      </c>
      <c r="L12" s="15">
        <f>2000</f>
        <v>2000</v>
      </c>
      <c r="M12" s="15">
        <f t="shared" si="1"/>
        <v>2000</v>
      </c>
      <c r="N12" s="15">
        <v>0</v>
      </c>
      <c r="O12" s="58">
        <f t="shared" si="2"/>
        <v>0</v>
      </c>
      <c r="P12" s="39">
        <f t="shared" si="3"/>
        <v>18</v>
      </c>
      <c r="Q12" s="40">
        <f t="shared" si="4"/>
        <v>6</v>
      </c>
      <c r="R12" s="7"/>
      <c r="S12" s="6">
        <v>6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0.75</v>
      </c>
      <c r="AD12" s="10">
        <f t="shared" ref="AD12:AD14" si="10">AC12*AB12*(1-O12)</f>
        <v>0.75</v>
      </c>
      <c r="AE12" s="36">
        <f t="shared" si="8"/>
        <v>0.39722222222222225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117</v>
      </c>
      <c r="E13" s="53" t="s">
        <v>143</v>
      </c>
      <c r="F13" s="30" t="s">
        <v>138</v>
      </c>
      <c r="G13" s="33">
        <v>4</v>
      </c>
      <c r="H13" s="35">
        <v>24</v>
      </c>
      <c r="I13" s="7">
        <v>850000</v>
      </c>
      <c r="J13" s="14">
        <v>22344</v>
      </c>
      <c r="K13" s="15">
        <f>L13+20676+20704+882+19912+11748+21560+18812+17048+21840+19920+21784+15116+10164</f>
        <v>242510</v>
      </c>
      <c r="L13" s="15">
        <f>2713*4+2873*4</f>
        <v>22344</v>
      </c>
      <c r="M13" s="15">
        <f t="shared" si="1"/>
        <v>22344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10"/>
        <v>1</v>
      </c>
      <c r="AE13" s="36">
        <f t="shared" si="8"/>
        <v>0.39722222222222225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328</v>
      </c>
      <c r="F14" s="30" t="s">
        <v>265</v>
      </c>
      <c r="G14" s="33">
        <v>1</v>
      </c>
      <c r="H14" s="35">
        <v>24</v>
      </c>
      <c r="I14" s="7">
        <v>200</v>
      </c>
      <c r="J14" s="5">
        <v>267</v>
      </c>
      <c r="K14" s="15">
        <f>L14+267</f>
        <v>267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10"/>
        <v>0</v>
      </c>
      <c r="AE14" s="36">
        <f t="shared" si="8"/>
        <v>0.39722222222222225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300</v>
      </c>
      <c r="D15" s="52" t="s">
        <v>302</v>
      </c>
      <c r="E15" s="53" t="s">
        <v>299</v>
      </c>
      <c r="F15" s="12" t="s">
        <v>321</v>
      </c>
      <c r="G15" s="12">
        <v>4</v>
      </c>
      <c r="H15" s="13">
        <v>24</v>
      </c>
      <c r="I15" s="31">
        <v>20000</v>
      </c>
      <c r="J15" s="14">
        <v>23732</v>
      </c>
      <c r="K15" s="15">
        <f>L15+21980+22464</f>
        <v>68176</v>
      </c>
      <c r="L15" s="15">
        <f>3153*4+2780*4</f>
        <v>23732</v>
      </c>
      <c r="M15" s="15">
        <f t="shared" si="1"/>
        <v>23732</v>
      </c>
      <c r="N15" s="15">
        <v>0</v>
      </c>
      <c r="O15" s="58">
        <f t="shared" si="2"/>
        <v>0</v>
      </c>
      <c r="P15" s="39">
        <f t="shared" si="3"/>
        <v>24</v>
      </c>
      <c r="Q15" s="40">
        <f t="shared" si="4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1</v>
      </c>
      <c r="AD15" s="10">
        <f t="shared" si="7"/>
        <v>1</v>
      </c>
      <c r="AE15" s="36">
        <f t="shared" si="8"/>
        <v>0.39722222222222225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284</v>
      </c>
      <c r="E16" s="53" t="s">
        <v>355</v>
      </c>
      <c r="F16" s="30" t="s">
        <v>140</v>
      </c>
      <c r="G16" s="12">
        <v>1</v>
      </c>
      <c r="H16" s="13">
        <v>28</v>
      </c>
      <c r="I16" s="7">
        <v>1200</v>
      </c>
      <c r="J16" s="14">
        <v>1346</v>
      </c>
      <c r="K16" s="15">
        <f>L16</f>
        <v>1346</v>
      </c>
      <c r="L16" s="15">
        <f>1346</f>
        <v>1346</v>
      </c>
      <c r="M16" s="15">
        <f t="shared" si="1"/>
        <v>1346</v>
      </c>
      <c r="N16" s="15">
        <v>0</v>
      </c>
      <c r="O16" s="58">
        <f t="shared" si="2"/>
        <v>0</v>
      </c>
      <c r="P16" s="39">
        <f t="shared" si="3"/>
        <v>7</v>
      </c>
      <c r="Q16" s="40">
        <f t="shared" si="4"/>
        <v>17</v>
      </c>
      <c r="R16" s="7"/>
      <c r="S16" s="6"/>
      <c r="T16" s="16"/>
      <c r="U16" s="16"/>
      <c r="V16" s="17"/>
      <c r="W16" s="5">
        <v>17</v>
      </c>
      <c r="X16" s="16"/>
      <c r="Y16" s="16"/>
      <c r="Z16" s="16"/>
      <c r="AA16" s="18"/>
      <c r="AB16" s="8">
        <f t="shared" si="5"/>
        <v>1</v>
      </c>
      <c r="AC16" s="9">
        <f t="shared" si="6"/>
        <v>0.29166666666666669</v>
      </c>
      <c r="AD16" s="10">
        <f t="shared" si="7"/>
        <v>0.29166666666666669</v>
      </c>
      <c r="AE16" s="36">
        <f t="shared" si="8"/>
        <v>0.39722222222222225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126</v>
      </c>
      <c r="D17" s="52" t="s">
        <v>233</v>
      </c>
      <c r="E17" s="53" t="s">
        <v>356</v>
      </c>
      <c r="F17" s="30" t="s">
        <v>142</v>
      </c>
      <c r="G17" s="33">
        <v>1</v>
      </c>
      <c r="H17" s="35">
        <v>24</v>
      </c>
      <c r="I17" s="7">
        <v>1000</v>
      </c>
      <c r="J17" s="5">
        <v>1107</v>
      </c>
      <c r="K17" s="15">
        <f>L17</f>
        <v>1107</v>
      </c>
      <c r="L17" s="15">
        <v>1107</v>
      </c>
      <c r="M17" s="15">
        <f t="shared" si="1"/>
        <v>1107</v>
      </c>
      <c r="N17" s="15">
        <v>0</v>
      </c>
      <c r="O17" s="58">
        <f t="shared" si="2"/>
        <v>0</v>
      </c>
      <c r="P17" s="39">
        <f t="shared" si="3"/>
        <v>7</v>
      </c>
      <c r="Q17" s="40">
        <f t="shared" si="4"/>
        <v>17</v>
      </c>
      <c r="R17" s="7"/>
      <c r="S17" s="6">
        <v>17</v>
      </c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0.29166666666666669</v>
      </c>
      <c r="AD17" s="10">
        <f t="shared" si="7"/>
        <v>0.29166666666666669</v>
      </c>
      <c r="AE17" s="36">
        <f t="shared" si="8"/>
        <v>0.39722222222222225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126</v>
      </c>
      <c r="D18" s="52" t="s">
        <v>341</v>
      </c>
      <c r="E18" s="53" t="s">
        <v>357</v>
      </c>
      <c r="F18" s="30" t="s">
        <v>121</v>
      </c>
      <c r="G18" s="33">
        <v>1</v>
      </c>
      <c r="H18" s="35">
        <v>24</v>
      </c>
      <c r="I18" s="7">
        <v>1000</v>
      </c>
      <c r="J18" s="5">
        <v>1300</v>
      </c>
      <c r="K18" s="15">
        <f>L18</f>
        <v>1300</v>
      </c>
      <c r="L18" s="15">
        <f>1300</f>
        <v>1300</v>
      </c>
      <c r="M18" s="15">
        <f t="shared" si="1"/>
        <v>1300</v>
      </c>
      <c r="N18" s="15">
        <v>0</v>
      </c>
      <c r="O18" s="58">
        <f t="shared" si="2"/>
        <v>0</v>
      </c>
      <c r="P18" s="39">
        <f t="shared" si="3"/>
        <v>8</v>
      </c>
      <c r="Q18" s="40">
        <f t="shared" si="4"/>
        <v>16</v>
      </c>
      <c r="R18" s="7"/>
      <c r="S18" s="6"/>
      <c r="T18" s="16"/>
      <c r="U18" s="16"/>
      <c r="V18" s="17"/>
      <c r="W18" s="5">
        <v>16</v>
      </c>
      <c r="X18" s="16"/>
      <c r="Y18" s="16"/>
      <c r="Z18" s="16"/>
      <c r="AA18" s="18"/>
      <c r="AB18" s="8">
        <f t="shared" si="5"/>
        <v>1</v>
      </c>
      <c r="AC18" s="9">
        <f t="shared" si="6"/>
        <v>0.33333333333333331</v>
      </c>
      <c r="AD18" s="10">
        <f>AC18*AB18*(1-O18)</f>
        <v>0.33333333333333331</v>
      </c>
      <c r="AE18" s="36">
        <f t="shared" si="8"/>
        <v>0.39722222222222225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34" t="s">
        <v>126</v>
      </c>
      <c r="D19" s="52" t="s">
        <v>117</v>
      </c>
      <c r="E19" s="53" t="s">
        <v>358</v>
      </c>
      <c r="F19" s="30" t="s">
        <v>121</v>
      </c>
      <c r="G19" s="33">
        <v>1</v>
      </c>
      <c r="H19" s="35">
        <v>24</v>
      </c>
      <c r="I19" s="7">
        <v>1000</v>
      </c>
      <c r="J19" s="5">
        <v>1100</v>
      </c>
      <c r="K19" s="15">
        <f>L19</f>
        <v>1100</v>
      </c>
      <c r="L19" s="15">
        <v>1100</v>
      </c>
      <c r="M19" s="15">
        <f t="shared" ref="M19" si="11">L19-N19</f>
        <v>1100</v>
      </c>
      <c r="N19" s="15">
        <v>0</v>
      </c>
      <c r="O19" s="58">
        <f t="shared" ref="O19" si="12">IF(L19=0,"0",N19/L19)</f>
        <v>0</v>
      </c>
      <c r="P19" s="39">
        <f t="shared" ref="P19" si="13">IF(L19=0,"0",(24-Q19))</f>
        <v>7</v>
      </c>
      <c r="Q19" s="40">
        <f t="shared" ref="Q19" si="14">SUM(R19:AA19)</f>
        <v>17</v>
      </c>
      <c r="R19" s="7"/>
      <c r="S19" s="6"/>
      <c r="T19" s="16"/>
      <c r="U19" s="16"/>
      <c r="V19" s="17"/>
      <c r="W19" s="5">
        <v>17</v>
      </c>
      <c r="X19" s="16"/>
      <c r="Y19" s="16"/>
      <c r="Z19" s="16"/>
      <c r="AA19" s="18"/>
      <c r="AB19" s="8">
        <f t="shared" ref="AB19" si="15">IF(J19=0,"0",(L19/J19))</f>
        <v>1</v>
      </c>
      <c r="AC19" s="9">
        <f t="shared" ref="AC19" si="16">IF(P19=0,"0",(P19/24))</f>
        <v>0.29166666666666669</v>
      </c>
      <c r="AD19" s="10">
        <f>AC19*AB19*(1-O19)</f>
        <v>0.29166666666666669</v>
      </c>
      <c r="AE19" s="36">
        <f t="shared" si="8"/>
        <v>0.39722222222222225</v>
      </c>
      <c r="AF19" s="87">
        <f t="shared" ref="AF19" si="17">A19</f>
        <v>14</v>
      </c>
    </row>
    <row r="20" spans="1:32" ht="27" customHeight="1">
      <c r="A20" s="103">
        <v>14</v>
      </c>
      <c r="B20" s="11" t="s">
        <v>57</v>
      </c>
      <c r="C20" s="11" t="s">
        <v>126</v>
      </c>
      <c r="D20" s="52" t="s">
        <v>202</v>
      </c>
      <c r="E20" s="53" t="s">
        <v>205</v>
      </c>
      <c r="F20" s="30" t="s">
        <v>138</v>
      </c>
      <c r="G20" s="33">
        <v>4</v>
      </c>
      <c r="H20" s="35">
        <v>24</v>
      </c>
      <c r="I20" s="7">
        <v>800000</v>
      </c>
      <c r="J20" s="14">
        <v>8924</v>
      </c>
      <c r="K20" s="15">
        <f>L20+12980+20160+21332+21348+21424+21388+19544</f>
        <v>147100</v>
      </c>
      <c r="L20" s="15">
        <f>2231*4</f>
        <v>8924</v>
      </c>
      <c r="M20" s="15">
        <f t="shared" si="1"/>
        <v>8924</v>
      </c>
      <c r="N20" s="15">
        <v>0</v>
      </c>
      <c r="O20" s="58">
        <f t="shared" si="2"/>
        <v>0</v>
      </c>
      <c r="P20" s="39">
        <f t="shared" si="3"/>
        <v>12</v>
      </c>
      <c r="Q20" s="40">
        <f t="shared" si="4"/>
        <v>12</v>
      </c>
      <c r="R20" s="7"/>
      <c r="S20" s="6">
        <v>12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</v>
      </c>
      <c r="AD20" s="10">
        <f t="shared" ref="AD20" si="18">AC20*AB20*(1-O20)</f>
        <v>0.5</v>
      </c>
      <c r="AE20" s="36">
        <f t="shared" si="8"/>
        <v>0.39722222222222225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144</v>
      </c>
      <c r="F21" s="12" t="s">
        <v>116</v>
      </c>
      <c r="G21" s="12">
        <v>3</v>
      </c>
      <c r="H21" s="35">
        <v>20</v>
      </c>
      <c r="I21" s="7">
        <v>200000</v>
      </c>
      <c r="J21" s="14">
        <v>34300</v>
      </c>
      <c r="K21" s="15">
        <f>L21+22050+34300</f>
        <v>56350</v>
      </c>
      <c r="L21" s="15"/>
      <c r="M21" s="15">
        <f t="shared" si="1"/>
        <v>0</v>
      </c>
      <c r="N21" s="15">
        <v>0</v>
      </c>
      <c r="O21" s="58" t="str">
        <f t="shared" si="2"/>
        <v>0</v>
      </c>
      <c r="P21" s="39" t="str">
        <f t="shared" si="3"/>
        <v>0</v>
      </c>
      <c r="Q21" s="40">
        <f t="shared" si="4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5"/>
        <v>0</v>
      </c>
      <c r="AC21" s="9">
        <f t="shared" si="6"/>
        <v>0</v>
      </c>
      <c r="AD21" s="10">
        <f t="shared" si="7"/>
        <v>0</v>
      </c>
      <c r="AE21" s="36">
        <f t="shared" si="8"/>
        <v>0.39722222222222225</v>
      </c>
      <c r="AF21" s="87">
        <f t="shared" si="9"/>
        <v>15</v>
      </c>
    </row>
    <row r="22" spans="1:32" ht="31.5" customHeight="1" thickBot="1">
      <c r="A22" s="431" t="s">
        <v>34</v>
      </c>
      <c r="B22" s="432"/>
      <c r="C22" s="432"/>
      <c r="D22" s="432"/>
      <c r="E22" s="432"/>
      <c r="F22" s="432"/>
      <c r="G22" s="432"/>
      <c r="H22" s="433"/>
      <c r="I22" s="22">
        <f t="shared" ref="I22:N22" si="19">SUM(I6:I21)</f>
        <v>2083600</v>
      </c>
      <c r="J22" s="19">
        <f t="shared" si="19"/>
        <v>144495</v>
      </c>
      <c r="K22" s="20">
        <f t="shared" si="19"/>
        <v>711707</v>
      </c>
      <c r="L22" s="21">
        <f t="shared" si="19"/>
        <v>96569</v>
      </c>
      <c r="M22" s="20">
        <f t="shared" si="19"/>
        <v>96569</v>
      </c>
      <c r="N22" s="21">
        <f t="shared" si="19"/>
        <v>0</v>
      </c>
      <c r="O22" s="41">
        <f t="shared" si="2"/>
        <v>0</v>
      </c>
      <c r="P22" s="42">
        <f t="shared" ref="P22:AA22" si="20">SUM(P6:P21)</f>
        <v>143</v>
      </c>
      <c r="Q22" s="43">
        <f t="shared" si="20"/>
        <v>241</v>
      </c>
      <c r="R22" s="23">
        <f t="shared" si="20"/>
        <v>24</v>
      </c>
      <c r="S22" s="24">
        <f t="shared" si="20"/>
        <v>59</v>
      </c>
      <c r="T22" s="24">
        <f t="shared" si="20"/>
        <v>12</v>
      </c>
      <c r="U22" s="24">
        <f t="shared" si="20"/>
        <v>0</v>
      </c>
      <c r="V22" s="25">
        <f t="shared" si="20"/>
        <v>24</v>
      </c>
      <c r="W22" s="26">
        <f t="shared" si="20"/>
        <v>122</v>
      </c>
      <c r="X22" s="27">
        <f t="shared" si="20"/>
        <v>0</v>
      </c>
      <c r="Y22" s="27">
        <f t="shared" si="20"/>
        <v>0</v>
      </c>
      <c r="Z22" s="27">
        <f t="shared" si="20"/>
        <v>0</v>
      </c>
      <c r="AA22" s="27">
        <f t="shared" si="20"/>
        <v>0</v>
      </c>
      <c r="AB22" s="28">
        <f>SUM(AB6:AB21)/15</f>
        <v>0.66666666666666663</v>
      </c>
      <c r="AC22" s="4">
        <f>SUM(AC6:AC21)/15</f>
        <v>0.39722222222222225</v>
      </c>
      <c r="AD22" s="4">
        <f>SUM(AD6:AD21)/15</f>
        <v>0.39722222222222225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34" t="s">
        <v>45</v>
      </c>
      <c r="B49" s="434"/>
      <c r="C49" s="434"/>
      <c r="D49" s="434"/>
      <c r="E49" s="434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35" t="s">
        <v>359</v>
      </c>
      <c r="B50" s="436"/>
      <c r="C50" s="436"/>
      <c r="D50" s="436"/>
      <c r="E50" s="436"/>
      <c r="F50" s="436"/>
      <c r="G50" s="436"/>
      <c r="H50" s="436"/>
      <c r="I50" s="436"/>
      <c r="J50" s="436"/>
      <c r="K50" s="436"/>
      <c r="L50" s="436"/>
      <c r="M50" s="437"/>
      <c r="N50" s="438" t="s">
        <v>369</v>
      </c>
      <c r="O50" s="439"/>
      <c r="P50" s="439"/>
      <c r="Q50" s="439"/>
      <c r="R50" s="439"/>
      <c r="S50" s="439"/>
      <c r="T50" s="439"/>
      <c r="U50" s="439"/>
      <c r="V50" s="439"/>
      <c r="W50" s="439"/>
      <c r="X50" s="439"/>
      <c r="Y50" s="439"/>
      <c r="Z50" s="439"/>
      <c r="AA50" s="439"/>
      <c r="AB50" s="439"/>
      <c r="AC50" s="439"/>
      <c r="AD50" s="440"/>
    </row>
    <row r="51" spans="1:32" ht="27" customHeight="1">
      <c r="A51" s="441" t="s">
        <v>2</v>
      </c>
      <c r="B51" s="442"/>
      <c r="C51" s="203" t="s">
        <v>46</v>
      </c>
      <c r="D51" s="203" t="s">
        <v>47</v>
      </c>
      <c r="E51" s="203" t="s">
        <v>108</v>
      </c>
      <c r="F51" s="442" t="s">
        <v>107</v>
      </c>
      <c r="G51" s="442"/>
      <c r="H51" s="442"/>
      <c r="I51" s="442"/>
      <c r="J51" s="442"/>
      <c r="K51" s="442"/>
      <c r="L51" s="442"/>
      <c r="M51" s="443"/>
      <c r="N51" s="67" t="s">
        <v>112</v>
      </c>
      <c r="O51" s="203" t="s">
        <v>46</v>
      </c>
      <c r="P51" s="444" t="s">
        <v>47</v>
      </c>
      <c r="Q51" s="445"/>
      <c r="R51" s="444" t="s">
        <v>38</v>
      </c>
      <c r="S51" s="446"/>
      <c r="T51" s="446"/>
      <c r="U51" s="445"/>
      <c r="V51" s="444" t="s">
        <v>48</v>
      </c>
      <c r="W51" s="446"/>
      <c r="X51" s="446"/>
      <c r="Y51" s="446"/>
      <c r="Z51" s="446"/>
      <c r="AA51" s="446"/>
      <c r="AB51" s="446"/>
      <c r="AC51" s="446"/>
      <c r="AD51" s="447"/>
    </row>
    <row r="52" spans="1:32" ht="27" customHeight="1">
      <c r="A52" s="412" t="s">
        <v>131</v>
      </c>
      <c r="B52" s="413"/>
      <c r="C52" s="214" t="s">
        <v>139</v>
      </c>
      <c r="D52" s="214"/>
      <c r="E52" s="214" t="s">
        <v>152</v>
      </c>
      <c r="F52" s="414" t="s">
        <v>360</v>
      </c>
      <c r="G52" s="415"/>
      <c r="H52" s="415"/>
      <c r="I52" s="415"/>
      <c r="J52" s="415"/>
      <c r="K52" s="415"/>
      <c r="L52" s="415"/>
      <c r="M52" s="416"/>
      <c r="N52" s="204" t="s">
        <v>114</v>
      </c>
      <c r="O52" s="210" t="s">
        <v>173</v>
      </c>
      <c r="P52" s="426" t="s">
        <v>163</v>
      </c>
      <c r="Q52" s="427"/>
      <c r="R52" s="426" t="s">
        <v>225</v>
      </c>
      <c r="S52" s="428"/>
      <c r="T52" s="428"/>
      <c r="U52" s="427"/>
      <c r="V52" s="396" t="s">
        <v>137</v>
      </c>
      <c r="W52" s="396"/>
      <c r="X52" s="396"/>
      <c r="Y52" s="396"/>
      <c r="Z52" s="396"/>
      <c r="AA52" s="396"/>
      <c r="AB52" s="396"/>
      <c r="AC52" s="396"/>
      <c r="AD52" s="417"/>
    </row>
    <row r="53" spans="1:32" ht="27" customHeight="1">
      <c r="A53" s="412" t="s">
        <v>126</v>
      </c>
      <c r="B53" s="413"/>
      <c r="C53" s="205" t="s">
        <v>130</v>
      </c>
      <c r="D53" s="205" t="s">
        <v>361</v>
      </c>
      <c r="E53" s="205" t="s">
        <v>354</v>
      </c>
      <c r="F53" s="414" t="s">
        <v>120</v>
      </c>
      <c r="G53" s="415"/>
      <c r="H53" s="415"/>
      <c r="I53" s="415"/>
      <c r="J53" s="415"/>
      <c r="K53" s="415"/>
      <c r="L53" s="415"/>
      <c r="M53" s="416"/>
      <c r="N53" s="204" t="s">
        <v>372</v>
      </c>
      <c r="O53" s="210" t="s">
        <v>373</v>
      </c>
      <c r="P53" s="426" t="s">
        <v>371</v>
      </c>
      <c r="Q53" s="427"/>
      <c r="R53" s="426" t="s">
        <v>370</v>
      </c>
      <c r="S53" s="428"/>
      <c r="T53" s="428"/>
      <c r="U53" s="427"/>
      <c r="V53" s="396" t="s">
        <v>374</v>
      </c>
      <c r="W53" s="396"/>
      <c r="X53" s="396"/>
      <c r="Y53" s="396"/>
      <c r="Z53" s="396"/>
      <c r="AA53" s="396"/>
      <c r="AB53" s="396"/>
      <c r="AC53" s="396"/>
      <c r="AD53" s="417"/>
    </row>
    <row r="54" spans="1:32" ht="27" customHeight="1">
      <c r="A54" s="412" t="s">
        <v>114</v>
      </c>
      <c r="B54" s="413"/>
      <c r="C54" s="205" t="s">
        <v>136</v>
      </c>
      <c r="D54" s="205" t="s">
        <v>117</v>
      </c>
      <c r="E54" s="205" t="s">
        <v>362</v>
      </c>
      <c r="F54" s="414" t="s">
        <v>120</v>
      </c>
      <c r="G54" s="415"/>
      <c r="H54" s="415"/>
      <c r="I54" s="415"/>
      <c r="J54" s="415"/>
      <c r="K54" s="415"/>
      <c r="L54" s="415"/>
      <c r="M54" s="416"/>
      <c r="N54" s="204" t="s">
        <v>376</v>
      </c>
      <c r="O54" s="210" t="s">
        <v>377</v>
      </c>
      <c r="P54" s="426" t="s">
        <v>378</v>
      </c>
      <c r="Q54" s="427"/>
      <c r="R54" s="426" t="s">
        <v>375</v>
      </c>
      <c r="S54" s="428"/>
      <c r="T54" s="428"/>
      <c r="U54" s="427"/>
      <c r="V54" s="396" t="s">
        <v>374</v>
      </c>
      <c r="W54" s="396"/>
      <c r="X54" s="396"/>
      <c r="Y54" s="396"/>
      <c r="Z54" s="396"/>
      <c r="AA54" s="396"/>
      <c r="AB54" s="396"/>
      <c r="AC54" s="396"/>
      <c r="AD54" s="417"/>
    </row>
    <row r="55" spans="1:32" ht="27" customHeight="1">
      <c r="A55" s="412" t="s">
        <v>114</v>
      </c>
      <c r="B55" s="413"/>
      <c r="C55" s="205" t="s">
        <v>258</v>
      </c>
      <c r="D55" s="205" t="s">
        <v>284</v>
      </c>
      <c r="E55" s="205" t="s">
        <v>363</v>
      </c>
      <c r="F55" s="414" t="s">
        <v>120</v>
      </c>
      <c r="G55" s="415"/>
      <c r="H55" s="415"/>
      <c r="I55" s="415"/>
      <c r="J55" s="415"/>
      <c r="K55" s="415"/>
      <c r="L55" s="415"/>
      <c r="M55" s="416"/>
      <c r="N55" s="204" t="s">
        <v>380</v>
      </c>
      <c r="O55" s="210" t="s">
        <v>381</v>
      </c>
      <c r="P55" s="426" t="s">
        <v>382</v>
      </c>
      <c r="Q55" s="427"/>
      <c r="R55" s="426" t="s">
        <v>379</v>
      </c>
      <c r="S55" s="428"/>
      <c r="T55" s="428"/>
      <c r="U55" s="427"/>
      <c r="V55" s="396" t="s">
        <v>374</v>
      </c>
      <c r="W55" s="396"/>
      <c r="X55" s="396"/>
      <c r="Y55" s="396"/>
      <c r="Z55" s="396"/>
      <c r="AA55" s="396"/>
      <c r="AB55" s="396"/>
      <c r="AC55" s="396"/>
      <c r="AD55" s="417"/>
    </row>
    <row r="56" spans="1:32" ht="27" customHeight="1">
      <c r="A56" s="412" t="s">
        <v>126</v>
      </c>
      <c r="B56" s="413"/>
      <c r="C56" s="205" t="s">
        <v>237</v>
      </c>
      <c r="D56" s="205" t="s">
        <v>233</v>
      </c>
      <c r="E56" s="205" t="s">
        <v>356</v>
      </c>
      <c r="F56" s="414" t="s">
        <v>364</v>
      </c>
      <c r="G56" s="415"/>
      <c r="H56" s="415"/>
      <c r="I56" s="415"/>
      <c r="J56" s="415"/>
      <c r="K56" s="415"/>
      <c r="L56" s="415"/>
      <c r="M56" s="416"/>
      <c r="N56" s="204" t="s">
        <v>384</v>
      </c>
      <c r="O56" s="210" t="s">
        <v>385</v>
      </c>
      <c r="P56" s="426" t="s">
        <v>386</v>
      </c>
      <c r="Q56" s="427"/>
      <c r="R56" s="426" t="s">
        <v>383</v>
      </c>
      <c r="S56" s="428"/>
      <c r="T56" s="428"/>
      <c r="U56" s="427"/>
      <c r="V56" s="396" t="s">
        <v>137</v>
      </c>
      <c r="W56" s="396"/>
      <c r="X56" s="396"/>
      <c r="Y56" s="396"/>
      <c r="Z56" s="396"/>
      <c r="AA56" s="396"/>
      <c r="AB56" s="396"/>
      <c r="AC56" s="396"/>
      <c r="AD56" s="417"/>
    </row>
    <row r="57" spans="1:32" ht="27" customHeight="1">
      <c r="A57" s="412" t="s">
        <v>126</v>
      </c>
      <c r="B57" s="413"/>
      <c r="C57" s="205" t="s">
        <v>173</v>
      </c>
      <c r="D57" s="205" t="s">
        <v>341</v>
      </c>
      <c r="E57" s="214" t="s">
        <v>357</v>
      </c>
      <c r="F57" s="414" t="s">
        <v>343</v>
      </c>
      <c r="G57" s="415"/>
      <c r="H57" s="415"/>
      <c r="I57" s="415"/>
      <c r="J57" s="415"/>
      <c r="K57" s="415"/>
      <c r="L57" s="415"/>
      <c r="M57" s="416"/>
      <c r="N57" s="204"/>
      <c r="O57" s="210"/>
      <c r="P57" s="426"/>
      <c r="Q57" s="427"/>
      <c r="R57" s="413"/>
      <c r="S57" s="413"/>
      <c r="T57" s="413"/>
      <c r="U57" s="413"/>
      <c r="V57" s="396"/>
      <c r="W57" s="396"/>
      <c r="X57" s="396"/>
      <c r="Y57" s="396"/>
      <c r="Z57" s="396"/>
      <c r="AA57" s="396"/>
      <c r="AB57" s="396"/>
      <c r="AC57" s="396"/>
      <c r="AD57" s="417"/>
    </row>
    <row r="58" spans="1:32" ht="27" customHeight="1">
      <c r="A58" s="412" t="s">
        <v>126</v>
      </c>
      <c r="B58" s="413"/>
      <c r="C58" s="205" t="s">
        <v>175</v>
      </c>
      <c r="D58" s="205" t="s">
        <v>117</v>
      </c>
      <c r="E58" s="214" t="s">
        <v>358</v>
      </c>
      <c r="F58" s="414" t="s">
        <v>343</v>
      </c>
      <c r="G58" s="415"/>
      <c r="H58" s="415"/>
      <c r="I58" s="415"/>
      <c r="J58" s="415"/>
      <c r="K58" s="415"/>
      <c r="L58" s="415"/>
      <c r="M58" s="416"/>
      <c r="N58" s="204"/>
      <c r="O58" s="210"/>
      <c r="P58" s="426"/>
      <c r="Q58" s="427"/>
      <c r="R58" s="413"/>
      <c r="S58" s="413"/>
      <c r="T58" s="413"/>
      <c r="U58" s="413"/>
      <c r="V58" s="396"/>
      <c r="W58" s="396"/>
      <c r="X58" s="396"/>
      <c r="Y58" s="396"/>
      <c r="Z58" s="396"/>
      <c r="AA58" s="396"/>
      <c r="AB58" s="396"/>
      <c r="AC58" s="396"/>
      <c r="AD58" s="417"/>
    </row>
    <row r="59" spans="1:32" ht="27" customHeight="1">
      <c r="A59" s="412" t="s">
        <v>126</v>
      </c>
      <c r="B59" s="413"/>
      <c r="C59" s="205" t="s">
        <v>365</v>
      </c>
      <c r="D59" s="205" t="s">
        <v>366</v>
      </c>
      <c r="E59" s="205" t="s">
        <v>368</v>
      </c>
      <c r="F59" s="414" t="s">
        <v>367</v>
      </c>
      <c r="G59" s="415"/>
      <c r="H59" s="415"/>
      <c r="I59" s="415"/>
      <c r="J59" s="415"/>
      <c r="K59" s="415"/>
      <c r="L59" s="415"/>
      <c r="M59" s="416"/>
      <c r="N59" s="204"/>
      <c r="O59" s="210"/>
      <c r="P59" s="426"/>
      <c r="Q59" s="427"/>
      <c r="R59" s="413"/>
      <c r="S59" s="413"/>
      <c r="T59" s="413"/>
      <c r="U59" s="413"/>
      <c r="V59" s="396"/>
      <c r="W59" s="396"/>
      <c r="X59" s="396"/>
      <c r="Y59" s="396"/>
      <c r="Z59" s="396"/>
      <c r="AA59" s="396"/>
      <c r="AB59" s="396"/>
      <c r="AC59" s="396"/>
      <c r="AD59" s="417"/>
    </row>
    <row r="60" spans="1:32" ht="27" customHeight="1">
      <c r="A60" s="412"/>
      <c r="B60" s="413"/>
      <c r="C60" s="205"/>
      <c r="D60" s="205"/>
      <c r="E60" s="205"/>
      <c r="F60" s="414"/>
      <c r="G60" s="415"/>
      <c r="H60" s="415"/>
      <c r="I60" s="415"/>
      <c r="J60" s="415"/>
      <c r="K60" s="415"/>
      <c r="L60" s="415"/>
      <c r="M60" s="416"/>
      <c r="N60" s="204"/>
      <c r="O60" s="210"/>
      <c r="P60" s="413"/>
      <c r="Q60" s="413"/>
      <c r="R60" s="413"/>
      <c r="S60" s="413"/>
      <c r="T60" s="413"/>
      <c r="U60" s="413"/>
      <c r="V60" s="396"/>
      <c r="W60" s="396"/>
      <c r="X60" s="396"/>
      <c r="Y60" s="396"/>
      <c r="Z60" s="396"/>
      <c r="AA60" s="396"/>
      <c r="AB60" s="396"/>
      <c r="AC60" s="396"/>
      <c r="AD60" s="417"/>
      <c r="AF60" s="87">
        <f>8*3000</f>
        <v>24000</v>
      </c>
    </row>
    <row r="61" spans="1:32" ht="27" customHeight="1" thickBot="1">
      <c r="A61" s="418"/>
      <c r="B61" s="419"/>
      <c r="C61" s="206"/>
      <c r="D61" s="207"/>
      <c r="E61" s="207"/>
      <c r="F61" s="420"/>
      <c r="G61" s="421"/>
      <c r="H61" s="421"/>
      <c r="I61" s="421"/>
      <c r="J61" s="421"/>
      <c r="K61" s="421"/>
      <c r="L61" s="421"/>
      <c r="M61" s="422"/>
      <c r="N61" s="124"/>
      <c r="O61" s="114"/>
      <c r="P61" s="423"/>
      <c r="Q61" s="423"/>
      <c r="R61" s="423"/>
      <c r="S61" s="423"/>
      <c r="T61" s="423"/>
      <c r="U61" s="423"/>
      <c r="V61" s="424"/>
      <c r="W61" s="424"/>
      <c r="X61" s="424"/>
      <c r="Y61" s="424"/>
      <c r="Z61" s="424"/>
      <c r="AA61" s="424"/>
      <c r="AB61" s="424"/>
      <c r="AC61" s="424"/>
      <c r="AD61" s="425"/>
      <c r="AF61" s="87">
        <f>16*3000</f>
        <v>48000</v>
      </c>
    </row>
    <row r="62" spans="1:32" ht="27.75" thickBot="1">
      <c r="A62" s="410" t="s">
        <v>387</v>
      </c>
      <c r="B62" s="410"/>
      <c r="C62" s="410"/>
      <c r="D62" s="410"/>
      <c r="E62" s="41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11" t="s">
        <v>113</v>
      </c>
      <c r="B63" s="406"/>
      <c r="C63" s="208" t="s">
        <v>2</v>
      </c>
      <c r="D63" s="208" t="s">
        <v>37</v>
      </c>
      <c r="E63" s="208" t="s">
        <v>3</v>
      </c>
      <c r="F63" s="406" t="s">
        <v>110</v>
      </c>
      <c r="G63" s="406"/>
      <c r="H63" s="406"/>
      <c r="I63" s="406"/>
      <c r="J63" s="406"/>
      <c r="K63" s="406" t="s">
        <v>39</v>
      </c>
      <c r="L63" s="406"/>
      <c r="M63" s="208" t="s">
        <v>40</v>
      </c>
      <c r="N63" s="406" t="s">
        <v>41</v>
      </c>
      <c r="O63" s="406"/>
      <c r="P63" s="403" t="s">
        <v>42</v>
      </c>
      <c r="Q63" s="405"/>
      <c r="R63" s="403" t="s">
        <v>43</v>
      </c>
      <c r="S63" s="404"/>
      <c r="T63" s="404"/>
      <c r="U63" s="404"/>
      <c r="V63" s="404"/>
      <c r="W63" s="404"/>
      <c r="X63" s="404"/>
      <c r="Y63" s="404"/>
      <c r="Z63" s="404"/>
      <c r="AA63" s="405"/>
      <c r="AB63" s="406" t="s">
        <v>44</v>
      </c>
      <c r="AC63" s="406"/>
      <c r="AD63" s="407"/>
      <c r="AF63" s="87">
        <f>SUM(AF60:AF62)</f>
        <v>96000</v>
      </c>
    </row>
    <row r="64" spans="1:32" ht="25.5" customHeight="1">
      <c r="A64" s="389">
        <v>1</v>
      </c>
      <c r="B64" s="390"/>
      <c r="C64" s="117" t="s">
        <v>126</v>
      </c>
      <c r="D64" s="212"/>
      <c r="E64" s="209" t="s">
        <v>117</v>
      </c>
      <c r="F64" s="391" t="s">
        <v>358</v>
      </c>
      <c r="G64" s="383"/>
      <c r="H64" s="383"/>
      <c r="I64" s="383"/>
      <c r="J64" s="383"/>
      <c r="K64" s="383" t="s">
        <v>121</v>
      </c>
      <c r="L64" s="383"/>
      <c r="M64" s="51" t="s">
        <v>192</v>
      </c>
      <c r="N64" s="401" t="s">
        <v>175</v>
      </c>
      <c r="O64" s="401"/>
      <c r="P64" s="402">
        <v>100</v>
      </c>
      <c r="Q64" s="402"/>
      <c r="R64" s="396"/>
      <c r="S64" s="396"/>
      <c r="T64" s="396"/>
      <c r="U64" s="396"/>
      <c r="V64" s="396"/>
      <c r="W64" s="396"/>
      <c r="X64" s="396"/>
      <c r="Y64" s="396"/>
      <c r="Z64" s="396"/>
      <c r="AA64" s="396"/>
      <c r="AB64" s="400"/>
      <c r="AC64" s="408"/>
      <c r="AD64" s="409"/>
      <c r="AF64" s="50"/>
    </row>
    <row r="65" spans="1:32" ht="25.5" customHeight="1">
      <c r="A65" s="389">
        <v>2</v>
      </c>
      <c r="B65" s="390"/>
      <c r="C65" s="117" t="s">
        <v>126</v>
      </c>
      <c r="D65" s="212"/>
      <c r="E65" s="209" t="s">
        <v>388</v>
      </c>
      <c r="F65" s="391" t="s">
        <v>357</v>
      </c>
      <c r="G65" s="383"/>
      <c r="H65" s="383"/>
      <c r="I65" s="383"/>
      <c r="J65" s="383"/>
      <c r="K65" s="383" t="s">
        <v>121</v>
      </c>
      <c r="L65" s="383"/>
      <c r="M65" s="51" t="s">
        <v>192</v>
      </c>
      <c r="N65" s="401" t="s">
        <v>173</v>
      </c>
      <c r="O65" s="401"/>
      <c r="P65" s="402">
        <v>100</v>
      </c>
      <c r="Q65" s="402"/>
      <c r="R65" s="396"/>
      <c r="S65" s="396"/>
      <c r="T65" s="396"/>
      <c r="U65" s="396"/>
      <c r="V65" s="396"/>
      <c r="W65" s="396"/>
      <c r="X65" s="396"/>
      <c r="Y65" s="396"/>
      <c r="Z65" s="396"/>
      <c r="AA65" s="396"/>
      <c r="AB65" s="383"/>
      <c r="AC65" s="383"/>
      <c r="AD65" s="384"/>
      <c r="AF65" s="50"/>
    </row>
    <row r="66" spans="1:32" ht="25.5" customHeight="1">
      <c r="A66" s="389">
        <v>3</v>
      </c>
      <c r="B66" s="390"/>
      <c r="C66" s="117" t="s">
        <v>126</v>
      </c>
      <c r="D66" s="212"/>
      <c r="E66" s="209" t="s">
        <v>389</v>
      </c>
      <c r="F66" s="397" t="s">
        <v>357</v>
      </c>
      <c r="G66" s="398"/>
      <c r="H66" s="398"/>
      <c r="I66" s="398"/>
      <c r="J66" s="399"/>
      <c r="K66" s="383">
        <v>8301</v>
      </c>
      <c r="L66" s="383"/>
      <c r="M66" s="51" t="s">
        <v>192</v>
      </c>
      <c r="N66" s="401" t="s">
        <v>237</v>
      </c>
      <c r="O66" s="401"/>
      <c r="P66" s="402">
        <v>100</v>
      </c>
      <c r="Q66" s="402"/>
      <c r="R66" s="396" t="s">
        <v>390</v>
      </c>
      <c r="S66" s="396"/>
      <c r="T66" s="396"/>
      <c r="U66" s="396"/>
      <c r="V66" s="396"/>
      <c r="W66" s="396"/>
      <c r="X66" s="396"/>
      <c r="Y66" s="396"/>
      <c r="Z66" s="396"/>
      <c r="AA66" s="396"/>
      <c r="AB66" s="383"/>
      <c r="AC66" s="383"/>
      <c r="AD66" s="384"/>
      <c r="AF66" s="50"/>
    </row>
    <row r="67" spans="1:32" ht="25.5" customHeight="1">
      <c r="A67" s="389">
        <v>4</v>
      </c>
      <c r="B67" s="390"/>
      <c r="C67" s="117"/>
      <c r="D67" s="212"/>
      <c r="E67" s="209"/>
      <c r="F67" s="397"/>
      <c r="G67" s="398"/>
      <c r="H67" s="398"/>
      <c r="I67" s="398"/>
      <c r="J67" s="399"/>
      <c r="K67" s="383"/>
      <c r="L67" s="383"/>
      <c r="M67" s="51"/>
      <c r="N67" s="401"/>
      <c r="O67" s="401"/>
      <c r="P67" s="402"/>
      <c r="Q67" s="402"/>
      <c r="R67" s="396"/>
      <c r="S67" s="396"/>
      <c r="T67" s="396"/>
      <c r="U67" s="396"/>
      <c r="V67" s="396"/>
      <c r="W67" s="396"/>
      <c r="X67" s="396"/>
      <c r="Y67" s="396"/>
      <c r="Z67" s="396"/>
      <c r="AA67" s="396"/>
      <c r="AB67" s="383"/>
      <c r="AC67" s="383"/>
      <c r="AD67" s="384"/>
      <c r="AF67" s="50"/>
    </row>
    <row r="68" spans="1:32" ht="25.5" customHeight="1">
      <c r="A68" s="389">
        <v>5</v>
      </c>
      <c r="B68" s="390"/>
      <c r="C68" s="117"/>
      <c r="D68" s="212"/>
      <c r="E68" s="209"/>
      <c r="F68" s="397"/>
      <c r="G68" s="398"/>
      <c r="H68" s="398"/>
      <c r="I68" s="398"/>
      <c r="J68" s="399"/>
      <c r="K68" s="400"/>
      <c r="L68" s="390"/>
      <c r="M68" s="51"/>
      <c r="N68" s="401"/>
      <c r="O68" s="401"/>
      <c r="P68" s="402"/>
      <c r="Q68" s="402"/>
      <c r="R68" s="396"/>
      <c r="S68" s="396"/>
      <c r="T68" s="396"/>
      <c r="U68" s="396"/>
      <c r="V68" s="396"/>
      <c r="W68" s="396"/>
      <c r="X68" s="396"/>
      <c r="Y68" s="396"/>
      <c r="Z68" s="396"/>
      <c r="AA68" s="396"/>
      <c r="AB68" s="383"/>
      <c r="AC68" s="383"/>
      <c r="AD68" s="384"/>
      <c r="AF68" s="50"/>
    </row>
    <row r="69" spans="1:32" ht="25.5" customHeight="1">
      <c r="A69" s="389">
        <v>6</v>
      </c>
      <c r="B69" s="390"/>
      <c r="C69" s="117"/>
      <c r="D69" s="212"/>
      <c r="E69" s="209"/>
      <c r="F69" s="391"/>
      <c r="G69" s="383"/>
      <c r="H69" s="383"/>
      <c r="I69" s="383"/>
      <c r="J69" s="383"/>
      <c r="K69" s="383"/>
      <c r="L69" s="383"/>
      <c r="M69" s="51"/>
      <c r="N69" s="392"/>
      <c r="O69" s="393"/>
      <c r="P69" s="394"/>
      <c r="Q69" s="395"/>
      <c r="R69" s="396"/>
      <c r="S69" s="396"/>
      <c r="T69" s="396"/>
      <c r="U69" s="396"/>
      <c r="V69" s="396"/>
      <c r="W69" s="396"/>
      <c r="X69" s="396"/>
      <c r="Y69" s="396"/>
      <c r="Z69" s="396"/>
      <c r="AA69" s="396"/>
      <c r="AB69" s="383"/>
      <c r="AC69" s="383"/>
      <c r="AD69" s="384"/>
      <c r="AF69" s="50"/>
    </row>
    <row r="70" spans="1:32" ht="25.5" customHeight="1">
      <c r="A70" s="389">
        <v>7</v>
      </c>
      <c r="B70" s="390"/>
      <c r="C70" s="117"/>
      <c r="D70" s="212"/>
      <c r="E70" s="209"/>
      <c r="F70" s="391"/>
      <c r="G70" s="383"/>
      <c r="H70" s="383"/>
      <c r="I70" s="383"/>
      <c r="J70" s="383"/>
      <c r="K70" s="383"/>
      <c r="L70" s="383"/>
      <c r="M70" s="51"/>
      <c r="N70" s="392"/>
      <c r="O70" s="393"/>
      <c r="P70" s="394"/>
      <c r="Q70" s="395"/>
      <c r="R70" s="396"/>
      <c r="S70" s="396"/>
      <c r="T70" s="396"/>
      <c r="U70" s="396"/>
      <c r="V70" s="396"/>
      <c r="W70" s="396"/>
      <c r="X70" s="396"/>
      <c r="Y70" s="396"/>
      <c r="Z70" s="396"/>
      <c r="AA70" s="396"/>
      <c r="AB70" s="383"/>
      <c r="AC70" s="383"/>
      <c r="AD70" s="384"/>
      <c r="AF70" s="50"/>
    </row>
    <row r="71" spans="1:32" ht="25.5" customHeight="1">
      <c r="A71" s="389">
        <v>8</v>
      </c>
      <c r="B71" s="390"/>
      <c r="C71" s="117"/>
      <c r="D71" s="212"/>
      <c r="E71" s="209"/>
      <c r="F71" s="391"/>
      <c r="G71" s="383"/>
      <c r="H71" s="383"/>
      <c r="I71" s="383"/>
      <c r="J71" s="383"/>
      <c r="K71" s="383"/>
      <c r="L71" s="383"/>
      <c r="M71" s="51"/>
      <c r="N71" s="392"/>
      <c r="O71" s="393"/>
      <c r="P71" s="394"/>
      <c r="Q71" s="395"/>
      <c r="R71" s="396"/>
      <c r="S71" s="396"/>
      <c r="T71" s="396"/>
      <c r="U71" s="396"/>
      <c r="V71" s="396"/>
      <c r="W71" s="396"/>
      <c r="X71" s="396"/>
      <c r="Y71" s="396"/>
      <c r="Z71" s="396"/>
      <c r="AA71" s="396"/>
      <c r="AB71" s="383"/>
      <c r="AC71" s="383"/>
      <c r="AD71" s="384"/>
      <c r="AF71" s="50"/>
    </row>
    <row r="72" spans="1:32" ht="26.25" customHeight="1" thickBot="1">
      <c r="A72" s="363" t="s">
        <v>391</v>
      </c>
      <c r="B72" s="363"/>
      <c r="C72" s="363"/>
      <c r="D72" s="363"/>
      <c r="E72" s="363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364" t="s">
        <v>113</v>
      </c>
      <c r="B73" s="365"/>
      <c r="C73" s="211" t="s">
        <v>2</v>
      </c>
      <c r="D73" s="211" t="s">
        <v>37</v>
      </c>
      <c r="E73" s="211" t="s">
        <v>3</v>
      </c>
      <c r="F73" s="365" t="s">
        <v>38</v>
      </c>
      <c r="G73" s="365"/>
      <c r="H73" s="365"/>
      <c r="I73" s="365"/>
      <c r="J73" s="365"/>
      <c r="K73" s="385" t="s">
        <v>58</v>
      </c>
      <c r="L73" s="386"/>
      <c r="M73" s="386"/>
      <c r="N73" s="386"/>
      <c r="O73" s="386"/>
      <c r="P73" s="386"/>
      <c r="Q73" s="386"/>
      <c r="R73" s="386"/>
      <c r="S73" s="387"/>
      <c r="T73" s="365" t="s">
        <v>49</v>
      </c>
      <c r="U73" s="365"/>
      <c r="V73" s="385" t="s">
        <v>50</v>
      </c>
      <c r="W73" s="387"/>
      <c r="X73" s="386" t="s">
        <v>51</v>
      </c>
      <c r="Y73" s="386"/>
      <c r="Z73" s="386"/>
      <c r="AA73" s="386"/>
      <c r="AB73" s="386"/>
      <c r="AC73" s="386"/>
      <c r="AD73" s="388"/>
      <c r="AF73" s="50"/>
    </row>
    <row r="74" spans="1:32" ht="33.75" customHeight="1">
      <c r="A74" s="357">
        <v>1</v>
      </c>
      <c r="B74" s="358"/>
      <c r="C74" s="213" t="s">
        <v>114</v>
      </c>
      <c r="D74" s="213"/>
      <c r="E74" s="65" t="s">
        <v>119</v>
      </c>
      <c r="F74" s="372" t="s">
        <v>118</v>
      </c>
      <c r="G74" s="373"/>
      <c r="H74" s="373"/>
      <c r="I74" s="373"/>
      <c r="J74" s="374"/>
      <c r="K74" s="375" t="s">
        <v>128</v>
      </c>
      <c r="L74" s="376"/>
      <c r="M74" s="376"/>
      <c r="N74" s="376"/>
      <c r="O74" s="376"/>
      <c r="P74" s="376"/>
      <c r="Q74" s="376"/>
      <c r="R74" s="376"/>
      <c r="S74" s="377"/>
      <c r="T74" s="378">
        <v>43675</v>
      </c>
      <c r="U74" s="379"/>
      <c r="V74" s="380"/>
      <c r="W74" s="380"/>
      <c r="X74" s="381"/>
      <c r="Y74" s="381"/>
      <c r="Z74" s="381"/>
      <c r="AA74" s="381"/>
      <c r="AB74" s="381"/>
      <c r="AC74" s="381"/>
      <c r="AD74" s="382"/>
      <c r="AF74" s="50"/>
    </row>
    <row r="75" spans="1:32" ht="30" customHeight="1">
      <c r="A75" s="350">
        <f>A74+1</f>
        <v>2</v>
      </c>
      <c r="B75" s="351"/>
      <c r="C75" s="212"/>
      <c r="D75" s="212"/>
      <c r="E75" s="32"/>
      <c r="F75" s="351"/>
      <c r="G75" s="351"/>
      <c r="H75" s="351"/>
      <c r="I75" s="351"/>
      <c r="J75" s="351"/>
      <c r="K75" s="366"/>
      <c r="L75" s="367"/>
      <c r="M75" s="367"/>
      <c r="N75" s="367"/>
      <c r="O75" s="367"/>
      <c r="P75" s="367"/>
      <c r="Q75" s="367"/>
      <c r="R75" s="367"/>
      <c r="S75" s="368"/>
      <c r="T75" s="369"/>
      <c r="U75" s="369"/>
      <c r="V75" s="369"/>
      <c r="W75" s="369"/>
      <c r="X75" s="370"/>
      <c r="Y75" s="370"/>
      <c r="Z75" s="370"/>
      <c r="AA75" s="370"/>
      <c r="AB75" s="370"/>
      <c r="AC75" s="370"/>
      <c r="AD75" s="371"/>
      <c r="AF75" s="50"/>
    </row>
    <row r="76" spans="1:32" ht="30" customHeight="1">
      <c r="A76" s="350">
        <f t="shared" ref="A76:A82" si="21">A75+1</f>
        <v>3</v>
      </c>
      <c r="B76" s="351"/>
      <c r="C76" s="212"/>
      <c r="D76" s="212"/>
      <c r="E76" s="32"/>
      <c r="F76" s="351"/>
      <c r="G76" s="351"/>
      <c r="H76" s="351"/>
      <c r="I76" s="351"/>
      <c r="J76" s="351"/>
      <c r="K76" s="366"/>
      <c r="L76" s="367"/>
      <c r="M76" s="367"/>
      <c r="N76" s="367"/>
      <c r="O76" s="367"/>
      <c r="P76" s="367"/>
      <c r="Q76" s="367"/>
      <c r="R76" s="367"/>
      <c r="S76" s="368"/>
      <c r="T76" s="369"/>
      <c r="U76" s="369"/>
      <c r="V76" s="369"/>
      <c r="W76" s="369"/>
      <c r="X76" s="370"/>
      <c r="Y76" s="370"/>
      <c r="Z76" s="370"/>
      <c r="AA76" s="370"/>
      <c r="AB76" s="370"/>
      <c r="AC76" s="370"/>
      <c r="AD76" s="371"/>
      <c r="AF76" s="50"/>
    </row>
    <row r="77" spans="1:32" ht="30" customHeight="1">
      <c r="A77" s="350">
        <f t="shared" si="21"/>
        <v>4</v>
      </c>
      <c r="B77" s="351"/>
      <c r="C77" s="212"/>
      <c r="D77" s="212"/>
      <c r="E77" s="32"/>
      <c r="F77" s="351"/>
      <c r="G77" s="351"/>
      <c r="H77" s="351"/>
      <c r="I77" s="351"/>
      <c r="J77" s="351"/>
      <c r="K77" s="366"/>
      <c r="L77" s="367"/>
      <c r="M77" s="367"/>
      <c r="N77" s="367"/>
      <c r="O77" s="367"/>
      <c r="P77" s="367"/>
      <c r="Q77" s="367"/>
      <c r="R77" s="367"/>
      <c r="S77" s="368"/>
      <c r="T77" s="369"/>
      <c r="U77" s="369"/>
      <c r="V77" s="369"/>
      <c r="W77" s="369"/>
      <c r="X77" s="370"/>
      <c r="Y77" s="370"/>
      <c r="Z77" s="370"/>
      <c r="AA77" s="370"/>
      <c r="AB77" s="370"/>
      <c r="AC77" s="370"/>
      <c r="AD77" s="371"/>
      <c r="AF77" s="50"/>
    </row>
    <row r="78" spans="1:32" ht="30" customHeight="1">
      <c r="A78" s="350">
        <f t="shared" si="21"/>
        <v>5</v>
      </c>
      <c r="B78" s="351"/>
      <c r="C78" s="212"/>
      <c r="D78" s="212"/>
      <c r="E78" s="32"/>
      <c r="F78" s="351"/>
      <c r="G78" s="351"/>
      <c r="H78" s="351"/>
      <c r="I78" s="351"/>
      <c r="J78" s="351"/>
      <c r="K78" s="366"/>
      <c r="L78" s="367"/>
      <c r="M78" s="367"/>
      <c r="N78" s="367"/>
      <c r="O78" s="367"/>
      <c r="P78" s="367"/>
      <c r="Q78" s="367"/>
      <c r="R78" s="367"/>
      <c r="S78" s="368"/>
      <c r="T78" s="369"/>
      <c r="U78" s="369"/>
      <c r="V78" s="369"/>
      <c r="W78" s="369"/>
      <c r="X78" s="370"/>
      <c r="Y78" s="370"/>
      <c r="Z78" s="370"/>
      <c r="AA78" s="370"/>
      <c r="AB78" s="370"/>
      <c r="AC78" s="370"/>
      <c r="AD78" s="371"/>
      <c r="AF78" s="50"/>
    </row>
    <row r="79" spans="1:32" ht="30" customHeight="1">
      <c r="A79" s="350">
        <f t="shared" si="21"/>
        <v>6</v>
      </c>
      <c r="B79" s="351"/>
      <c r="C79" s="212"/>
      <c r="D79" s="212"/>
      <c r="E79" s="32"/>
      <c r="F79" s="351"/>
      <c r="G79" s="351"/>
      <c r="H79" s="351"/>
      <c r="I79" s="351"/>
      <c r="J79" s="351"/>
      <c r="K79" s="366"/>
      <c r="L79" s="367"/>
      <c r="M79" s="367"/>
      <c r="N79" s="367"/>
      <c r="O79" s="367"/>
      <c r="P79" s="367"/>
      <c r="Q79" s="367"/>
      <c r="R79" s="367"/>
      <c r="S79" s="368"/>
      <c r="T79" s="369"/>
      <c r="U79" s="369"/>
      <c r="V79" s="369"/>
      <c r="W79" s="369"/>
      <c r="X79" s="370"/>
      <c r="Y79" s="370"/>
      <c r="Z79" s="370"/>
      <c r="AA79" s="370"/>
      <c r="AB79" s="370"/>
      <c r="AC79" s="370"/>
      <c r="AD79" s="371"/>
      <c r="AF79" s="50"/>
    </row>
    <row r="80" spans="1:32" ht="30" customHeight="1">
      <c r="A80" s="350">
        <f t="shared" si="21"/>
        <v>7</v>
      </c>
      <c r="B80" s="351"/>
      <c r="C80" s="212"/>
      <c r="D80" s="212"/>
      <c r="E80" s="32"/>
      <c r="F80" s="351"/>
      <c r="G80" s="351"/>
      <c r="H80" s="351"/>
      <c r="I80" s="351"/>
      <c r="J80" s="351"/>
      <c r="K80" s="366"/>
      <c r="L80" s="367"/>
      <c r="M80" s="367"/>
      <c r="N80" s="367"/>
      <c r="O80" s="367"/>
      <c r="P80" s="367"/>
      <c r="Q80" s="367"/>
      <c r="R80" s="367"/>
      <c r="S80" s="368"/>
      <c r="T80" s="369"/>
      <c r="U80" s="369"/>
      <c r="V80" s="369"/>
      <c r="W80" s="369"/>
      <c r="X80" s="370"/>
      <c r="Y80" s="370"/>
      <c r="Z80" s="370"/>
      <c r="AA80" s="370"/>
      <c r="AB80" s="370"/>
      <c r="AC80" s="370"/>
      <c r="AD80" s="371"/>
      <c r="AF80" s="50"/>
    </row>
    <row r="81" spans="1:32" ht="30" customHeight="1">
      <c r="A81" s="350">
        <f t="shared" si="21"/>
        <v>8</v>
      </c>
      <c r="B81" s="351"/>
      <c r="C81" s="212"/>
      <c r="D81" s="212"/>
      <c r="E81" s="32"/>
      <c r="F81" s="351"/>
      <c r="G81" s="351"/>
      <c r="H81" s="351"/>
      <c r="I81" s="351"/>
      <c r="J81" s="351"/>
      <c r="K81" s="366"/>
      <c r="L81" s="367"/>
      <c r="M81" s="367"/>
      <c r="N81" s="367"/>
      <c r="O81" s="367"/>
      <c r="P81" s="367"/>
      <c r="Q81" s="367"/>
      <c r="R81" s="367"/>
      <c r="S81" s="368"/>
      <c r="T81" s="369"/>
      <c r="U81" s="369"/>
      <c r="V81" s="369"/>
      <c r="W81" s="369"/>
      <c r="X81" s="370"/>
      <c r="Y81" s="370"/>
      <c r="Z81" s="370"/>
      <c r="AA81" s="370"/>
      <c r="AB81" s="370"/>
      <c r="AC81" s="370"/>
      <c r="AD81" s="371"/>
      <c r="AF81" s="50"/>
    </row>
    <row r="82" spans="1:32" ht="30" customHeight="1">
      <c r="A82" s="350">
        <f t="shared" si="21"/>
        <v>9</v>
      </c>
      <c r="B82" s="351"/>
      <c r="C82" s="212"/>
      <c r="D82" s="212"/>
      <c r="E82" s="32"/>
      <c r="F82" s="351"/>
      <c r="G82" s="351"/>
      <c r="H82" s="351"/>
      <c r="I82" s="351"/>
      <c r="J82" s="351"/>
      <c r="K82" s="366"/>
      <c r="L82" s="367"/>
      <c r="M82" s="367"/>
      <c r="N82" s="367"/>
      <c r="O82" s="367"/>
      <c r="P82" s="367"/>
      <c r="Q82" s="367"/>
      <c r="R82" s="367"/>
      <c r="S82" s="368"/>
      <c r="T82" s="369"/>
      <c r="U82" s="369"/>
      <c r="V82" s="369"/>
      <c r="W82" s="369"/>
      <c r="X82" s="370"/>
      <c r="Y82" s="370"/>
      <c r="Z82" s="370"/>
      <c r="AA82" s="370"/>
      <c r="AB82" s="370"/>
      <c r="AC82" s="370"/>
      <c r="AD82" s="371"/>
      <c r="AF82" s="50"/>
    </row>
    <row r="83" spans="1:32" ht="36" thickBot="1">
      <c r="A83" s="363" t="s">
        <v>392</v>
      </c>
      <c r="B83" s="363"/>
      <c r="C83" s="363"/>
      <c r="D83" s="363"/>
      <c r="E83" s="363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64" t="s">
        <v>113</v>
      </c>
      <c r="B84" s="365"/>
      <c r="C84" s="355" t="s">
        <v>52</v>
      </c>
      <c r="D84" s="355"/>
      <c r="E84" s="355" t="s">
        <v>53</v>
      </c>
      <c r="F84" s="355"/>
      <c r="G84" s="355"/>
      <c r="H84" s="355"/>
      <c r="I84" s="355"/>
      <c r="J84" s="355"/>
      <c r="K84" s="355" t="s">
        <v>54</v>
      </c>
      <c r="L84" s="355"/>
      <c r="M84" s="355"/>
      <c r="N84" s="355"/>
      <c r="O84" s="355"/>
      <c r="P84" s="355"/>
      <c r="Q84" s="355"/>
      <c r="R84" s="355"/>
      <c r="S84" s="355"/>
      <c r="T84" s="355" t="s">
        <v>55</v>
      </c>
      <c r="U84" s="355"/>
      <c r="V84" s="355" t="s">
        <v>56</v>
      </c>
      <c r="W84" s="355"/>
      <c r="X84" s="355"/>
      <c r="Y84" s="355" t="s">
        <v>51</v>
      </c>
      <c r="Z84" s="355"/>
      <c r="AA84" s="355"/>
      <c r="AB84" s="355"/>
      <c r="AC84" s="355"/>
      <c r="AD84" s="356"/>
      <c r="AF84" s="50"/>
    </row>
    <row r="85" spans="1:32" ht="30.75" customHeight="1">
      <c r="A85" s="357">
        <v>1</v>
      </c>
      <c r="B85" s="358"/>
      <c r="C85" s="359">
        <v>8</v>
      </c>
      <c r="D85" s="359"/>
      <c r="E85" s="359" t="s">
        <v>349</v>
      </c>
      <c r="F85" s="359"/>
      <c r="G85" s="359"/>
      <c r="H85" s="359"/>
      <c r="I85" s="359"/>
      <c r="J85" s="359"/>
      <c r="K85" s="359" t="s">
        <v>350</v>
      </c>
      <c r="L85" s="359"/>
      <c r="M85" s="359"/>
      <c r="N85" s="359"/>
      <c r="O85" s="359"/>
      <c r="P85" s="359"/>
      <c r="Q85" s="359"/>
      <c r="R85" s="359"/>
      <c r="S85" s="359"/>
      <c r="T85" s="359" t="s">
        <v>351</v>
      </c>
      <c r="U85" s="359"/>
      <c r="V85" s="360">
        <v>204000</v>
      </c>
      <c r="W85" s="360"/>
      <c r="X85" s="360"/>
      <c r="Y85" s="361"/>
      <c r="Z85" s="361"/>
      <c r="AA85" s="361"/>
      <c r="AB85" s="361"/>
      <c r="AC85" s="361"/>
      <c r="AD85" s="362"/>
      <c r="AF85" s="50"/>
    </row>
    <row r="86" spans="1:32" ht="30.75" customHeight="1">
      <c r="A86" s="350">
        <v>2</v>
      </c>
      <c r="B86" s="351"/>
      <c r="C86" s="352"/>
      <c r="D86" s="352"/>
      <c r="E86" s="352"/>
      <c r="F86" s="352"/>
      <c r="G86" s="352"/>
      <c r="H86" s="352"/>
      <c r="I86" s="352"/>
      <c r="J86" s="352"/>
      <c r="K86" s="352"/>
      <c r="L86" s="352"/>
      <c r="M86" s="352"/>
      <c r="N86" s="352"/>
      <c r="O86" s="352"/>
      <c r="P86" s="352"/>
      <c r="Q86" s="352"/>
      <c r="R86" s="352"/>
      <c r="S86" s="352"/>
      <c r="T86" s="353"/>
      <c r="U86" s="353"/>
      <c r="V86" s="354"/>
      <c r="W86" s="354"/>
      <c r="X86" s="354"/>
      <c r="Y86" s="343"/>
      <c r="Z86" s="343"/>
      <c r="AA86" s="343"/>
      <c r="AB86" s="343"/>
      <c r="AC86" s="343"/>
      <c r="AD86" s="344"/>
      <c r="AF86" s="50"/>
    </row>
    <row r="87" spans="1:32" ht="30.75" customHeight="1" thickBot="1">
      <c r="A87" s="345">
        <v>3</v>
      </c>
      <c r="B87" s="346"/>
      <c r="C87" s="347"/>
      <c r="D87" s="347"/>
      <c r="E87" s="347"/>
      <c r="F87" s="347"/>
      <c r="G87" s="347"/>
      <c r="H87" s="347"/>
      <c r="I87" s="347"/>
      <c r="J87" s="347"/>
      <c r="K87" s="347"/>
      <c r="L87" s="347"/>
      <c r="M87" s="347"/>
      <c r="N87" s="347"/>
      <c r="O87" s="347"/>
      <c r="P87" s="347"/>
      <c r="Q87" s="347"/>
      <c r="R87" s="347"/>
      <c r="S87" s="347"/>
      <c r="T87" s="347"/>
      <c r="U87" s="347"/>
      <c r="V87" s="347"/>
      <c r="W87" s="347"/>
      <c r="X87" s="347"/>
      <c r="Y87" s="348"/>
      <c r="Z87" s="348"/>
      <c r="AA87" s="348"/>
      <c r="AB87" s="348"/>
      <c r="AC87" s="348"/>
      <c r="AD87" s="349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D5DD-1648-4F9A-B636-85D32B1D4FEC}">
  <dimension ref="A1:AF86"/>
  <sheetViews>
    <sheetView zoomScale="72" zoomScaleNormal="72" zoomScaleSheetLayoutView="70" workbookViewId="0">
      <selection activeCell="L16" sqref="L1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58" t="s">
        <v>393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8"/>
      <c r="B2" s="458"/>
      <c r="C2" s="458"/>
      <c r="D2" s="458"/>
      <c r="E2" s="458"/>
      <c r="F2" s="458"/>
      <c r="G2" s="458"/>
      <c r="H2" s="458"/>
      <c r="I2" s="458"/>
      <c r="J2" s="458"/>
      <c r="K2" s="458"/>
      <c r="L2" s="458"/>
      <c r="M2" s="458"/>
      <c r="N2" s="458"/>
      <c r="O2" s="45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9"/>
      <c r="B3" s="459"/>
      <c r="C3" s="459"/>
      <c r="D3" s="459"/>
      <c r="E3" s="459"/>
      <c r="F3" s="459"/>
      <c r="G3" s="45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0" t="s">
        <v>0</v>
      </c>
      <c r="B4" s="462" t="s">
        <v>1</v>
      </c>
      <c r="C4" s="462" t="s">
        <v>2</v>
      </c>
      <c r="D4" s="465" t="s">
        <v>3</v>
      </c>
      <c r="E4" s="467" t="s">
        <v>4</v>
      </c>
      <c r="F4" s="465" t="s">
        <v>5</v>
      </c>
      <c r="G4" s="462" t="s">
        <v>6</v>
      </c>
      <c r="H4" s="468" t="s">
        <v>7</v>
      </c>
      <c r="I4" s="448" t="s">
        <v>8</v>
      </c>
      <c r="J4" s="449"/>
      <c r="K4" s="449"/>
      <c r="L4" s="449"/>
      <c r="M4" s="449"/>
      <c r="N4" s="449"/>
      <c r="O4" s="450"/>
      <c r="P4" s="451" t="s">
        <v>9</v>
      </c>
      <c r="Q4" s="452"/>
      <c r="R4" s="453" t="s">
        <v>10</v>
      </c>
      <c r="S4" s="453"/>
      <c r="T4" s="453"/>
      <c r="U4" s="453"/>
      <c r="V4" s="453"/>
      <c r="W4" s="454" t="s">
        <v>11</v>
      </c>
      <c r="X4" s="453"/>
      <c r="Y4" s="453"/>
      <c r="Z4" s="453"/>
      <c r="AA4" s="455"/>
      <c r="AB4" s="456" t="s">
        <v>12</v>
      </c>
      <c r="AC4" s="429" t="s">
        <v>13</v>
      </c>
      <c r="AD4" s="429" t="s">
        <v>14</v>
      </c>
      <c r="AE4" s="54"/>
    </row>
    <row r="5" spans="1:32" ht="51" customHeight="1" thickBot="1">
      <c r="A5" s="461"/>
      <c r="B5" s="463"/>
      <c r="C5" s="464"/>
      <c r="D5" s="466"/>
      <c r="E5" s="466"/>
      <c r="F5" s="466"/>
      <c r="G5" s="463"/>
      <c r="H5" s="469"/>
      <c r="I5" s="55" t="s">
        <v>15</v>
      </c>
      <c r="J5" s="56" t="s">
        <v>16</v>
      </c>
      <c r="K5" s="215" t="s">
        <v>17</v>
      </c>
      <c r="L5" s="215" t="s">
        <v>18</v>
      </c>
      <c r="M5" s="215" t="s">
        <v>19</v>
      </c>
      <c r="N5" s="21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57"/>
      <c r="AC5" s="430"/>
      <c r="AD5" s="43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0.46944444444444439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126</v>
      </c>
      <c r="D7" s="52" t="s">
        <v>127</v>
      </c>
      <c r="E7" s="53" t="s">
        <v>125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0.46944444444444439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126</v>
      </c>
      <c r="D8" s="52" t="s">
        <v>119</v>
      </c>
      <c r="E8" s="53" t="s">
        <v>379</v>
      </c>
      <c r="F8" s="30" t="s">
        <v>138</v>
      </c>
      <c r="G8" s="33">
        <v>1</v>
      </c>
      <c r="H8" s="35">
        <v>24</v>
      </c>
      <c r="I8" s="7">
        <v>2000</v>
      </c>
      <c r="J8" s="14">
        <v>3138</v>
      </c>
      <c r="K8" s="15">
        <f>L8</f>
        <v>3138</v>
      </c>
      <c r="L8" s="15">
        <f>826+2312</f>
        <v>3138</v>
      </c>
      <c r="M8" s="15">
        <f t="shared" si="1"/>
        <v>3138</v>
      </c>
      <c r="N8" s="15">
        <v>0</v>
      </c>
      <c r="O8" s="58">
        <f t="shared" si="2"/>
        <v>0</v>
      </c>
      <c r="P8" s="39">
        <f t="shared" si="3"/>
        <v>19</v>
      </c>
      <c r="Q8" s="40">
        <f t="shared" si="4"/>
        <v>5</v>
      </c>
      <c r="R8" s="7"/>
      <c r="S8" s="6"/>
      <c r="T8" s="16"/>
      <c r="U8" s="16"/>
      <c r="V8" s="17"/>
      <c r="W8" s="5">
        <v>5</v>
      </c>
      <c r="X8" s="16"/>
      <c r="Y8" s="16"/>
      <c r="Z8" s="16"/>
      <c r="AA8" s="18"/>
      <c r="AB8" s="8">
        <f t="shared" si="5"/>
        <v>1</v>
      </c>
      <c r="AC8" s="9">
        <f t="shared" si="6"/>
        <v>0.79166666666666663</v>
      </c>
      <c r="AD8" s="10">
        <f t="shared" si="7"/>
        <v>0.79166666666666663</v>
      </c>
      <c r="AE8" s="36">
        <f t="shared" si="8"/>
        <v>0.46944444444444439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275</v>
      </c>
      <c r="E9" s="53" t="s">
        <v>319</v>
      </c>
      <c r="F9" s="30" t="s">
        <v>132</v>
      </c>
      <c r="G9" s="33">
        <v>4</v>
      </c>
      <c r="H9" s="35">
        <v>24</v>
      </c>
      <c r="I9" s="7">
        <v>50000</v>
      </c>
      <c r="J9" s="14">
        <v>10416</v>
      </c>
      <c r="K9" s="15">
        <f>L9+14524+30712</f>
        <v>55652</v>
      </c>
      <c r="L9" s="15">
        <f>2604*4</f>
        <v>10416</v>
      </c>
      <c r="M9" s="15">
        <f t="shared" si="1"/>
        <v>10416</v>
      </c>
      <c r="N9" s="15">
        <v>0</v>
      </c>
      <c r="O9" s="58">
        <f t="shared" si="2"/>
        <v>0</v>
      </c>
      <c r="P9" s="39">
        <f t="shared" si="3"/>
        <v>8</v>
      </c>
      <c r="Q9" s="40">
        <f t="shared" si="4"/>
        <v>16</v>
      </c>
      <c r="R9" s="7"/>
      <c r="S9" s="6">
        <v>16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0.33333333333333331</v>
      </c>
      <c r="AD9" s="10">
        <f t="shared" si="7"/>
        <v>0.33333333333333331</v>
      </c>
      <c r="AE9" s="36">
        <f t="shared" si="8"/>
        <v>0.46944444444444439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131</v>
      </c>
      <c r="D10" s="52" t="s">
        <v>150</v>
      </c>
      <c r="E10" s="53" t="s">
        <v>152</v>
      </c>
      <c r="F10" s="30" t="s">
        <v>121</v>
      </c>
      <c r="G10" s="33">
        <v>2</v>
      </c>
      <c r="H10" s="35">
        <v>24</v>
      </c>
      <c r="I10" s="7">
        <v>130000</v>
      </c>
      <c r="J10" s="5">
        <v>3480</v>
      </c>
      <c r="K10" s="15">
        <f>L10+13288+10116+14610+5976+7143+12482+1676+11964+11004+13758+11480+4868+7902</f>
        <v>129747</v>
      </c>
      <c r="L10" s="15">
        <f>858*2+882*2</f>
        <v>3480</v>
      </c>
      <c r="M10" s="15">
        <f t="shared" si="1"/>
        <v>3480</v>
      </c>
      <c r="N10" s="15">
        <v>0</v>
      </c>
      <c r="O10" s="58">
        <f t="shared" si="2"/>
        <v>0</v>
      </c>
      <c r="P10" s="39">
        <f t="shared" si="3"/>
        <v>7</v>
      </c>
      <c r="Q10" s="40">
        <f t="shared" si="4"/>
        <v>17</v>
      </c>
      <c r="R10" s="7"/>
      <c r="S10" s="6">
        <v>17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0.29166666666666669</v>
      </c>
      <c r="AD10" s="10">
        <f>AC10*AB10*(1-O10)</f>
        <v>0.29166666666666669</v>
      </c>
      <c r="AE10" s="36">
        <f t="shared" si="8"/>
        <v>0.46944444444444439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126</v>
      </c>
      <c r="D11" s="52" t="s">
        <v>353</v>
      </c>
      <c r="E11" s="53" t="s">
        <v>354</v>
      </c>
      <c r="F11" s="30" t="s">
        <v>132</v>
      </c>
      <c r="G11" s="33">
        <v>2</v>
      </c>
      <c r="H11" s="35">
        <v>24</v>
      </c>
      <c r="I11" s="7">
        <v>5000</v>
      </c>
      <c r="J11" s="5">
        <v>7736</v>
      </c>
      <c r="K11" s="15">
        <f>L11+4004</f>
        <v>11740</v>
      </c>
      <c r="L11" s="15">
        <f>1786*2+2082*2</f>
        <v>7736</v>
      </c>
      <c r="M11" s="15">
        <f t="shared" si="1"/>
        <v>7736</v>
      </c>
      <c r="N11" s="15">
        <v>0</v>
      </c>
      <c r="O11" s="58">
        <f t="shared" si="2"/>
        <v>0</v>
      </c>
      <c r="P11" s="39">
        <f t="shared" si="3"/>
        <v>24</v>
      </c>
      <c r="Q11" s="40">
        <f t="shared" si="4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1</v>
      </c>
      <c r="AD11" s="10">
        <f>AC11*AB11*(1-O11)</f>
        <v>1</v>
      </c>
      <c r="AE11" s="36">
        <f t="shared" si="8"/>
        <v>0.46944444444444439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226</v>
      </c>
      <c r="F12" s="30" t="s">
        <v>227</v>
      </c>
      <c r="G12" s="33">
        <v>1</v>
      </c>
      <c r="H12" s="35">
        <v>24</v>
      </c>
      <c r="I12" s="7">
        <v>1200</v>
      </c>
      <c r="J12" s="14">
        <v>2000</v>
      </c>
      <c r="K12" s="15">
        <f>L12+2000</f>
        <v>2000</v>
      </c>
      <c r="L12" s="15"/>
      <c r="M12" s="15">
        <f t="shared" si="1"/>
        <v>0</v>
      </c>
      <c r="N12" s="15">
        <v>0</v>
      </c>
      <c r="O12" s="58" t="str">
        <f t="shared" si="2"/>
        <v>0</v>
      </c>
      <c r="P12" s="39" t="str">
        <f t="shared" si="3"/>
        <v>0</v>
      </c>
      <c r="Q12" s="40">
        <f t="shared" si="4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5"/>
        <v>0</v>
      </c>
      <c r="AC12" s="9">
        <f t="shared" si="6"/>
        <v>0</v>
      </c>
      <c r="AD12" s="10">
        <f t="shared" ref="AD12:AD14" si="10">AC12*AB12*(1-O12)</f>
        <v>0</v>
      </c>
      <c r="AE12" s="36">
        <f t="shared" si="8"/>
        <v>0.46944444444444439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117</v>
      </c>
      <c r="E13" s="53" t="s">
        <v>143</v>
      </c>
      <c r="F13" s="30" t="s">
        <v>138</v>
      </c>
      <c r="G13" s="33">
        <v>4</v>
      </c>
      <c r="H13" s="35">
        <v>24</v>
      </c>
      <c r="I13" s="7">
        <v>850000</v>
      </c>
      <c r="J13" s="14">
        <v>20496</v>
      </c>
      <c r="K13" s="15">
        <f>L13+20676+20704+882+19912+11748+21560+18812+17048+21840+19920+21784+15116+10164+22344</f>
        <v>263006</v>
      </c>
      <c r="L13" s="15">
        <f>2581*4+2543*4</f>
        <v>20496</v>
      </c>
      <c r="M13" s="15">
        <f t="shared" si="1"/>
        <v>20496</v>
      </c>
      <c r="N13" s="15">
        <v>0</v>
      </c>
      <c r="O13" s="58">
        <f t="shared" si="2"/>
        <v>0</v>
      </c>
      <c r="P13" s="39">
        <f t="shared" si="3"/>
        <v>22</v>
      </c>
      <c r="Q13" s="40">
        <f t="shared" si="4"/>
        <v>2</v>
      </c>
      <c r="R13" s="7"/>
      <c r="S13" s="6">
        <v>2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0.91666666666666663</v>
      </c>
      <c r="AD13" s="10">
        <f t="shared" si="10"/>
        <v>0.91666666666666663</v>
      </c>
      <c r="AE13" s="36">
        <f t="shared" si="8"/>
        <v>0.46944444444444439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257</v>
      </c>
      <c r="D14" s="52" t="s">
        <v>117</v>
      </c>
      <c r="E14" s="53" t="s">
        <v>375</v>
      </c>
      <c r="F14" s="30" t="s">
        <v>394</v>
      </c>
      <c r="G14" s="33">
        <v>1</v>
      </c>
      <c r="H14" s="35">
        <v>24</v>
      </c>
      <c r="I14" s="7">
        <v>50</v>
      </c>
      <c r="J14" s="5">
        <v>55</v>
      </c>
      <c r="K14" s="15">
        <f>L14</f>
        <v>55</v>
      </c>
      <c r="L14" s="15">
        <v>55</v>
      </c>
      <c r="M14" s="15">
        <f t="shared" si="1"/>
        <v>55</v>
      </c>
      <c r="N14" s="15">
        <v>0</v>
      </c>
      <c r="O14" s="58">
        <f t="shared" si="2"/>
        <v>0</v>
      </c>
      <c r="P14" s="39">
        <f t="shared" si="3"/>
        <v>4</v>
      </c>
      <c r="Q14" s="40">
        <f t="shared" si="4"/>
        <v>20</v>
      </c>
      <c r="R14" s="7"/>
      <c r="S14" s="6"/>
      <c r="T14" s="16"/>
      <c r="U14" s="16"/>
      <c r="V14" s="17"/>
      <c r="W14" s="5">
        <v>20</v>
      </c>
      <c r="X14" s="16"/>
      <c r="Y14" s="16"/>
      <c r="Z14" s="16"/>
      <c r="AA14" s="18"/>
      <c r="AB14" s="8">
        <f t="shared" si="5"/>
        <v>1</v>
      </c>
      <c r="AC14" s="9">
        <f t="shared" si="6"/>
        <v>0.16666666666666666</v>
      </c>
      <c r="AD14" s="10">
        <f t="shared" si="10"/>
        <v>0.16666666666666666</v>
      </c>
      <c r="AE14" s="36">
        <f t="shared" si="8"/>
        <v>0.46944444444444439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300</v>
      </c>
      <c r="D15" s="52" t="s">
        <v>302</v>
      </c>
      <c r="E15" s="53" t="s">
        <v>299</v>
      </c>
      <c r="F15" s="12" t="s">
        <v>321</v>
      </c>
      <c r="G15" s="12">
        <v>4</v>
      </c>
      <c r="H15" s="13">
        <v>24</v>
      </c>
      <c r="I15" s="31">
        <v>20000</v>
      </c>
      <c r="J15" s="14">
        <v>19732</v>
      </c>
      <c r="K15" s="15">
        <f>L15+21980+22464+23732</f>
        <v>87908</v>
      </c>
      <c r="L15" s="15">
        <f>2270*4+2663*4</f>
        <v>19732</v>
      </c>
      <c r="M15" s="15">
        <f t="shared" si="1"/>
        <v>19732</v>
      </c>
      <c r="N15" s="15">
        <v>0</v>
      </c>
      <c r="O15" s="58">
        <f t="shared" si="2"/>
        <v>0</v>
      </c>
      <c r="P15" s="39">
        <f t="shared" si="3"/>
        <v>23</v>
      </c>
      <c r="Q15" s="40">
        <f t="shared" si="4"/>
        <v>1</v>
      </c>
      <c r="R15" s="7"/>
      <c r="S15" s="6"/>
      <c r="T15" s="16">
        <v>1</v>
      </c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0.95833333333333337</v>
      </c>
      <c r="AD15" s="10">
        <f t="shared" si="7"/>
        <v>0.95833333333333337</v>
      </c>
      <c r="AE15" s="36">
        <f t="shared" si="8"/>
        <v>0.46944444444444439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146</v>
      </c>
      <c r="E16" s="53" t="s">
        <v>333</v>
      </c>
      <c r="F16" s="30" t="s">
        <v>140</v>
      </c>
      <c r="G16" s="12">
        <v>2</v>
      </c>
      <c r="H16" s="13">
        <v>28</v>
      </c>
      <c r="I16" s="7">
        <v>2000</v>
      </c>
      <c r="J16" s="14">
        <v>2182</v>
      </c>
      <c r="K16" s="15">
        <f>L16</f>
        <v>2182</v>
      </c>
      <c r="L16" s="15">
        <f>1091*2</f>
        <v>2182</v>
      </c>
      <c r="M16" s="15">
        <f t="shared" si="1"/>
        <v>2182</v>
      </c>
      <c r="N16" s="15">
        <v>0</v>
      </c>
      <c r="O16" s="58">
        <f t="shared" si="2"/>
        <v>0</v>
      </c>
      <c r="P16" s="39">
        <f t="shared" si="3"/>
        <v>6</v>
      </c>
      <c r="Q16" s="40">
        <f t="shared" si="4"/>
        <v>18</v>
      </c>
      <c r="R16" s="7"/>
      <c r="S16" s="6"/>
      <c r="T16" s="16"/>
      <c r="U16" s="16"/>
      <c r="V16" s="17"/>
      <c r="W16" s="5">
        <v>18</v>
      </c>
      <c r="X16" s="16"/>
      <c r="Y16" s="16"/>
      <c r="Z16" s="16"/>
      <c r="AA16" s="18"/>
      <c r="AB16" s="8">
        <f t="shared" si="5"/>
        <v>1</v>
      </c>
      <c r="AC16" s="9">
        <f t="shared" si="6"/>
        <v>0.25</v>
      </c>
      <c r="AD16" s="10">
        <f t="shared" si="7"/>
        <v>0.25</v>
      </c>
      <c r="AE16" s="36">
        <f t="shared" si="8"/>
        <v>0.46944444444444439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126</v>
      </c>
      <c r="D17" s="52" t="s">
        <v>218</v>
      </c>
      <c r="E17" s="53" t="s">
        <v>395</v>
      </c>
      <c r="F17" s="30" t="s">
        <v>396</v>
      </c>
      <c r="G17" s="33">
        <v>4</v>
      </c>
      <c r="H17" s="35">
        <v>24</v>
      </c>
      <c r="I17" s="7">
        <v>16000</v>
      </c>
      <c r="J17" s="5">
        <v>16156</v>
      </c>
      <c r="K17" s="15">
        <f>L17</f>
        <v>16156</v>
      </c>
      <c r="L17" s="15">
        <f>1097*4+2942*4</f>
        <v>16156</v>
      </c>
      <c r="M17" s="15">
        <f t="shared" si="1"/>
        <v>16156</v>
      </c>
      <c r="N17" s="15">
        <v>0</v>
      </c>
      <c r="O17" s="58">
        <f t="shared" si="2"/>
        <v>0</v>
      </c>
      <c r="P17" s="39">
        <f t="shared" si="3"/>
        <v>21</v>
      </c>
      <c r="Q17" s="40">
        <f t="shared" si="4"/>
        <v>3</v>
      </c>
      <c r="R17" s="7"/>
      <c r="S17" s="6"/>
      <c r="T17" s="16"/>
      <c r="U17" s="16"/>
      <c r="V17" s="17"/>
      <c r="W17" s="5">
        <v>3</v>
      </c>
      <c r="X17" s="16"/>
      <c r="Y17" s="16"/>
      <c r="Z17" s="16"/>
      <c r="AA17" s="18"/>
      <c r="AB17" s="8">
        <f t="shared" si="5"/>
        <v>1</v>
      </c>
      <c r="AC17" s="9">
        <f t="shared" si="6"/>
        <v>0.875</v>
      </c>
      <c r="AD17" s="10">
        <f t="shared" si="7"/>
        <v>0.875</v>
      </c>
      <c r="AE17" s="36">
        <f t="shared" si="8"/>
        <v>0.46944444444444439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163</v>
      </c>
      <c r="E18" s="53" t="s">
        <v>225</v>
      </c>
      <c r="F18" s="30" t="s">
        <v>397</v>
      </c>
      <c r="G18" s="33">
        <v>1</v>
      </c>
      <c r="H18" s="35">
        <v>24</v>
      </c>
      <c r="I18" s="7">
        <v>1200</v>
      </c>
      <c r="J18" s="5">
        <v>1630</v>
      </c>
      <c r="K18" s="15">
        <f>L18</f>
        <v>1630</v>
      </c>
      <c r="L18" s="15">
        <f>800+830</f>
        <v>1630</v>
      </c>
      <c r="M18" s="15">
        <f t="shared" si="1"/>
        <v>1630</v>
      </c>
      <c r="N18" s="15">
        <v>0</v>
      </c>
      <c r="O18" s="58">
        <f t="shared" si="2"/>
        <v>0</v>
      </c>
      <c r="P18" s="39">
        <f t="shared" si="3"/>
        <v>11</v>
      </c>
      <c r="Q18" s="40">
        <f t="shared" si="4"/>
        <v>13</v>
      </c>
      <c r="R18" s="7"/>
      <c r="S18" s="6">
        <v>5</v>
      </c>
      <c r="T18" s="16"/>
      <c r="U18" s="16"/>
      <c r="V18" s="17"/>
      <c r="W18" s="5">
        <v>8</v>
      </c>
      <c r="X18" s="16"/>
      <c r="Y18" s="16"/>
      <c r="Z18" s="16"/>
      <c r="AA18" s="18"/>
      <c r="AB18" s="8">
        <f t="shared" si="5"/>
        <v>1</v>
      </c>
      <c r="AC18" s="9">
        <f t="shared" si="6"/>
        <v>0.45833333333333331</v>
      </c>
      <c r="AD18" s="10">
        <f>AC18*AB18*(1-O18)</f>
        <v>0.45833333333333331</v>
      </c>
      <c r="AE18" s="36">
        <f t="shared" si="8"/>
        <v>0.46944444444444439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126</v>
      </c>
      <c r="D19" s="52" t="s">
        <v>202</v>
      </c>
      <c r="E19" s="53" t="s">
        <v>205</v>
      </c>
      <c r="F19" s="30" t="s">
        <v>138</v>
      </c>
      <c r="G19" s="33">
        <v>4</v>
      </c>
      <c r="H19" s="35">
        <v>24</v>
      </c>
      <c r="I19" s="7">
        <v>800000</v>
      </c>
      <c r="J19" s="14">
        <v>20020</v>
      </c>
      <c r="K19" s="15">
        <f>L19+12980+20160+21332+21348+21424+21388+19544+8924</f>
        <v>167120</v>
      </c>
      <c r="L19" s="15">
        <f>2468*4+2537*4</f>
        <v>20020</v>
      </c>
      <c r="M19" s="15">
        <f t="shared" si="1"/>
        <v>20020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ref="AD19" si="11">AC19*AB19*(1-O19)</f>
        <v>1</v>
      </c>
      <c r="AE19" s="36">
        <f t="shared" si="8"/>
        <v>0.46944444444444439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144</v>
      </c>
      <c r="F20" s="12" t="s">
        <v>116</v>
      </c>
      <c r="G20" s="12">
        <v>3</v>
      </c>
      <c r="H20" s="35">
        <v>20</v>
      </c>
      <c r="I20" s="7">
        <v>200000</v>
      </c>
      <c r="J20" s="14">
        <v>34300</v>
      </c>
      <c r="K20" s="15">
        <f>L20+22050+34300</f>
        <v>56350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0.46944444444444439</v>
      </c>
      <c r="AF20" s="87">
        <f t="shared" si="9"/>
        <v>15</v>
      </c>
    </row>
    <row r="21" spans="1:32" ht="31.5" customHeight="1" thickBot="1">
      <c r="A21" s="431" t="s">
        <v>34</v>
      </c>
      <c r="B21" s="432"/>
      <c r="C21" s="432"/>
      <c r="D21" s="432"/>
      <c r="E21" s="432"/>
      <c r="F21" s="432"/>
      <c r="G21" s="432"/>
      <c r="H21" s="433"/>
      <c r="I21" s="22">
        <f t="shared" ref="I21:N21" si="12">SUM(I6:I20)</f>
        <v>2098450</v>
      </c>
      <c r="J21" s="19">
        <f t="shared" si="12"/>
        <v>143402</v>
      </c>
      <c r="K21" s="20">
        <f t="shared" si="12"/>
        <v>808232</v>
      </c>
      <c r="L21" s="21">
        <f t="shared" si="12"/>
        <v>105041</v>
      </c>
      <c r="M21" s="20">
        <f t="shared" si="12"/>
        <v>105041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169</v>
      </c>
      <c r="Q21" s="43">
        <f t="shared" si="13"/>
        <v>191</v>
      </c>
      <c r="R21" s="23">
        <f t="shared" si="13"/>
        <v>24</v>
      </c>
      <c r="S21" s="24">
        <f t="shared" si="13"/>
        <v>40</v>
      </c>
      <c r="T21" s="24">
        <f t="shared" si="13"/>
        <v>1</v>
      </c>
      <c r="U21" s="24">
        <f t="shared" si="13"/>
        <v>0</v>
      </c>
      <c r="V21" s="25">
        <f t="shared" si="13"/>
        <v>24</v>
      </c>
      <c r="W21" s="26">
        <f t="shared" si="13"/>
        <v>102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0.73333333333333328</v>
      </c>
      <c r="AC21" s="4">
        <f>SUM(AC6:AC20)/15</f>
        <v>0.46944444444444439</v>
      </c>
      <c r="AD21" s="4">
        <f>SUM(AD6:AD20)/15</f>
        <v>0.46944444444444439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34" t="s">
        <v>45</v>
      </c>
      <c r="B48" s="434"/>
      <c r="C48" s="434"/>
      <c r="D48" s="434"/>
      <c r="E48" s="43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35" t="s">
        <v>398</v>
      </c>
      <c r="B49" s="436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7"/>
      <c r="N49" s="438" t="s">
        <v>414</v>
      </c>
      <c r="O49" s="439"/>
      <c r="P49" s="439"/>
      <c r="Q49" s="439"/>
      <c r="R49" s="439"/>
      <c r="S49" s="439"/>
      <c r="T49" s="439"/>
      <c r="U49" s="439"/>
      <c r="V49" s="439"/>
      <c r="W49" s="439"/>
      <c r="X49" s="439"/>
      <c r="Y49" s="439"/>
      <c r="Z49" s="439"/>
      <c r="AA49" s="439"/>
      <c r="AB49" s="439"/>
      <c r="AC49" s="439"/>
      <c r="AD49" s="440"/>
    </row>
    <row r="50" spans="1:32" ht="27" customHeight="1">
      <c r="A50" s="441" t="s">
        <v>2</v>
      </c>
      <c r="B50" s="442"/>
      <c r="C50" s="216" t="s">
        <v>46</v>
      </c>
      <c r="D50" s="216" t="s">
        <v>47</v>
      </c>
      <c r="E50" s="216" t="s">
        <v>108</v>
      </c>
      <c r="F50" s="442" t="s">
        <v>107</v>
      </c>
      <c r="G50" s="442"/>
      <c r="H50" s="442"/>
      <c r="I50" s="442"/>
      <c r="J50" s="442"/>
      <c r="K50" s="442"/>
      <c r="L50" s="442"/>
      <c r="M50" s="443"/>
      <c r="N50" s="67" t="s">
        <v>112</v>
      </c>
      <c r="O50" s="216" t="s">
        <v>46</v>
      </c>
      <c r="P50" s="444" t="s">
        <v>47</v>
      </c>
      <c r="Q50" s="445"/>
      <c r="R50" s="444" t="s">
        <v>38</v>
      </c>
      <c r="S50" s="446"/>
      <c r="T50" s="446"/>
      <c r="U50" s="445"/>
      <c r="V50" s="444" t="s">
        <v>48</v>
      </c>
      <c r="W50" s="446"/>
      <c r="X50" s="446"/>
      <c r="Y50" s="446"/>
      <c r="Z50" s="446"/>
      <c r="AA50" s="446"/>
      <c r="AB50" s="446"/>
      <c r="AC50" s="446"/>
      <c r="AD50" s="447"/>
    </row>
    <row r="51" spans="1:32" ht="27" customHeight="1">
      <c r="A51" s="412" t="s">
        <v>131</v>
      </c>
      <c r="B51" s="413"/>
      <c r="C51" s="218" t="s">
        <v>139</v>
      </c>
      <c r="D51" s="218"/>
      <c r="E51" s="218" t="s">
        <v>152</v>
      </c>
      <c r="F51" s="414" t="s">
        <v>399</v>
      </c>
      <c r="G51" s="415"/>
      <c r="H51" s="415"/>
      <c r="I51" s="415"/>
      <c r="J51" s="415"/>
      <c r="K51" s="415"/>
      <c r="L51" s="415"/>
      <c r="M51" s="416"/>
      <c r="N51" s="217" t="s">
        <v>126</v>
      </c>
      <c r="O51" s="223" t="s">
        <v>173</v>
      </c>
      <c r="P51" s="426" t="s">
        <v>415</v>
      </c>
      <c r="Q51" s="427"/>
      <c r="R51" s="426" t="s">
        <v>416</v>
      </c>
      <c r="S51" s="428"/>
      <c r="T51" s="428"/>
      <c r="U51" s="427"/>
      <c r="V51" s="396" t="s">
        <v>120</v>
      </c>
      <c r="W51" s="396"/>
      <c r="X51" s="396"/>
      <c r="Y51" s="396"/>
      <c r="Z51" s="396"/>
      <c r="AA51" s="396"/>
      <c r="AB51" s="396"/>
      <c r="AC51" s="396"/>
      <c r="AD51" s="417"/>
    </row>
    <row r="52" spans="1:32" ht="27" customHeight="1">
      <c r="A52" s="412" t="s">
        <v>126</v>
      </c>
      <c r="B52" s="413"/>
      <c r="C52" s="218" t="s">
        <v>400</v>
      </c>
      <c r="D52" s="218" t="s">
        <v>401</v>
      </c>
      <c r="E52" s="218" t="s">
        <v>402</v>
      </c>
      <c r="F52" s="414" t="s">
        <v>403</v>
      </c>
      <c r="G52" s="415"/>
      <c r="H52" s="415"/>
      <c r="I52" s="415"/>
      <c r="J52" s="415"/>
      <c r="K52" s="415"/>
      <c r="L52" s="415"/>
      <c r="M52" s="416"/>
      <c r="N52" s="217" t="s">
        <v>126</v>
      </c>
      <c r="O52" s="223" t="s">
        <v>400</v>
      </c>
      <c r="P52" s="426" t="s">
        <v>401</v>
      </c>
      <c r="Q52" s="427"/>
      <c r="R52" s="426" t="s">
        <v>402</v>
      </c>
      <c r="S52" s="428"/>
      <c r="T52" s="428"/>
      <c r="U52" s="427"/>
      <c r="V52" s="396" t="s">
        <v>137</v>
      </c>
      <c r="W52" s="396"/>
      <c r="X52" s="396"/>
      <c r="Y52" s="396"/>
      <c r="Z52" s="396"/>
      <c r="AA52" s="396"/>
      <c r="AB52" s="396"/>
      <c r="AC52" s="396"/>
      <c r="AD52" s="417"/>
    </row>
    <row r="53" spans="1:32" ht="27" customHeight="1">
      <c r="A53" s="412" t="s">
        <v>114</v>
      </c>
      <c r="B53" s="413"/>
      <c r="C53" s="218" t="s">
        <v>173</v>
      </c>
      <c r="D53" s="218" t="s">
        <v>163</v>
      </c>
      <c r="E53" s="218" t="s">
        <v>404</v>
      </c>
      <c r="F53" s="414" t="s">
        <v>405</v>
      </c>
      <c r="G53" s="415"/>
      <c r="H53" s="415"/>
      <c r="I53" s="415"/>
      <c r="J53" s="415"/>
      <c r="K53" s="415"/>
      <c r="L53" s="415"/>
      <c r="M53" s="416"/>
      <c r="N53" s="228" t="s">
        <v>131</v>
      </c>
      <c r="O53" s="227" t="s">
        <v>139</v>
      </c>
      <c r="P53" s="426" t="s">
        <v>150</v>
      </c>
      <c r="Q53" s="427"/>
      <c r="R53" s="426" t="s">
        <v>152</v>
      </c>
      <c r="S53" s="428"/>
      <c r="T53" s="428"/>
      <c r="U53" s="427"/>
      <c r="V53" s="396" t="s">
        <v>137</v>
      </c>
      <c r="W53" s="396"/>
      <c r="X53" s="396"/>
      <c r="Y53" s="396"/>
      <c r="Z53" s="396"/>
      <c r="AA53" s="396"/>
      <c r="AB53" s="396"/>
      <c r="AC53" s="396"/>
      <c r="AD53" s="417"/>
    </row>
    <row r="54" spans="1:32" ht="27" customHeight="1">
      <c r="A54" s="412" t="s">
        <v>126</v>
      </c>
      <c r="B54" s="413"/>
      <c r="C54" s="218" t="s">
        <v>258</v>
      </c>
      <c r="D54" s="218" t="s">
        <v>146</v>
      </c>
      <c r="E54" s="218" t="s">
        <v>406</v>
      </c>
      <c r="F54" s="414" t="s">
        <v>407</v>
      </c>
      <c r="G54" s="415"/>
      <c r="H54" s="415"/>
      <c r="I54" s="415"/>
      <c r="J54" s="415"/>
      <c r="K54" s="415"/>
      <c r="L54" s="415"/>
      <c r="M54" s="416"/>
      <c r="N54" s="217" t="s">
        <v>126</v>
      </c>
      <c r="O54" s="223" t="s">
        <v>130</v>
      </c>
      <c r="P54" s="426" t="s">
        <v>202</v>
      </c>
      <c r="Q54" s="427"/>
      <c r="R54" s="426" t="s">
        <v>421</v>
      </c>
      <c r="S54" s="428"/>
      <c r="T54" s="428"/>
      <c r="U54" s="427"/>
      <c r="V54" s="396" t="s">
        <v>120</v>
      </c>
      <c r="W54" s="396"/>
      <c r="X54" s="396"/>
      <c r="Y54" s="396"/>
      <c r="Z54" s="396"/>
      <c r="AA54" s="396"/>
      <c r="AB54" s="396"/>
      <c r="AC54" s="396"/>
      <c r="AD54" s="417"/>
    </row>
    <row r="55" spans="1:32" ht="27" customHeight="1">
      <c r="A55" s="412" t="s">
        <v>126</v>
      </c>
      <c r="B55" s="413"/>
      <c r="C55" s="218" t="s">
        <v>237</v>
      </c>
      <c r="D55" s="218" t="s">
        <v>218</v>
      </c>
      <c r="E55" s="218" t="s">
        <v>408</v>
      </c>
      <c r="F55" s="414" t="s">
        <v>120</v>
      </c>
      <c r="G55" s="415"/>
      <c r="H55" s="415"/>
      <c r="I55" s="415"/>
      <c r="J55" s="415"/>
      <c r="K55" s="415"/>
      <c r="L55" s="415"/>
      <c r="M55" s="416"/>
      <c r="N55" s="217" t="s">
        <v>126</v>
      </c>
      <c r="O55" s="223" t="s">
        <v>136</v>
      </c>
      <c r="P55" s="426" t="s">
        <v>117</v>
      </c>
      <c r="Q55" s="427"/>
      <c r="R55" s="426" t="s">
        <v>422</v>
      </c>
      <c r="S55" s="428"/>
      <c r="T55" s="428"/>
      <c r="U55" s="427"/>
      <c r="V55" s="396" t="s">
        <v>120</v>
      </c>
      <c r="W55" s="396"/>
      <c r="X55" s="396"/>
      <c r="Y55" s="396"/>
      <c r="Z55" s="396"/>
      <c r="AA55" s="396"/>
      <c r="AB55" s="396"/>
      <c r="AC55" s="396"/>
      <c r="AD55" s="417"/>
    </row>
    <row r="56" spans="1:32" ht="27" customHeight="1">
      <c r="A56" s="412" t="s">
        <v>126</v>
      </c>
      <c r="B56" s="413"/>
      <c r="C56" s="218" t="s">
        <v>310</v>
      </c>
      <c r="D56" s="218" t="s">
        <v>119</v>
      </c>
      <c r="E56" s="218" t="s">
        <v>379</v>
      </c>
      <c r="F56" s="414" t="s">
        <v>120</v>
      </c>
      <c r="G56" s="415"/>
      <c r="H56" s="415"/>
      <c r="I56" s="415"/>
      <c r="J56" s="415"/>
      <c r="K56" s="415"/>
      <c r="L56" s="415"/>
      <c r="M56" s="416"/>
      <c r="N56" s="217" t="s">
        <v>126</v>
      </c>
      <c r="O56" s="223" t="s">
        <v>423</v>
      </c>
      <c r="P56" s="426" t="s">
        <v>424</v>
      </c>
      <c r="Q56" s="427"/>
      <c r="R56" s="426" t="s">
        <v>425</v>
      </c>
      <c r="S56" s="428"/>
      <c r="T56" s="428"/>
      <c r="U56" s="427"/>
      <c r="V56" s="396" t="s">
        <v>120</v>
      </c>
      <c r="W56" s="396"/>
      <c r="X56" s="396"/>
      <c r="Y56" s="396"/>
      <c r="Z56" s="396"/>
      <c r="AA56" s="396"/>
      <c r="AB56" s="396"/>
      <c r="AC56" s="396"/>
      <c r="AD56" s="417"/>
    </row>
    <row r="57" spans="1:32" ht="27" customHeight="1">
      <c r="A57" s="412" t="s">
        <v>126</v>
      </c>
      <c r="B57" s="413"/>
      <c r="C57" s="218" t="s">
        <v>210</v>
      </c>
      <c r="D57" s="218" t="s">
        <v>117</v>
      </c>
      <c r="E57" s="218" t="s">
        <v>211</v>
      </c>
      <c r="F57" s="414" t="s">
        <v>409</v>
      </c>
      <c r="G57" s="415"/>
      <c r="H57" s="415"/>
      <c r="I57" s="415"/>
      <c r="J57" s="415"/>
      <c r="K57" s="415"/>
      <c r="L57" s="415"/>
      <c r="M57" s="416"/>
      <c r="N57" s="217"/>
      <c r="O57" s="223"/>
      <c r="P57" s="426"/>
      <c r="Q57" s="427"/>
      <c r="R57" s="413"/>
      <c r="S57" s="413"/>
      <c r="T57" s="413"/>
      <c r="U57" s="413"/>
      <c r="V57" s="396"/>
      <c r="W57" s="396"/>
      <c r="X57" s="396"/>
      <c r="Y57" s="396"/>
      <c r="Z57" s="396"/>
      <c r="AA57" s="396"/>
      <c r="AB57" s="396"/>
      <c r="AC57" s="396"/>
      <c r="AD57" s="417"/>
    </row>
    <row r="58" spans="1:32" ht="27" customHeight="1">
      <c r="A58" s="412" t="s">
        <v>410</v>
      </c>
      <c r="B58" s="413"/>
      <c r="C58" s="218" t="s">
        <v>411</v>
      </c>
      <c r="D58" s="218" t="s">
        <v>412</v>
      </c>
      <c r="E58" s="218" t="s">
        <v>413</v>
      </c>
      <c r="F58" s="414" t="s">
        <v>120</v>
      </c>
      <c r="G58" s="415"/>
      <c r="H58" s="415"/>
      <c r="I58" s="415"/>
      <c r="J58" s="415"/>
      <c r="K58" s="415"/>
      <c r="L58" s="415"/>
      <c r="M58" s="416"/>
      <c r="N58" s="217"/>
      <c r="O58" s="223"/>
      <c r="P58" s="426"/>
      <c r="Q58" s="427"/>
      <c r="R58" s="413"/>
      <c r="S58" s="413"/>
      <c r="T58" s="413"/>
      <c r="U58" s="413"/>
      <c r="V58" s="396"/>
      <c r="W58" s="396"/>
      <c r="X58" s="396"/>
      <c r="Y58" s="396"/>
      <c r="Z58" s="396"/>
      <c r="AA58" s="396"/>
      <c r="AB58" s="396"/>
      <c r="AC58" s="396"/>
      <c r="AD58" s="417"/>
    </row>
    <row r="59" spans="1:32" ht="27" customHeight="1">
      <c r="A59" s="412" t="s">
        <v>418</v>
      </c>
      <c r="B59" s="413"/>
      <c r="C59" s="218" t="s">
        <v>419</v>
      </c>
      <c r="D59" s="218" t="s">
        <v>420</v>
      </c>
      <c r="E59" s="218" t="s">
        <v>417</v>
      </c>
      <c r="F59" s="414" t="s">
        <v>120</v>
      </c>
      <c r="G59" s="415"/>
      <c r="H59" s="415"/>
      <c r="I59" s="415"/>
      <c r="J59" s="415"/>
      <c r="K59" s="415"/>
      <c r="L59" s="415"/>
      <c r="M59" s="416"/>
      <c r="N59" s="217"/>
      <c r="O59" s="223"/>
      <c r="P59" s="413"/>
      <c r="Q59" s="413"/>
      <c r="R59" s="413"/>
      <c r="S59" s="413"/>
      <c r="T59" s="413"/>
      <c r="U59" s="413"/>
      <c r="V59" s="396"/>
      <c r="W59" s="396"/>
      <c r="X59" s="396"/>
      <c r="Y59" s="396"/>
      <c r="Z59" s="396"/>
      <c r="AA59" s="396"/>
      <c r="AB59" s="396"/>
      <c r="AC59" s="396"/>
      <c r="AD59" s="417"/>
      <c r="AF59" s="87">
        <f>8*3000</f>
        <v>24000</v>
      </c>
    </row>
    <row r="60" spans="1:32" ht="27" customHeight="1" thickBot="1">
      <c r="A60" s="418"/>
      <c r="B60" s="419"/>
      <c r="C60" s="219"/>
      <c r="D60" s="220"/>
      <c r="E60" s="220"/>
      <c r="F60" s="420"/>
      <c r="G60" s="421"/>
      <c r="H60" s="421"/>
      <c r="I60" s="421"/>
      <c r="J60" s="421"/>
      <c r="K60" s="421"/>
      <c r="L60" s="421"/>
      <c r="M60" s="422"/>
      <c r="N60" s="124"/>
      <c r="O60" s="114"/>
      <c r="P60" s="423"/>
      <c r="Q60" s="423"/>
      <c r="R60" s="423"/>
      <c r="S60" s="423"/>
      <c r="T60" s="423"/>
      <c r="U60" s="423"/>
      <c r="V60" s="424"/>
      <c r="W60" s="424"/>
      <c r="X60" s="424"/>
      <c r="Y60" s="424"/>
      <c r="Z60" s="424"/>
      <c r="AA60" s="424"/>
      <c r="AB60" s="424"/>
      <c r="AC60" s="424"/>
      <c r="AD60" s="425"/>
      <c r="AF60" s="87">
        <f>16*3000</f>
        <v>48000</v>
      </c>
    </row>
    <row r="61" spans="1:32" ht="27.75" thickBot="1">
      <c r="A61" s="410" t="s">
        <v>426</v>
      </c>
      <c r="B61" s="410"/>
      <c r="C61" s="410"/>
      <c r="D61" s="410"/>
      <c r="E61" s="410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1" t="s">
        <v>113</v>
      </c>
      <c r="B62" s="406"/>
      <c r="C62" s="221" t="s">
        <v>2</v>
      </c>
      <c r="D62" s="221" t="s">
        <v>37</v>
      </c>
      <c r="E62" s="221" t="s">
        <v>3</v>
      </c>
      <c r="F62" s="406" t="s">
        <v>110</v>
      </c>
      <c r="G62" s="406"/>
      <c r="H62" s="406"/>
      <c r="I62" s="406"/>
      <c r="J62" s="406"/>
      <c r="K62" s="406" t="s">
        <v>39</v>
      </c>
      <c r="L62" s="406"/>
      <c r="M62" s="221" t="s">
        <v>40</v>
      </c>
      <c r="N62" s="406" t="s">
        <v>41</v>
      </c>
      <c r="O62" s="406"/>
      <c r="P62" s="403" t="s">
        <v>42</v>
      </c>
      <c r="Q62" s="405"/>
      <c r="R62" s="403" t="s">
        <v>43</v>
      </c>
      <c r="S62" s="404"/>
      <c r="T62" s="404"/>
      <c r="U62" s="404"/>
      <c r="V62" s="404"/>
      <c r="W62" s="404"/>
      <c r="X62" s="404"/>
      <c r="Y62" s="404"/>
      <c r="Z62" s="404"/>
      <c r="AA62" s="405"/>
      <c r="AB62" s="406" t="s">
        <v>44</v>
      </c>
      <c r="AC62" s="406"/>
      <c r="AD62" s="407"/>
      <c r="AF62" s="87">
        <f>SUM(AF59:AF61)</f>
        <v>96000</v>
      </c>
    </row>
    <row r="63" spans="1:32" ht="25.5" customHeight="1">
      <c r="A63" s="389">
        <v>1</v>
      </c>
      <c r="B63" s="390"/>
      <c r="C63" s="117" t="s">
        <v>126</v>
      </c>
      <c r="D63" s="225"/>
      <c r="E63" s="222" t="s">
        <v>146</v>
      </c>
      <c r="F63" s="391" t="s">
        <v>406</v>
      </c>
      <c r="G63" s="383"/>
      <c r="H63" s="383"/>
      <c r="I63" s="383"/>
      <c r="J63" s="383"/>
      <c r="K63" s="383" t="s">
        <v>140</v>
      </c>
      <c r="L63" s="383"/>
      <c r="M63" s="51" t="s">
        <v>222</v>
      </c>
      <c r="N63" s="401" t="s">
        <v>258</v>
      </c>
      <c r="O63" s="401"/>
      <c r="P63" s="402">
        <v>200</v>
      </c>
      <c r="Q63" s="402"/>
      <c r="R63" s="396"/>
      <c r="S63" s="396"/>
      <c r="T63" s="396"/>
      <c r="U63" s="396"/>
      <c r="V63" s="396"/>
      <c r="W63" s="396"/>
      <c r="X63" s="396"/>
      <c r="Y63" s="396"/>
      <c r="Z63" s="396"/>
      <c r="AA63" s="396"/>
      <c r="AB63" s="400"/>
      <c r="AC63" s="408"/>
      <c r="AD63" s="409"/>
      <c r="AF63" s="50"/>
    </row>
    <row r="64" spans="1:32" ht="25.5" customHeight="1">
      <c r="A64" s="389">
        <v>2</v>
      </c>
      <c r="B64" s="390"/>
      <c r="C64" s="117" t="s">
        <v>257</v>
      </c>
      <c r="D64" s="225"/>
      <c r="E64" s="222" t="s">
        <v>117</v>
      </c>
      <c r="F64" s="391" t="s">
        <v>413</v>
      </c>
      <c r="G64" s="383"/>
      <c r="H64" s="383"/>
      <c r="I64" s="383"/>
      <c r="J64" s="383"/>
      <c r="K64" s="383">
        <v>8301</v>
      </c>
      <c r="L64" s="383"/>
      <c r="M64" s="51" t="s">
        <v>427</v>
      </c>
      <c r="N64" s="401" t="s">
        <v>169</v>
      </c>
      <c r="O64" s="401"/>
      <c r="P64" s="402">
        <v>10</v>
      </c>
      <c r="Q64" s="402"/>
      <c r="R64" s="396"/>
      <c r="S64" s="396"/>
      <c r="T64" s="396"/>
      <c r="U64" s="396"/>
      <c r="V64" s="396"/>
      <c r="W64" s="396"/>
      <c r="X64" s="396"/>
      <c r="Y64" s="396"/>
      <c r="Z64" s="396"/>
      <c r="AA64" s="396"/>
      <c r="AB64" s="383"/>
      <c r="AC64" s="383"/>
      <c r="AD64" s="384"/>
      <c r="AF64" s="50"/>
    </row>
    <row r="65" spans="1:32" ht="25.5" customHeight="1">
      <c r="A65" s="389">
        <v>3</v>
      </c>
      <c r="B65" s="390"/>
      <c r="C65" s="117" t="s">
        <v>429</v>
      </c>
      <c r="D65" s="225"/>
      <c r="E65" s="222" t="s">
        <v>430</v>
      </c>
      <c r="F65" s="397" t="s">
        <v>428</v>
      </c>
      <c r="G65" s="398"/>
      <c r="H65" s="398"/>
      <c r="I65" s="398"/>
      <c r="J65" s="399"/>
      <c r="K65" s="383" t="s">
        <v>431</v>
      </c>
      <c r="L65" s="383"/>
      <c r="M65" s="51" t="s">
        <v>432</v>
      </c>
      <c r="N65" s="401" t="s">
        <v>433</v>
      </c>
      <c r="O65" s="401"/>
      <c r="P65" s="402">
        <v>50</v>
      </c>
      <c r="Q65" s="402"/>
      <c r="R65" s="396" t="s">
        <v>434</v>
      </c>
      <c r="S65" s="396"/>
      <c r="T65" s="396"/>
      <c r="U65" s="396"/>
      <c r="V65" s="396"/>
      <c r="W65" s="396"/>
      <c r="X65" s="396"/>
      <c r="Y65" s="396"/>
      <c r="Z65" s="396"/>
      <c r="AA65" s="396"/>
      <c r="AB65" s="383"/>
      <c r="AC65" s="383"/>
      <c r="AD65" s="384"/>
      <c r="AF65" s="50"/>
    </row>
    <row r="66" spans="1:32" ht="25.5" customHeight="1">
      <c r="A66" s="389">
        <v>4</v>
      </c>
      <c r="B66" s="390"/>
      <c r="C66" s="117"/>
      <c r="D66" s="225"/>
      <c r="E66" s="222"/>
      <c r="F66" s="397"/>
      <c r="G66" s="398"/>
      <c r="H66" s="398"/>
      <c r="I66" s="398"/>
      <c r="J66" s="399"/>
      <c r="K66" s="383"/>
      <c r="L66" s="383"/>
      <c r="M66" s="51"/>
      <c r="N66" s="401"/>
      <c r="O66" s="401"/>
      <c r="P66" s="402"/>
      <c r="Q66" s="402"/>
      <c r="R66" s="396"/>
      <c r="S66" s="396"/>
      <c r="T66" s="396"/>
      <c r="U66" s="396"/>
      <c r="V66" s="396"/>
      <c r="W66" s="396"/>
      <c r="X66" s="396"/>
      <c r="Y66" s="396"/>
      <c r="Z66" s="396"/>
      <c r="AA66" s="396"/>
      <c r="AB66" s="383"/>
      <c r="AC66" s="383"/>
      <c r="AD66" s="384"/>
      <c r="AF66" s="50"/>
    </row>
    <row r="67" spans="1:32" ht="25.5" customHeight="1">
      <c r="A67" s="389">
        <v>5</v>
      </c>
      <c r="B67" s="390"/>
      <c r="C67" s="117"/>
      <c r="D67" s="225"/>
      <c r="E67" s="222"/>
      <c r="F67" s="397"/>
      <c r="G67" s="398"/>
      <c r="H67" s="398"/>
      <c r="I67" s="398"/>
      <c r="J67" s="399"/>
      <c r="K67" s="400"/>
      <c r="L67" s="390"/>
      <c r="M67" s="51"/>
      <c r="N67" s="401"/>
      <c r="O67" s="401"/>
      <c r="P67" s="402"/>
      <c r="Q67" s="402"/>
      <c r="R67" s="396"/>
      <c r="S67" s="396"/>
      <c r="T67" s="396"/>
      <c r="U67" s="396"/>
      <c r="V67" s="396"/>
      <c r="W67" s="396"/>
      <c r="X67" s="396"/>
      <c r="Y67" s="396"/>
      <c r="Z67" s="396"/>
      <c r="AA67" s="396"/>
      <c r="AB67" s="383"/>
      <c r="AC67" s="383"/>
      <c r="AD67" s="384"/>
      <c r="AF67" s="50"/>
    </row>
    <row r="68" spans="1:32" ht="25.5" customHeight="1">
      <c r="A68" s="389">
        <v>6</v>
      </c>
      <c r="B68" s="390"/>
      <c r="C68" s="117"/>
      <c r="D68" s="225"/>
      <c r="E68" s="222"/>
      <c r="F68" s="391"/>
      <c r="G68" s="383"/>
      <c r="H68" s="383"/>
      <c r="I68" s="383"/>
      <c r="J68" s="383"/>
      <c r="K68" s="383"/>
      <c r="L68" s="383"/>
      <c r="M68" s="51"/>
      <c r="N68" s="392"/>
      <c r="O68" s="393"/>
      <c r="P68" s="394"/>
      <c r="Q68" s="395"/>
      <c r="R68" s="396"/>
      <c r="S68" s="396"/>
      <c r="T68" s="396"/>
      <c r="U68" s="396"/>
      <c r="V68" s="396"/>
      <c r="W68" s="396"/>
      <c r="X68" s="396"/>
      <c r="Y68" s="396"/>
      <c r="Z68" s="396"/>
      <c r="AA68" s="396"/>
      <c r="AB68" s="383"/>
      <c r="AC68" s="383"/>
      <c r="AD68" s="384"/>
      <c r="AF68" s="50"/>
    </row>
    <row r="69" spans="1:32" ht="25.5" customHeight="1">
      <c r="A69" s="389">
        <v>7</v>
      </c>
      <c r="B69" s="390"/>
      <c r="C69" s="117"/>
      <c r="D69" s="225"/>
      <c r="E69" s="222"/>
      <c r="F69" s="391"/>
      <c r="G69" s="383"/>
      <c r="H69" s="383"/>
      <c r="I69" s="383"/>
      <c r="J69" s="383"/>
      <c r="K69" s="383"/>
      <c r="L69" s="383"/>
      <c r="M69" s="51"/>
      <c r="N69" s="392"/>
      <c r="O69" s="393"/>
      <c r="P69" s="394"/>
      <c r="Q69" s="395"/>
      <c r="R69" s="396"/>
      <c r="S69" s="396"/>
      <c r="T69" s="396"/>
      <c r="U69" s="396"/>
      <c r="V69" s="396"/>
      <c r="W69" s="396"/>
      <c r="X69" s="396"/>
      <c r="Y69" s="396"/>
      <c r="Z69" s="396"/>
      <c r="AA69" s="396"/>
      <c r="AB69" s="383"/>
      <c r="AC69" s="383"/>
      <c r="AD69" s="384"/>
      <c r="AF69" s="50"/>
    </row>
    <row r="70" spans="1:32" ht="25.5" customHeight="1">
      <c r="A70" s="389">
        <v>8</v>
      </c>
      <c r="B70" s="390"/>
      <c r="C70" s="117"/>
      <c r="D70" s="225"/>
      <c r="E70" s="222"/>
      <c r="F70" s="391"/>
      <c r="G70" s="383"/>
      <c r="H70" s="383"/>
      <c r="I70" s="383"/>
      <c r="J70" s="383"/>
      <c r="K70" s="383"/>
      <c r="L70" s="383"/>
      <c r="M70" s="51"/>
      <c r="N70" s="392"/>
      <c r="O70" s="393"/>
      <c r="P70" s="394"/>
      <c r="Q70" s="395"/>
      <c r="R70" s="396"/>
      <c r="S70" s="396"/>
      <c r="T70" s="396"/>
      <c r="U70" s="396"/>
      <c r="V70" s="396"/>
      <c r="W70" s="396"/>
      <c r="X70" s="396"/>
      <c r="Y70" s="396"/>
      <c r="Z70" s="396"/>
      <c r="AA70" s="396"/>
      <c r="AB70" s="383"/>
      <c r="AC70" s="383"/>
      <c r="AD70" s="384"/>
      <c r="AF70" s="50"/>
    </row>
    <row r="71" spans="1:32" ht="26.25" customHeight="1" thickBot="1">
      <c r="A71" s="363" t="s">
        <v>435</v>
      </c>
      <c r="B71" s="363"/>
      <c r="C71" s="363"/>
      <c r="D71" s="363"/>
      <c r="E71" s="363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64" t="s">
        <v>113</v>
      </c>
      <c r="B72" s="365"/>
      <c r="C72" s="224" t="s">
        <v>2</v>
      </c>
      <c r="D72" s="224" t="s">
        <v>37</v>
      </c>
      <c r="E72" s="224" t="s">
        <v>3</v>
      </c>
      <c r="F72" s="365" t="s">
        <v>38</v>
      </c>
      <c r="G72" s="365"/>
      <c r="H72" s="365"/>
      <c r="I72" s="365"/>
      <c r="J72" s="365"/>
      <c r="K72" s="385" t="s">
        <v>58</v>
      </c>
      <c r="L72" s="386"/>
      <c r="M72" s="386"/>
      <c r="N72" s="386"/>
      <c r="O72" s="386"/>
      <c r="P72" s="386"/>
      <c r="Q72" s="386"/>
      <c r="R72" s="386"/>
      <c r="S72" s="387"/>
      <c r="T72" s="365" t="s">
        <v>49</v>
      </c>
      <c r="U72" s="365"/>
      <c r="V72" s="385" t="s">
        <v>50</v>
      </c>
      <c r="W72" s="387"/>
      <c r="X72" s="386" t="s">
        <v>51</v>
      </c>
      <c r="Y72" s="386"/>
      <c r="Z72" s="386"/>
      <c r="AA72" s="386"/>
      <c r="AB72" s="386"/>
      <c r="AC72" s="386"/>
      <c r="AD72" s="388"/>
      <c r="AF72" s="50"/>
    </row>
    <row r="73" spans="1:32" ht="33.75" customHeight="1">
      <c r="A73" s="357">
        <v>1</v>
      </c>
      <c r="B73" s="358"/>
      <c r="C73" s="226" t="s">
        <v>114</v>
      </c>
      <c r="D73" s="226"/>
      <c r="E73" s="65" t="s">
        <v>119</v>
      </c>
      <c r="F73" s="372" t="s">
        <v>118</v>
      </c>
      <c r="G73" s="373"/>
      <c r="H73" s="373"/>
      <c r="I73" s="373"/>
      <c r="J73" s="374"/>
      <c r="K73" s="375" t="s">
        <v>128</v>
      </c>
      <c r="L73" s="376"/>
      <c r="M73" s="376"/>
      <c r="N73" s="376"/>
      <c r="O73" s="376"/>
      <c r="P73" s="376"/>
      <c r="Q73" s="376"/>
      <c r="R73" s="376"/>
      <c r="S73" s="377"/>
      <c r="T73" s="378">
        <v>43675</v>
      </c>
      <c r="U73" s="379"/>
      <c r="V73" s="380"/>
      <c r="W73" s="380"/>
      <c r="X73" s="381"/>
      <c r="Y73" s="381"/>
      <c r="Z73" s="381"/>
      <c r="AA73" s="381"/>
      <c r="AB73" s="381"/>
      <c r="AC73" s="381"/>
      <c r="AD73" s="382"/>
      <c r="AF73" s="50"/>
    </row>
    <row r="74" spans="1:32" ht="30" customHeight="1">
      <c r="A74" s="350">
        <f>A73+1</f>
        <v>2</v>
      </c>
      <c r="B74" s="351"/>
      <c r="C74" s="225"/>
      <c r="D74" s="225"/>
      <c r="E74" s="32"/>
      <c r="F74" s="351"/>
      <c r="G74" s="351"/>
      <c r="H74" s="351"/>
      <c r="I74" s="351"/>
      <c r="J74" s="351"/>
      <c r="K74" s="366"/>
      <c r="L74" s="367"/>
      <c r="M74" s="367"/>
      <c r="N74" s="367"/>
      <c r="O74" s="367"/>
      <c r="P74" s="367"/>
      <c r="Q74" s="367"/>
      <c r="R74" s="367"/>
      <c r="S74" s="368"/>
      <c r="T74" s="369"/>
      <c r="U74" s="369"/>
      <c r="V74" s="369"/>
      <c r="W74" s="369"/>
      <c r="X74" s="370"/>
      <c r="Y74" s="370"/>
      <c r="Z74" s="370"/>
      <c r="AA74" s="370"/>
      <c r="AB74" s="370"/>
      <c r="AC74" s="370"/>
      <c r="AD74" s="371"/>
      <c r="AF74" s="50"/>
    </row>
    <row r="75" spans="1:32" ht="30" customHeight="1">
      <c r="A75" s="350">
        <f t="shared" ref="A75:A81" si="14">A74+1</f>
        <v>3</v>
      </c>
      <c r="B75" s="351"/>
      <c r="C75" s="225"/>
      <c r="D75" s="225"/>
      <c r="E75" s="32"/>
      <c r="F75" s="351"/>
      <c r="G75" s="351"/>
      <c r="H75" s="351"/>
      <c r="I75" s="351"/>
      <c r="J75" s="351"/>
      <c r="K75" s="366"/>
      <c r="L75" s="367"/>
      <c r="M75" s="367"/>
      <c r="N75" s="367"/>
      <c r="O75" s="367"/>
      <c r="P75" s="367"/>
      <c r="Q75" s="367"/>
      <c r="R75" s="367"/>
      <c r="S75" s="368"/>
      <c r="T75" s="369"/>
      <c r="U75" s="369"/>
      <c r="V75" s="369"/>
      <c r="W75" s="369"/>
      <c r="X75" s="370"/>
      <c r="Y75" s="370"/>
      <c r="Z75" s="370"/>
      <c r="AA75" s="370"/>
      <c r="AB75" s="370"/>
      <c r="AC75" s="370"/>
      <c r="AD75" s="371"/>
      <c r="AF75" s="50"/>
    </row>
    <row r="76" spans="1:32" ht="30" customHeight="1">
      <c r="A76" s="350">
        <f t="shared" si="14"/>
        <v>4</v>
      </c>
      <c r="B76" s="351"/>
      <c r="C76" s="225"/>
      <c r="D76" s="225"/>
      <c r="E76" s="32"/>
      <c r="F76" s="351"/>
      <c r="G76" s="351"/>
      <c r="H76" s="351"/>
      <c r="I76" s="351"/>
      <c r="J76" s="351"/>
      <c r="K76" s="366"/>
      <c r="L76" s="367"/>
      <c r="M76" s="367"/>
      <c r="N76" s="367"/>
      <c r="O76" s="367"/>
      <c r="P76" s="367"/>
      <c r="Q76" s="367"/>
      <c r="R76" s="367"/>
      <c r="S76" s="368"/>
      <c r="T76" s="369"/>
      <c r="U76" s="369"/>
      <c r="V76" s="369"/>
      <c r="W76" s="369"/>
      <c r="X76" s="370"/>
      <c r="Y76" s="370"/>
      <c r="Z76" s="370"/>
      <c r="AA76" s="370"/>
      <c r="AB76" s="370"/>
      <c r="AC76" s="370"/>
      <c r="AD76" s="371"/>
      <c r="AF76" s="50"/>
    </row>
    <row r="77" spans="1:32" ht="30" customHeight="1">
      <c r="A77" s="350">
        <f t="shared" si="14"/>
        <v>5</v>
      </c>
      <c r="B77" s="351"/>
      <c r="C77" s="225"/>
      <c r="D77" s="225"/>
      <c r="E77" s="32"/>
      <c r="F77" s="351"/>
      <c r="G77" s="351"/>
      <c r="H77" s="351"/>
      <c r="I77" s="351"/>
      <c r="J77" s="351"/>
      <c r="K77" s="366"/>
      <c r="L77" s="367"/>
      <c r="M77" s="367"/>
      <c r="N77" s="367"/>
      <c r="O77" s="367"/>
      <c r="P77" s="367"/>
      <c r="Q77" s="367"/>
      <c r="R77" s="367"/>
      <c r="S77" s="368"/>
      <c r="T77" s="369"/>
      <c r="U77" s="369"/>
      <c r="V77" s="369"/>
      <c r="W77" s="369"/>
      <c r="X77" s="370"/>
      <c r="Y77" s="370"/>
      <c r="Z77" s="370"/>
      <c r="AA77" s="370"/>
      <c r="AB77" s="370"/>
      <c r="AC77" s="370"/>
      <c r="AD77" s="371"/>
      <c r="AF77" s="50"/>
    </row>
    <row r="78" spans="1:32" ht="30" customHeight="1">
      <c r="A78" s="350">
        <f t="shared" si="14"/>
        <v>6</v>
      </c>
      <c r="B78" s="351"/>
      <c r="C78" s="225"/>
      <c r="D78" s="225"/>
      <c r="E78" s="32"/>
      <c r="F78" s="351"/>
      <c r="G78" s="351"/>
      <c r="H78" s="351"/>
      <c r="I78" s="351"/>
      <c r="J78" s="351"/>
      <c r="K78" s="366"/>
      <c r="L78" s="367"/>
      <c r="M78" s="367"/>
      <c r="N78" s="367"/>
      <c r="O78" s="367"/>
      <c r="P78" s="367"/>
      <c r="Q78" s="367"/>
      <c r="R78" s="367"/>
      <c r="S78" s="368"/>
      <c r="T78" s="369"/>
      <c r="U78" s="369"/>
      <c r="V78" s="369"/>
      <c r="W78" s="369"/>
      <c r="X78" s="370"/>
      <c r="Y78" s="370"/>
      <c r="Z78" s="370"/>
      <c r="AA78" s="370"/>
      <c r="AB78" s="370"/>
      <c r="AC78" s="370"/>
      <c r="AD78" s="371"/>
      <c r="AF78" s="50"/>
    </row>
    <row r="79" spans="1:32" ht="30" customHeight="1">
      <c r="A79" s="350">
        <f t="shared" si="14"/>
        <v>7</v>
      </c>
      <c r="B79" s="351"/>
      <c r="C79" s="225"/>
      <c r="D79" s="225"/>
      <c r="E79" s="32"/>
      <c r="F79" s="351"/>
      <c r="G79" s="351"/>
      <c r="H79" s="351"/>
      <c r="I79" s="351"/>
      <c r="J79" s="351"/>
      <c r="K79" s="366"/>
      <c r="L79" s="367"/>
      <c r="M79" s="367"/>
      <c r="N79" s="367"/>
      <c r="O79" s="367"/>
      <c r="P79" s="367"/>
      <c r="Q79" s="367"/>
      <c r="R79" s="367"/>
      <c r="S79" s="368"/>
      <c r="T79" s="369"/>
      <c r="U79" s="369"/>
      <c r="V79" s="369"/>
      <c r="W79" s="369"/>
      <c r="X79" s="370"/>
      <c r="Y79" s="370"/>
      <c r="Z79" s="370"/>
      <c r="AA79" s="370"/>
      <c r="AB79" s="370"/>
      <c r="AC79" s="370"/>
      <c r="AD79" s="371"/>
      <c r="AF79" s="50"/>
    </row>
    <row r="80" spans="1:32" ht="30" customHeight="1">
      <c r="A80" s="350">
        <f t="shared" si="14"/>
        <v>8</v>
      </c>
      <c r="B80" s="351"/>
      <c r="C80" s="225"/>
      <c r="D80" s="225"/>
      <c r="E80" s="32"/>
      <c r="F80" s="351"/>
      <c r="G80" s="351"/>
      <c r="H80" s="351"/>
      <c r="I80" s="351"/>
      <c r="J80" s="351"/>
      <c r="K80" s="366"/>
      <c r="L80" s="367"/>
      <c r="M80" s="367"/>
      <c r="N80" s="367"/>
      <c r="O80" s="367"/>
      <c r="P80" s="367"/>
      <c r="Q80" s="367"/>
      <c r="R80" s="367"/>
      <c r="S80" s="368"/>
      <c r="T80" s="369"/>
      <c r="U80" s="369"/>
      <c r="V80" s="369"/>
      <c r="W80" s="369"/>
      <c r="X80" s="370"/>
      <c r="Y80" s="370"/>
      <c r="Z80" s="370"/>
      <c r="AA80" s="370"/>
      <c r="AB80" s="370"/>
      <c r="AC80" s="370"/>
      <c r="AD80" s="371"/>
      <c r="AF80" s="50"/>
    </row>
    <row r="81" spans="1:32" ht="30" customHeight="1">
      <c r="A81" s="350">
        <f t="shared" si="14"/>
        <v>9</v>
      </c>
      <c r="B81" s="351"/>
      <c r="C81" s="225"/>
      <c r="D81" s="225"/>
      <c r="E81" s="32"/>
      <c r="F81" s="351"/>
      <c r="G81" s="351"/>
      <c r="H81" s="351"/>
      <c r="I81" s="351"/>
      <c r="J81" s="351"/>
      <c r="K81" s="366"/>
      <c r="L81" s="367"/>
      <c r="M81" s="367"/>
      <c r="N81" s="367"/>
      <c r="O81" s="367"/>
      <c r="P81" s="367"/>
      <c r="Q81" s="367"/>
      <c r="R81" s="367"/>
      <c r="S81" s="368"/>
      <c r="T81" s="369"/>
      <c r="U81" s="369"/>
      <c r="V81" s="369"/>
      <c r="W81" s="369"/>
      <c r="X81" s="370"/>
      <c r="Y81" s="370"/>
      <c r="Z81" s="370"/>
      <c r="AA81" s="370"/>
      <c r="AB81" s="370"/>
      <c r="AC81" s="370"/>
      <c r="AD81" s="371"/>
      <c r="AF81" s="50"/>
    </row>
    <row r="82" spans="1:32" ht="36" thickBot="1">
      <c r="A82" s="363" t="s">
        <v>436</v>
      </c>
      <c r="B82" s="363"/>
      <c r="C82" s="363"/>
      <c r="D82" s="363"/>
      <c r="E82" s="363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64" t="s">
        <v>113</v>
      </c>
      <c r="B83" s="365"/>
      <c r="C83" s="355" t="s">
        <v>52</v>
      </c>
      <c r="D83" s="355"/>
      <c r="E83" s="355" t="s">
        <v>53</v>
      </c>
      <c r="F83" s="355"/>
      <c r="G83" s="355"/>
      <c r="H83" s="355"/>
      <c r="I83" s="355"/>
      <c r="J83" s="355"/>
      <c r="K83" s="355" t="s">
        <v>54</v>
      </c>
      <c r="L83" s="355"/>
      <c r="M83" s="355"/>
      <c r="N83" s="355"/>
      <c r="O83" s="355"/>
      <c r="P83" s="355"/>
      <c r="Q83" s="355"/>
      <c r="R83" s="355"/>
      <c r="S83" s="355"/>
      <c r="T83" s="355" t="s">
        <v>55</v>
      </c>
      <c r="U83" s="355"/>
      <c r="V83" s="355" t="s">
        <v>56</v>
      </c>
      <c r="W83" s="355"/>
      <c r="X83" s="355"/>
      <c r="Y83" s="355" t="s">
        <v>51</v>
      </c>
      <c r="Z83" s="355"/>
      <c r="AA83" s="355"/>
      <c r="AB83" s="355"/>
      <c r="AC83" s="355"/>
      <c r="AD83" s="356"/>
      <c r="AF83" s="50"/>
    </row>
    <row r="84" spans="1:32" ht="30.75" customHeight="1">
      <c r="A84" s="357">
        <v>1</v>
      </c>
      <c r="B84" s="358"/>
      <c r="C84" s="359"/>
      <c r="D84" s="359"/>
      <c r="E84" s="359"/>
      <c r="F84" s="359"/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/>
      <c r="R84" s="359"/>
      <c r="S84" s="359"/>
      <c r="T84" s="359"/>
      <c r="U84" s="359"/>
      <c r="V84" s="360"/>
      <c r="W84" s="360"/>
      <c r="X84" s="360"/>
      <c r="Y84" s="361"/>
      <c r="Z84" s="361"/>
      <c r="AA84" s="361"/>
      <c r="AB84" s="361"/>
      <c r="AC84" s="361"/>
      <c r="AD84" s="362"/>
      <c r="AF84" s="50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0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925C-D276-45E2-85F8-7AE7E8D84F54}">
  <dimension ref="A1:AF86"/>
  <sheetViews>
    <sheetView zoomScale="72" zoomScaleNormal="72" zoomScaleSheetLayoutView="70" workbookViewId="0">
      <selection activeCell="F53" sqref="F53:M5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58" t="s">
        <v>437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8"/>
      <c r="B2" s="458"/>
      <c r="C2" s="458"/>
      <c r="D2" s="458"/>
      <c r="E2" s="458"/>
      <c r="F2" s="458"/>
      <c r="G2" s="458"/>
      <c r="H2" s="458"/>
      <c r="I2" s="458"/>
      <c r="J2" s="458"/>
      <c r="K2" s="458"/>
      <c r="L2" s="458"/>
      <c r="M2" s="458"/>
      <c r="N2" s="458"/>
      <c r="O2" s="45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9"/>
      <c r="B3" s="459"/>
      <c r="C3" s="459"/>
      <c r="D3" s="459"/>
      <c r="E3" s="459"/>
      <c r="F3" s="459"/>
      <c r="G3" s="45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0" t="s">
        <v>0</v>
      </c>
      <c r="B4" s="462" t="s">
        <v>1</v>
      </c>
      <c r="C4" s="462" t="s">
        <v>2</v>
      </c>
      <c r="D4" s="465" t="s">
        <v>3</v>
      </c>
      <c r="E4" s="467" t="s">
        <v>4</v>
      </c>
      <c r="F4" s="465" t="s">
        <v>5</v>
      </c>
      <c r="G4" s="462" t="s">
        <v>6</v>
      </c>
      <c r="H4" s="468" t="s">
        <v>7</v>
      </c>
      <c r="I4" s="448" t="s">
        <v>8</v>
      </c>
      <c r="J4" s="449"/>
      <c r="K4" s="449"/>
      <c r="L4" s="449"/>
      <c r="M4" s="449"/>
      <c r="N4" s="449"/>
      <c r="O4" s="450"/>
      <c r="P4" s="451" t="s">
        <v>9</v>
      </c>
      <c r="Q4" s="452"/>
      <c r="R4" s="453" t="s">
        <v>10</v>
      </c>
      <c r="S4" s="453"/>
      <c r="T4" s="453"/>
      <c r="U4" s="453"/>
      <c r="V4" s="453"/>
      <c r="W4" s="454" t="s">
        <v>11</v>
      </c>
      <c r="X4" s="453"/>
      <c r="Y4" s="453"/>
      <c r="Z4" s="453"/>
      <c r="AA4" s="455"/>
      <c r="AB4" s="456" t="s">
        <v>12</v>
      </c>
      <c r="AC4" s="429" t="s">
        <v>13</v>
      </c>
      <c r="AD4" s="429" t="s">
        <v>14</v>
      </c>
      <c r="AE4" s="54"/>
    </row>
    <row r="5" spans="1:32" ht="51" customHeight="1" thickBot="1">
      <c r="A5" s="461"/>
      <c r="B5" s="463"/>
      <c r="C5" s="464"/>
      <c r="D5" s="466"/>
      <c r="E5" s="466"/>
      <c r="F5" s="466"/>
      <c r="G5" s="463"/>
      <c r="H5" s="469"/>
      <c r="I5" s="55" t="s">
        <v>15</v>
      </c>
      <c r="J5" s="56" t="s">
        <v>16</v>
      </c>
      <c r="K5" s="229" t="s">
        <v>17</v>
      </c>
      <c r="L5" s="229" t="s">
        <v>18</v>
      </c>
      <c r="M5" s="229" t="s">
        <v>19</v>
      </c>
      <c r="N5" s="22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57"/>
      <c r="AC5" s="430"/>
      <c r="AD5" s="43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0.3888888888888889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126</v>
      </c>
      <c r="D7" s="52" t="s">
        <v>127</v>
      </c>
      <c r="E7" s="53" t="s">
        <v>125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0.3888888888888889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126</v>
      </c>
      <c r="D8" s="52" t="s">
        <v>119</v>
      </c>
      <c r="E8" s="53" t="s">
        <v>379</v>
      </c>
      <c r="F8" s="30" t="s">
        <v>138</v>
      </c>
      <c r="G8" s="33">
        <v>1</v>
      </c>
      <c r="H8" s="35">
        <v>24</v>
      </c>
      <c r="I8" s="7">
        <v>2000</v>
      </c>
      <c r="J8" s="14">
        <v>3138</v>
      </c>
      <c r="K8" s="15">
        <f>L8+3138</f>
        <v>3138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0.3888888888888889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275</v>
      </c>
      <c r="E9" s="53" t="s">
        <v>319</v>
      </c>
      <c r="F9" s="30" t="s">
        <v>132</v>
      </c>
      <c r="G9" s="33">
        <v>4</v>
      </c>
      <c r="H9" s="35">
        <v>24</v>
      </c>
      <c r="I9" s="7">
        <v>50000</v>
      </c>
      <c r="J9" s="14">
        <v>10416</v>
      </c>
      <c r="K9" s="15">
        <f>L9+14524+30712+10416</f>
        <v>55652</v>
      </c>
      <c r="L9" s="15"/>
      <c r="M9" s="15">
        <f t="shared" si="1"/>
        <v>0</v>
      </c>
      <c r="N9" s="15">
        <v>0</v>
      </c>
      <c r="O9" s="58" t="str">
        <f t="shared" si="2"/>
        <v>0</v>
      </c>
      <c r="P9" s="39" t="str">
        <f t="shared" si="3"/>
        <v>0</v>
      </c>
      <c r="Q9" s="40">
        <f t="shared" si="4"/>
        <v>24</v>
      </c>
      <c r="R9" s="7"/>
      <c r="S9" s="6">
        <v>24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0</v>
      </c>
      <c r="AC9" s="9">
        <f t="shared" si="6"/>
        <v>0</v>
      </c>
      <c r="AD9" s="10">
        <f t="shared" si="7"/>
        <v>0</v>
      </c>
      <c r="AE9" s="36">
        <f t="shared" si="8"/>
        <v>0.3888888888888889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131</v>
      </c>
      <c r="D10" s="52" t="s">
        <v>150</v>
      </c>
      <c r="E10" s="53" t="s">
        <v>152</v>
      </c>
      <c r="F10" s="30" t="s">
        <v>121</v>
      </c>
      <c r="G10" s="33">
        <v>2</v>
      </c>
      <c r="H10" s="35">
        <v>24</v>
      </c>
      <c r="I10" s="7">
        <v>130000</v>
      </c>
      <c r="J10" s="5">
        <v>4200</v>
      </c>
      <c r="K10" s="15">
        <f>L10+13288+10116+14610+5976+7143+12482+1676+11964+11004+13758+11480+4868+7902+3480</f>
        <v>133947</v>
      </c>
      <c r="L10" s="15">
        <f>2100*2</f>
        <v>4200</v>
      </c>
      <c r="M10" s="15">
        <f t="shared" si="1"/>
        <v>4200</v>
      </c>
      <c r="N10" s="15">
        <v>0</v>
      </c>
      <c r="O10" s="58">
        <f t="shared" si="2"/>
        <v>0</v>
      </c>
      <c r="P10" s="39">
        <f t="shared" si="3"/>
        <v>6</v>
      </c>
      <c r="Q10" s="40">
        <f t="shared" si="4"/>
        <v>18</v>
      </c>
      <c r="R10" s="7"/>
      <c r="S10" s="6">
        <v>18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0.25</v>
      </c>
      <c r="AD10" s="10">
        <f>AC10*AB10*(1-O10)</f>
        <v>0.25</v>
      </c>
      <c r="AE10" s="36">
        <f t="shared" si="8"/>
        <v>0.3888888888888889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126</v>
      </c>
      <c r="D11" s="52" t="s">
        <v>202</v>
      </c>
      <c r="E11" s="53" t="s">
        <v>421</v>
      </c>
      <c r="F11" s="30" t="s">
        <v>138</v>
      </c>
      <c r="G11" s="33">
        <v>2</v>
      </c>
      <c r="H11" s="35">
        <v>24</v>
      </c>
      <c r="I11" s="7">
        <v>20000</v>
      </c>
      <c r="J11" s="5">
        <v>4520</v>
      </c>
      <c r="K11" s="15">
        <f>L11</f>
        <v>4520</v>
      </c>
      <c r="L11" s="15">
        <f>2260*2</f>
        <v>4520</v>
      </c>
      <c r="M11" s="15">
        <f t="shared" si="1"/>
        <v>4520</v>
      </c>
      <c r="N11" s="15">
        <v>0</v>
      </c>
      <c r="O11" s="58">
        <f t="shared" si="2"/>
        <v>0</v>
      </c>
      <c r="P11" s="39">
        <f t="shared" si="3"/>
        <v>12</v>
      </c>
      <c r="Q11" s="40">
        <f t="shared" si="4"/>
        <v>12</v>
      </c>
      <c r="R11" s="7"/>
      <c r="S11" s="6">
        <v>12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0.5</v>
      </c>
      <c r="AD11" s="10">
        <f>AC11*AB11*(1-O11)</f>
        <v>0.5</v>
      </c>
      <c r="AE11" s="36">
        <f t="shared" si="8"/>
        <v>0.3888888888888889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126</v>
      </c>
      <c r="D12" s="52" t="s">
        <v>117</v>
      </c>
      <c r="E12" s="53" t="s">
        <v>422</v>
      </c>
      <c r="F12" s="30" t="s">
        <v>138</v>
      </c>
      <c r="G12" s="33">
        <v>3</v>
      </c>
      <c r="H12" s="35">
        <v>24</v>
      </c>
      <c r="I12" s="7">
        <v>20000</v>
      </c>
      <c r="J12" s="14">
        <v>6201</v>
      </c>
      <c r="K12" s="15">
        <f>L12</f>
        <v>6201</v>
      </c>
      <c r="L12" s="15">
        <f>2067*3</f>
        <v>6201</v>
      </c>
      <c r="M12" s="15">
        <f t="shared" si="1"/>
        <v>6201</v>
      </c>
      <c r="N12" s="15">
        <v>0</v>
      </c>
      <c r="O12" s="58">
        <f t="shared" si="2"/>
        <v>0</v>
      </c>
      <c r="P12" s="39">
        <f t="shared" si="3"/>
        <v>12</v>
      </c>
      <c r="Q12" s="40">
        <f t="shared" si="4"/>
        <v>12</v>
      </c>
      <c r="R12" s="7"/>
      <c r="S12" s="6">
        <v>12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0.5</v>
      </c>
      <c r="AD12" s="10">
        <f t="shared" ref="AD12:AD14" si="10">AC12*AB12*(1-O12)</f>
        <v>0.5</v>
      </c>
      <c r="AE12" s="36">
        <f t="shared" si="8"/>
        <v>0.3888888888888889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117</v>
      </c>
      <c r="E13" s="53" t="s">
        <v>143</v>
      </c>
      <c r="F13" s="30" t="s">
        <v>138</v>
      </c>
      <c r="G13" s="33">
        <v>4</v>
      </c>
      <c r="H13" s="35">
        <v>24</v>
      </c>
      <c r="I13" s="7">
        <v>850000</v>
      </c>
      <c r="J13" s="14">
        <v>22064</v>
      </c>
      <c r="K13" s="15">
        <f>L13+20676+20704+882+19912+11748+21560+18812+17048+21840+19920+21784+15116+10164+22344+20496</f>
        <v>285070</v>
      </c>
      <c r="L13" s="15">
        <f>2692*4+2824*4</f>
        <v>22064</v>
      </c>
      <c r="M13" s="15">
        <f t="shared" si="1"/>
        <v>22064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10"/>
        <v>1</v>
      </c>
      <c r="AE13" s="36">
        <f t="shared" si="8"/>
        <v>0.3888888888888889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257</v>
      </c>
      <c r="D14" s="52" t="s">
        <v>117</v>
      </c>
      <c r="E14" s="53" t="s">
        <v>375</v>
      </c>
      <c r="F14" s="30" t="s">
        <v>394</v>
      </c>
      <c r="G14" s="33">
        <v>1</v>
      </c>
      <c r="H14" s="35">
        <v>24</v>
      </c>
      <c r="I14" s="7">
        <v>50</v>
      </c>
      <c r="J14" s="5">
        <v>55</v>
      </c>
      <c r="K14" s="15">
        <f>L14+55</f>
        <v>55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10"/>
        <v>0</v>
      </c>
      <c r="AE14" s="36">
        <f t="shared" si="8"/>
        <v>0.3888888888888889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300</v>
      </c>
      <c r="D15" s="52" t="s">
        <v>438</v>
      </c>
      <c r="E15" s="53" t="s">
        <v>370</v>
      </c>
      <c r="F15" s="12" t="s">
        <v>321</v>
      </c>
      <c r="G15" s="12">
        <v>4</v>
      </c>
      <c r="H15" s="13">
        <v>24</v>
      </c>
      <c r="I15" s="31">
        <v>20000</v>
      </c>
      <c r="J15" s="14">
        <v>21256</v>
      </c>
      <c r="K15" s="15">
        <f>L15</f>
        <v>21256</v>
      </c>
      <c r="L15" s="15">
        <f>2596*4+2718*4</f>
        <v>21256</v>
      </c>
      <c r="M15" s="15">
        <f t="shared" si="1"/>
        <v>21256</v>
      </c>
      <c r="N15" s="15">
        <v>0</v>
      </c>
      <c r="O15" s="58">
        <f t="shared" si="2"/>
        <v>0</v>
      </c>
      <c r="P15" s="39">
        <f t="shared" si="3"/>
        <v>24</v>
      </c>
      <c r="Q15" s="40">
        <f t="shared" si="4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1</v>
      </c>
      <c r="AD15" s="10">
        <f t="shared" si="7"/>
        <v>1</v>
      </c>
      <c r="AE15" s="36">
        <f t="shared" si="8"/>
        <v>0.3888888888888889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146</v>
      </c>
      <c r="E16" s="53" t="s">
        <v>333</v>
      </c>
      <c r="F16" s="30" t="s">
        <v>140</v>
      </c>
      <c r="G16" s="12">
        <v>2</v>
      </c>
      <c r="H16" s="13">
        <v>28</v>
      </c>
      <c r="I16" s="7">
        <v>2000</v>
      </c>
      <c r="J16" s="14">
        <v>2182</v>
      </c>
      <c r="K16" s="15">
        <f>L16+2182</f>
        <v>2182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0.3888888888888889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126</v>
      </c>
      <c r="D17" s="52" t="s">
        <v>335</v>
      </c>
      <c r="E17" s="53" t="s">
        <v>425</v>
      </c>
      <c r="F17" s="30" t="s">
        <v>396</v>
      </c>
      <c r="G17" s="33">
        <v>4</v>
      </c>
      <c r="H17" s="35">
        <v>24</v>
      </c>
      <c r="I17" s="7">
        <v>20000</v>
      </c>
      <c r="J17" s="5">
        <v>20368</v>
      </c>
      <c r="K17" s="15">
        <f>L17</f>
        <v>20368</v>
      </c>
      <c r="L17" s="15">
        <f>2632*4+2460*4</f>
        <v>20368</v>
      </c>
      <c r="M17" s="15">
        <f t="shared" si="1"/>
        <v>20368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 t="shared" si="8"/>
        <v>0.3888888888888889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126</v>
      </c>
      <c r="D18" s="52" t="s">
        <v>415</v>
      </c>
      <c r="E18" s="53" t="s">
        <v>416</v>
      </c>
      <c r="F18" s="30" t="s">
        <v>265</v>
      </c>
      <c r="G18" s="33">
        <v>1</v>
      </c>
      <c r="H18" s="35">
        <v>24</v>
      </c>
      <c r="I18" s="7">
        <v>2000</v>
      </c>
      <c r="J18" s="5">
        <v>2082</v>
      </c>
      <c r="K18" s="15">
        <f>L18</f>
        <v>2082</v>
      </c>
      <c r="L18" s="15">
        <f>953+1129</f>
        <v>2082</v>
      </c>
      <c r="M18" s="15">
        <f t="shared" si="1"/>
        <v>2082</v>
      </c>
      <c r="N18" s="15">
        <v>0</v>
      </c>
      <c r="O18" s="58">
        <f t="shared" si="2"/>
        <v>0</v>
      </c>
      <c r="P18" s="39">
        <f t="shared" si="3"/>
        <v>14</v>
      </c>
      <c r="Q18" s="40">
        <f t="shared" si="4"/>
        <v>10</v>
      </c>
      <c r="R18" s="7"/>
      <c r="S18" s="6">
        <v>4</v>
      </c>
      <c r="T18" s="16"/>
      <c r="U18" s="16"/>
      <c r="V18" s="17"/>
      <c r="W18" s="5">
        <v>6</v>
      </c>
      <c r="X18" s="16"/>
      <c r="Y18" s="16"/>
      <c r="Z18" s="16"/>
      <c r="AA18" s="18"/>
      <c r="AB18" s="8">
        <f t="shared" si="5"/>
        <v>1</v>
      </c>
      <c r="AC18" s="9">
        <f t="shared" si="6"/>
        <v>0.58333333333333337</v>
      </c>
      <c r="AD18" s="10">
        <f>AC18*AB18*(1-O18)</f>
        <v>0.58333333333333337</v>
      </c>
      <c r="AE18" s="36">
        <f t="shared" si="8"/>
        <v>0.3888888888888889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126</v>
      </c>
      <c r="D19" s="52" t="s">
        <v>202</v>
      </c>
      <c r="E19" s="53" t="s">
        <v>205</v>
      </c>
      <c r="F19" s="30" t="s">
        <v>138</v>
      </c>
      <c r="G19" s="33">
        <v>4</v>
      </c>
      <c r="H19" s="35">
        <v>24</v>
      </c>
      <c r="I19" s="7">
        <v>800000</v>
      </c>
      <c r="J19" s="14">
        <v>20460</v>
      </c>
      <c r="K19" s="15">
        <f>L19+12980+20160+21332+21348+21424+21388+19544+8924+20020</f>
        <v>187580</v>
      </c>
      <c r="L19" s="15">
        <f>2491*4+2624*4</f>
        <v>20460</v>
      </c>
      <c r="M19" s="15">
        <f t="shared" si="1"/>
        <v>20460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ref="AD19" si="11">AC19*AB19*(1-O19)</f>
        <v>1</v>
      </c>
      <c r="AE19" s="36">
        <f t="shared" si="8"/>
        <v>0.3888888888888889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144</v>
      </c>
      <c r="F20" s="12" t="s">
        <v>116</v>
      </c>
      <c r="G20" s="12">
        <v>3</v>
      </c>
      <c r="H20" s="35">
        <v>20</v>
      </c>
      <c r="I20" s="7">
        <v>200000</v>
      </c>
      <c r="J20" s="14">
        <v>34300</v>
      </c>
      <c r="K20" s="15">
        <f>L20+22050+34300</f>
        <v>56350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0.3888888888888889</v>
      </c>
      <c r="AF20" s="87">
        <f t="shared" si="9"/>
        <v>15</v>
      </c>
    </row>
    <row r="21" spans="1:32" ht="31.5" customHeight="1" thickBot="1">
      <c r="A21" s="431" t="s">
        <v>34</v>
      </c>
      <c r="B21" s="432"/>
      <c r="C21" s="432"/>
      <c r="D21" s="432"/>
      <c r="E21" s="432"/>
      <c r="F21" s="432"/>
      <c r="G21" s="432"/>
      <c r="H21" s="433"/>
      <c r="I21" s="22">
        <f t="shared" ref="I21:N21" si="12">SUM(I6:I20)</f>
        <v>2137050</v>
      </c>
      <c r="J21" s="19">
        <f t="shared" si="12"/>
        <v>153303</v>
      </c>
      <c r="K21" s="20">
        <f t="shared" si="12"/>
        <v>789949</v>
      </c>
      <c r="L21" s="21">
        <f t="shared" si="12"/>
        <v>101151</v>
      </c>
      <c r="M21" s="20">
        <f t="shared" si="12"/>
        <v>101151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140</v>
      </c>
      <c r="Q21" s="43">
        <f t="shared" si="13"/>
        <v>220</v>
      </c>
      <c r="R21" s="23">
        <f t="shared" si="13"/>
        <v>24</v>
      </c>
      <c r="S21" s="24">
        <f t="shared" si="13"/>
        <v>70</v>
      </c>
      <c r="T21" s="24">
        <f t="shared" si="13"/>
        <v>0</v>
      </c>
      <c r="U21" s="24">
        <f t="shared" si="13"/>
        <v>0</v>
      </c>
      <c r="V21" s="25">
        <f t="shared" si="13"/>
        <v>24</v>
      </c>
      <c r="W21" s="26">
        <f t="shared" si="13"/>
        <v>102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0.53333333333333333</v>
      </c>
      <c r="AC21" s="4">
        <f>SUM(AC6:AC20)/15</f>
        <v>0.3888888888888889</v>
      </c>
      <c r="AD21" s="4">
        <f>SUM(AD6:AD20)/15</f>
        <v>0.3888888888888889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34" t="s">
        <v>45</v>
      </c>
      <c r="B48" s="434"/>
      <c r="C48" s="434"/>
      <c r="D48" s="434"/>
      <c r="E48" s="43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35" t="s">
        <v>439</v>
      </c>
      <c r="B49" s="436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7"/>
      <c r="N49" s="438" t="s">
        <v>442</v>
      </c>
      <c r="O49" s="439"/>
      <c r="P49" s="439"/>
      <c r="Q49" s="439"/>
      <c r="R49" s="439"/>
      <c r="S49" s="439"/>
      <c r="T49" s="439"/>
      <c r="U49" s="439"/>
      <c r="V49" s="439"/>
      <c r="W49" s="439"/>
      <c r="X49" s="439"/>
      <c r="Y49" s="439"/>
      <c r="Z49" s="439"/>
      <c r="AA49" s="439"/>
      <c r="AB49" s="439"/>
      <c r="AC49" s="439"/>
      <c r="AD49" s="440"/>
    </row>
    <row r="50" spans="1:32" ht="27" customHeight="1">
      <c r="A50" s="441" t="s">
        <v>2</v>
      </c>
      <c r="B50" s="442"/>
      <c r="C50" s="230" t="s">
        <v>46</v>
      </c>
      <c r="D50" s="230" t="s">
        <v>47</v>
      </c>
      <c r="E50" s="230" t="s">
        <v>108</v>
      </c>
      <c r="F50" s="442" t="s">
        <v>107</v>
      </c>
      <c r="G50" s="442"/>
      <c r="H50" s="442"/>
      <c r="I50" s="442"/>
      <c r="J50" s="442"/>
      <c r="K50" s="442"/>
      <c r="L50" s="442"/>
      <c r="M50" s="443"/>
      <c r="N50" s="67" t="s">
        <v>112</v>
      </c>
      <c r="O50" s="230" t="s">
        <v>46</v>
      </c>
      <c r="P50" s="444" t="s">
        <v>47</v>
      </c>
      <c r="Q50" s="445"/>
      <c r="R50" s="444" t="s">
        <v>38</v>
      </c>
      <c r="S50" s="446"/>
      <c r="T50" s="446"/>
      <c r="U50" s="445"/>
      <c r="V50" s="444" t="s">
        <v>48</v>
      </c>
      <c r="W50" s="446"/>
      <c r="X50" s="446"/>
      <c r="Y50" s="446"/>
      <c r="Z50" s="446"/>
      <c r="AA50" s="446"/>
      <c r="AB50" s="446"/>
      <c r="AC50" s="446"/>
      <c r="AD50" s="447"/>
    </row>
    <row r="51" spans="1:32" ht="27" customHeight="1">
      <c r="A51" s="412" t="s">
        <v>131</v>
      </c>
      <c r="B51" s="413"/>
      <c r="C51" s="232" t="s">
        <v>139</v>
      </c>
      <c r="D51" s="232"/>
      <c r="E51" s="232" t="s">
        <v>152</v>
      </c>
      <c r="F51" s="414" t="s">
        <v>399</v>
      </c>
      <c r="G51" s="415"/>
      <c r="H51" s="415"/>
      <c r="I51" s="415"/>
      <c r="J51" s="415"/>
      <c r="K51" s="415"/>
      <c r="L51" s="415"/>
      <c r="M51" s="416"/>
      <c r="N51" s="231" t="s">
        <v>126</v>
      </c>
      <c r="O51" s="237" t="s">
        <v>173</v>
      </c>
      <c r="P51" s="426" t="s">
        <v>341</v>
      </c>
      <c r="Q51" s="427"/>
      <c r="R51" s="426" t="s">
        <v>445</v>
      </c>
      <c r="S51" s="428"/>
      <c r="T51" s="428"/>
      <c r="U51" s="427"/>
      <c r="V51" s="396" t="s">
        <v>137</v>
      </c>
      <c r="W51" s="396"/>
      <c r="X51" s="396"/>
      <c r="Y51" s="396"/>
      <c r="Z51" s="396"/>
      <c r="AA51" s="396"/>
      <c r="AB51" s="396"/>
      <c r="AC51" s="396"/>
      <c r="AD51" s="417"/>
    </row>
    <row r="52" spans="1:32" ht="27" customHeight="1">
      <c r="A52" s="412" t="s">
        <v>126</v>
      </c>
      <c r="B52" s="413"/>
      <c r="C52" s="232" t="s">
        <v>130</v>
      </c>
      <c r="D52" s="232" t="s">
        <v>202</v>
      </c>
      <c r="E52" s="232" t="s">
        <v>421</v>
      </c>
      <c r="F52" s="414" t="s">
        <v>440</v>
      </c>
      <c r="G52" s="415"/>
      <c r="H52" s="415"/>
      <c r="I52" s="415"/>
      <c r="J52" s="415"/>
      <c r="K52" s="415"/>
      <c r="L52" s="415"/>
      <c r="M52" s="416"/>
      <c r="N52" s="231" t="s">
        <v>126</v>
      </c>
      <c r="O52" s="237" t="s">
        <v>130</v>
      </c>
      <c r="P52" s="426" t="s">
        <v>202</v>
      </c>
      <c r="Q52" s="427"/>
      <c r="R52" s="426" t="s">
        <v>421</v>
      </c>
      <c r="S52" s="428"/>
      <c r="T52" s="428"/>
      <c r="U52" s="427"/>
      <c r="V52" s="396" t="s">
        <v>137</v>
      </c>
      <c r="W52" s="396"/>
      <c r="X52" s="396"/>
      <c r="Y52" s="396"/>
      <c r="Z52" s="396"/>
      <c r="AA52" s="396"/>
      <c r="AB52" s="396"/>
      <c r="AC52" s="396"/>
      <c r="AD52" s="417"/>
    </row>
    <row r="53" spans="1:32" ht="27" customHeight="1">
      <c r="A53" s="412" t="s">
        <v>126</v>
      </c>
      <c r="B53" s="413"/>
      <c r="C53" s="232" t="s">
        <v>136</v>
      </c>
      <c r="D53" s="232" t="s">
        <v>117</v>
      </c>
      <c r="E53" s="232" t="s">
        <v>422</v>
      </c>
      <c r="F53" s="414" t="s">
        <v>441</v>
      </c>
      <c r="G53" s="415"/>
      <c r="H53" s="415"/>
      <c r="I53" s="415"/>
      <c r="J53" s="415"/>
      <c r="K53" s="415"/>
      <c r="L53" s="415"/>
      <c r="M53" s="416"/>
      <c r="N53" s="231" t="s">
        <v>126</v>
      </c>
      <c r="O53" s="237" t="s">
        <v>136</v>
      </c>
      <c r="P53" s="426" t="s">
        <v>117</v>
      </c>
      <c r="Q53" s="427"/>
      <c r="R53" s="426" t="s">
        <v>422</v>
      </c>
      <c r="S53" s="428"/>
      <c r="T53" s="428"/>
      <c r="U53" s="427"/>
      <c r="V53" s="396" t="s">
        <v>137</v>
      </c>
      <c r="W53" s="396"/>
      <c r="X53" s="396"/>
      <c r="Y53" s="396"/>
      <c r="Z53" s="396"/>
      <c r="AA53" s="396"/>
      <c r="AB53" s="396"/>
      <c r="AC53" s="396"/>
      <c r="AD53" s="417"/>
    </row>
    <row r="54" spans="1:32" ht="27" customHeight="1">
      <c r="A54" s="412" t="s">
        <v>126</v>
      </c>
      <c r="B54" s="413"/>
      <c r="C54" s="232" t="s">
        <v>237</v>
      </c>
      <c r="D54" s="232" t="s">
        <v>335</v>
      </c>
      <c r="E54" s="232" t="s">
        <v>425</v>
      </c>
      <c r="F54" s="414" t="s">
        <v>120</v>
      </c>
      <c r="G54" s="415"/>
      <c r="H54" s="415"/>
      <c r="I54" s="415"/>
      <c r="J54" s="415"/>
      <c r="K54" s="415"/>
      <c r="L54" s="415"/>
      <c r="M54" s="416"/>
      <c r="N54" s="231"/>
      <c r="O54" s="237"/>
      <c r="P54" s="426"/>
      <c r="Q54" s="427"/>
      <c r="R54" s="426"/>
      <c r="S54" s="428"/>
      <c r="T54" s="428"/>
      <c r="U54" s="427"/>
      <c r="V54" s="396"/>
      <c r="W54" s="396"/>
      <c r="X54" s="396"/>
      <c r="Y54" s="396"/>
      <c r="Z54" s="396"/>
      <c r="AA54" s="396"/>
      <c r="AB54" s="396"/>
      <c r="AC54" s="396"/>
      <c r="AD54" s="417"/>
    </row>
    <row r="55" spans="1:32" ht="27" customHeight="1">
      <c r="A55" s="412" t="s">
        <v>300</v>
      </c>
      <c r="B55" s="413"/>
      <c r="C55" s="232" t="s">
        <v>171</v>
      </c>
      <c r="D55" s="232" t="s">
        <v>371</v>
      </c>
      <c r="E55" s="232" t="s">
        <v>370</v>
      </c>
      <c r="F55" s="414" t="s">
        <v>120</v>
      </c>
      <c r="G55" s="415"/>
      <c r="H55" s="415"/>
      <c r="I55" s="415"/>
      <c r="J55" s="415"/>
      <c r="K55" s="415"/>
      <c r="L55" s="415"/>
      <c r="M55" s="416"/>
      <c r="N55" s="231"/>
      <c r="O55" s="237"/>
      <c r="P55" s="426"/>
      <c r="Q55" s="427"/>
      <c r="R55" s="426"/>
      <c r="S55" s="428"/>
      <c r="T55" s="428"/>
      <c r="U55" s="427"/>
      <c r="V55" s="396"/>
      <c r="W55" s="396"/>
      <c r="X55" s="396"/>
      <c r="Y55" s="396"/>
      <c r="Z55" s="396"/>
      <c r="AA55" s="396"/>
      <c r="AB55" s="396"/>
      <c r="AC55" s="396"/>
      <c r="AD55" s="417"/>
    </row>
    <row r="56" spans="1:32" ht="27" customHeight="1">
      <c r="A56" s="412" t="s">
        <v>126</v>
      </c>
      <c r="B56" s="413"/>
      <c r="C56" s="232" t="s">
        <v>173</v>
      </c>
      <c r="D56" s="232" t="s">
        <v>415</v>
      </c>
      <c r="E56" s="232" t="s">
        <v>416</v>
      </c>
      <c r="F56" s="414" t="s">
        <v>443</v>
      </c>
      <c r="G56" s="415"/>
      <c r="H56" s="415"/>
      <c r="I56" s="415"/>
      <c r="J56" s="415"/>
      <c r="K56" s="415"/>
      <c r="L56" s="415"/>
      <c r="M56" s="416"/>
      <c r="N56" s="231"/>
      <c r="O56" s="237"/>
      <c r="P56" s="426"/>
      <c r="Q56" s="427"/>
      <c r="R56" s="426"/>
      <c r="S56" s="428"/>
      <c r="T56" s="428"/>
      <c r="U56" s="427"/>
      <c r="V56" s="396"/>
      <c r="W56" s="396"/>
      <c r="X56" s="396"/>
      <c r="Y56" s="396"/>
      <c r="Z56" s="396"/>
      <c r="AA56" s="396"/>
      <c r="AB56" s="396"/>
      <c r="AC56" s="396"/>
      <c r="AD56" s="417"/>
    </row>
    <row r="57" spans="1:32" ht="27" customHeight="1">
      <c r="A57" s="412" t="s">
        <v>126</v>
      </c>
      <c r="B57" s="413"/>
      <c r="C57" s="232" t="s">
        <v>173</v>
      </c>
      <c r="D57" s="232" t="s">
        <v>341</v>
      </c>
      <c r="E57" s="232" t="s">
        <v>445</v>
      </c>
      <c r="F57" s="414" t="s">
        <v>444</v>
      </c>
      <c r="G57" s="415"/>
      <c r="H57" s="415"/>
      <c r="I57" s="415"/>
      <c r="J57" s="415"/>
      <c r="K57" s="415"/>
      <c r="L57" s="415"/>
      <c r="M57" s="416"/>
      <c r="N57" s="231"/>
      <c r="O57" s="237"/>
      <c r="P57" s="426"/>
      <c r="Q57" s="427"/>
      <c r="R57" s="413"/>
      <c r="S57" s="413"/>
      <c r="T57" s="413"/>
      <c r="U57" s="413"/>
      <c r="V57" s="396"/>
      <c r="W57" s="396"/>
      <c r="X57" s="396"/>
      <c r="Y57" s="396"/>
      <c r="Z57" s="396"/>
      <c r="AA57" s="396"/>
      <c r="AB57" s="396"/>
      <c r="AC57" s="396"/>
      <c r="AD57" s="417"/>
    </row>
    <row r="58" spans="1:32" ht="27" customHeight="1">
      <c r="A58" s="412"/>
      <c r="B58" s="413"/>
      <c r="C58" s="232"/>
      <c r="D58" s="232"/>
      <c r="E58" s="232"/>
      <c r="F58" s="414"/>
      <c r="G58" s="415"/>
      <c r="H58" s="415"/>
      <c r="I58" s="415"/>
      <c r="J58" s="415"/>
      <c r="K58" s="415"/>
      <c r="L58" s="415"/>
      <c r="M58" s="416"/>
      <c r="N58" s="231"/>
      <c r="O58" s="237"/>
      <c r="P58" s="426"/>
      <c r="Q58" s="427"/>
      <c r="R58" s="413"/>
      <c r="S58" s="413"/>
      <c r="T58" s="413"/>
      <c r="U58" s="413"/>
      <c r="V58" s="396"/>
      <c r="W58" s="396"/>
      <c r="X58" s="396"/>
      <c r="Y58" s="396"/>
      <c r="Z58" s="396"/>
      <c r="AA58" s="396"/>
      <c r="AB58" s="396"/>
      <c r="AC58" s="396"/>
      <c r="AD58" s="417"/>
    </row>
    <row r="59" spans="1:32" ht="27" customHeight="1">
      <c r="A59" s="412"/>
      <c r="B59" s="413"/>
      <c r="C59" s="232"/>
      <c r="D59" s="232"/>
      <c r="E59" s="232"/>
      <c r="F59" s="414"/>
      <c r="G59" s="415"/>
      <c r="H59" s="415"/>
      <c r="I59" s="415"/>
      <c r="J59" s="415"/>
      <c r="K59" s="415"/>
      <c r="L59" s="415"/>
      <c r="M59" s="416"/>
      <c r="N59" s="231"/>
      <c r="O59" s="237"/>
      <c r="P59" s="413"/>
      <c r="Q59" s="413"/>
      <c r="R59" s="413"/>
      <c r="S59" s="413"/>
      <c r="T59" s="413"/>
      <c r="U59" s="413"/>
      <c r="V59" s="396"/>
      <c r="W59" s="396"/>
      <c r="X59" s="396"/>
      <c r="Y59" s="396"/>
      <c r="Z59" s="396"/>
      <c r="AA59" s="396"/>
      <c r="AB59" s="396"/>
      <c r="AC59" s="396"/>
      <c r="AD59" s="417"/>
      <c r="AF59" s="87">
        <f>8*3000</f>
        <v>24000</v>
      </c>
    </row>
    <row r="60" spans="1:32" ht="27" customHeight="1" thickBot="1">
      <c r="A60" s="418"/>
      <c r="B60" s="419"/>
      <c r="C60" s="233"/>
      <c r="D60" s="234"/>
      <c r="E60" s="234"/>
      <c r="F60" s="420"/>
      <c r="G60" s="421"/>
      <c r="H60" s="421"/>
      <c r="I60" s="421"/>
      <c r="J60" s="421"/>
      <c r="K60" s="421"/>
      <c r="L60" s="421"/>
      <c r="M60" s="422"/>
      <c r="N60" s="124"/>
      <c r="O60" s="114"/>
      <c r="P60" s="423"/>
      <c r="Q60" s="423"/>
      <c r="R60" s="423"/>
      <c r="S60" s="423"/>
      <c r="T60" s="423"/>
      <c r="U60" s="423"/>
      <c r="V60" s="424"/>
      <c r="W60" s="424"/>
      <c r="X60" s="424"/>
      <c r="Y60" s="424"/>
      <c r="Z60" s="424"/>
      <c r="AA60" s="424"/>
      <c r="AB60" s="424"/>
      <c r="AC60" s="424"/>
      <c r="AD60" s="425"/>
      <c r="AF60" s="87">
        <f>16*3000</f>
        <v>48000</v>
      </c>
    </row>
    <row r="61" spans="1:32" ht="27.75" thickBot="1">
      <c r="A61" s="410" t="s">
        <v>446</v>
      </c>
      <c r="B61" s="410"/>
      <c r="C61" s="410"/>
      <c r="D61" s="410"/>
      <c r="E61" s="410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1" t="s">
        <v>113</v>
      </c>
      <c r="B62" s="406"/>
      <c r="C62" s="235" t="s">
        <v>2</v>
      </c>
      <c r="D62" s="235" t="s">
        <v>37</v>
      </c>
      <c r="E62" s="235" t="s">
        <v>3</v>
      </c>
      <c r="F62" s="406" t="s">
        <v>110</v>
      </c>
      <c r="G62" s="406"/>
      <c r="H62" s="406"/>
      <c r="I62" s="406"/>
      <c r="J62" s="406"/>
      <c r="K62" s="406" t="s">
        <v>39</v>
      </c>
      <c r="L62" s="406"/>
      <c r="M62" s="235" t="s">
        <v>40</v>
      </c>
      <c r="N62" s="406" t="s">
        <v>41</v>
      </c>
      <c r="O62" s="406"/>
      <c r="P62" s="403" t="s">
        <v>42</v>
      </c>
      <c r="Q62" s="405"/>
      <c r="R62" s="403" t="s">
        <v>43</v>
      </c>
      <c r="S62" s="404"/>
      <c r="T62" s="404"/>
      <c r="U62" s="404"/>
      <c r="V62" s="404"/>
      <c r="W62" s="404"/>
      <c r="X62" s="404"/>
      <c r="Y62" s="404"/>
      <c r="Z62" s="404"/>
      <c r="AA62" s="405"/>
      <c r="AB62" s="406" t="s">
        <v>44</v>
      </c>
      <c r="AC62" s="406"/>
      <c r="AD62" s="407"/>
      <c r="AF62" s="87">
        <f>SUM(AF59:AF61)</f>
        <v>96000</v>
      </c>
    </row>
    <row r="63" spans="1:32" ht="25.5" customHeight="1">
      <c r="A63" s="389">
        <v>1</v>
      </c>
      <c r="B63" s="390"/>
      <c r="C63" s="117"/>
      <c r="D63" s="239"/>
      <c r="E63" s="236"/>
      <c r="F63" s="391"/>
      <c r="G63" s="383"/>
      <c r="H63" s="383"/>
      <c r="I63" s="383"/>
      <c r="J63" s="383"/>
      <c r="K63" s="383"/>
      <c r="L63" s="383"/>
      <c r="M63" s="51"/>
      <c r="N63" s="401"/>
      <c r="O63" s="401"/>
      <c r="P63" s="402"/>
      <c r="Q63" s="402"/>
      <c r="R63" s="396"/>
      <c r="S63" s="396"/>
      <c r="T63" s="396"/>
      <c r="U63" s="396"/>
      <c r="V63" s="396"/>
      <c r="W63" s="396"/>
      <c r="X63" s="396"/>
      <c r="Y63" s="396"/>
      <c r="Z63" s="396"/>
      <c r="AA63" s="396"/>
      <c r="AB63" s="400"/>
      <c r="AC63" s="408"/>
      <c r="AD63" s="409"/>
      <c r="AF63" s="50"/>
    </row>
    <row r="64" spans="1:32" ht="25.5" customHeight="1">
      <c r="A64" s="389">
        <v>2</v>
      </c>
      <c r="B64" s="390"/>
      <c r="C64" s="117"/>
      <c r="D64" s="239"/>
      <c r="E64" s="236"/>
      <c r="F64" s="391"/>
      <c r="G64" s="383"/>
      <c r="H64" s="383"/>
      <c r="I64" s="383"/>
      <c r="J64" s="383"/>
      <c r="K64" s="383"/>
      <c r="L64" s="383"/>
      <c r="M64" s="51"/>
      <c r="N64" s="401"/>
      <c r="O64" s="401"/>
      <c r="P64" s="402"/>
      <c r="Q64" s="402"/>
      <c r="R64" s="396"/>
      <c r="S64" s="396"/>
      <c r="T64" s="396"/>
      <c r="U64" s="396"/>
      <c r="V64" s="396"/>
      <c r="W64" s="396"/>
      <c r="X64" s="396"/>
      <c r="Y64" s="396"/>
      <c r="Z64" s="396"/>
      <c r="AA64" s="396"/>
      <c r="AB64" s="383"/>
      <c r="AC64" s="383"/>
      <c r="AD64" s="384"/>
      <c r="AF64" s="50"/>
    </row>
    <row r="65" spans="1:32" ht="25.5" customHeight="1">
      <c r="A65" s="389">
        <v>3</v>
      </c>
      <c r="B65" s="390"/>
      <c r="C65" s="117"/>
      <c r="D65" s="239"/>
      <c r="E65" s="236"/>
      <c r="F65" s="397"/>
      <c r="G65" s="398"/>
      <c r="H65" s="398"/>
      <c r="I65" s="398"/>
      <c r="J65" s="399"/>
      <c r="K65" s="383"/>
      <c r="L65" s="383"/>
      <c r="M65" s="51"/>
      <c r="N65" s="401"/>
      <c r="O65" s="401"/>
      <c r="P65" s="402"/>
      <c r="Q65" s="402"/>
      <c r="R65" s="396"/>
      <c r="S65" s="396"/>
      <c r="T65" s="396"/>
      <c r="U65" s="396"/>
      <c r="V65" s="396"/>
      <c r="W65" s="396"/>
      <c r="X65" s="396"/>
      <c r="Y65" s="396"/>
      <c r="Z65" s="396"/>
      <c r="AA65" s="396"/>
      <c r="AB65" s="383"/>
      <c r="AC65" s="383"/>
      <c r="AD65" s="384"/>
      <c r="AF65" s="50"/>
    </row>
    <row r="66" spans="1:32" ht="25.5" customHeight="1">
      <c r="A66" s="389">
        <v>4</v>
      </c>
      <c r="B66" s="390"/>
      <c r="C66" s="117"/>
      <c r="D66" s="239"/>
      <c r="E66" s="236"/>
      <c r="F66" s="397"/>
      <c r="G66" s="398"/>
      <c r="H66" s="398"/>
      <c r="I66" s="398"/>
      <c r="J66" s="399"/>
      <c r="K66" s="383"/>
      <c r="L66" s="383"/>
      <c r="M66" s="51"/>
      <c r="N66" s="401"/>
      <c r="O66" s="401"/>
      <c r="P66" s="402"/>
      <c r="Q66" s="402"/>
      <c r="R66" s="396"/>
      <c r="S66" s="396"/>
      <c r="T66" s="396"/>
      <c r="U66" s="396"/>
      <c r="V66" s="396"/>
      <c r="W66" s="396"/>
      <c r="X66" s="396"/>
      <c r="Y66" s="396"/>
      <c r="Z66" s="396"/>
      <c r="AA66" s="396"/>
      <c r="AB66" s="383"/>
      <c r="AC66" s="383"/>
      <c r="AD66" s="384"/>
      <c r="AF66" s="50"/>
    </row>
    <row r="67" spans="1:32" ht="25.5" customHeight="1">
      <c r="A67" s="389">
        <v>5</v>
      </c>
      <c r="B67" s="390"/>
      <c r="C67" s="117"/>
      <c r="D67" s="239"/>
      <c r="E67" s="236"/>
      <c r="F67" s="397"/>
      <c r="G67" s="398"/>
      <c r="H67" s="398"/>
      <c r="I67" s="398"/>
      <c r="J67" s="399"/>
      <c r="K67" s="400"/>
      <c r="L67" s="390"/>
      <c r="M67" s="51"/>
      <c r="N67" s="401"/>
      <c r="O67" s="401"/>
      <c r="P67" s="402"/>
      <c r="Q67" s="402"/>
      <c r="R67" s="396"/>
      <c r="S67" s="396"/>
      <c r="T67" s="396"/>
      <c r="U67" s="396"/>
      <c r="V67" s="396"/>
      <c r="W67" s="396"/>
      <c r="X67" s="396"/>
      <c r="Y67" s="396"/>
      <c r="Z67" s="396"/>
      <c r="AA67" s="396"/>
      <c r="AB67" s="383"/>
      <c r="AC67" s="383"/>
      <c r="AD67" s="384"/>
      <c r="AF67" s="50"/>
    </row>
    <row r="68" spans="1:32" ht="25.5" customHeight="1">
      <c r="A68" s="389">
        <v>6</v>
      </c>
      <c r="B68" s="390"/>
      <c r="C68" s="117"/>
      <c r="D68" s="239"/>
      <c r="E68" s="236"/>
      <c r="F68" s="391"/>
      <c r="G68" s="383"/>
      <c r="H68" s="383"/>
      <c r="I68" s="383"/>
      <c r="J68" s="383"/>
      <c r="K68" s="383"/>
      <c r="L68" s="383"/>
      <c r="M68" s="51"/>
      <c r="N68" s="392"/>
      <c r="O68" s="393"/>
      <c r="P68" s="394"/>
      <c r="Q68" s="395"/>
      <c r="R68" s="396"/>
      <c r="S68" s="396"/>
      <c r="T68" s="396"/>
      <c r="U68" s="396"/>
      <c r="V68" s="396"/>
      <c r="W68" s="396"/>
      <c r="X68" s="396"/>
      <c r="Y68" s="396"/>
      <c r="Z68" s="396"/>
      <c r="AA68" s="396"/>
      <c r="AB68" s="383"/>
      <c r="AC68" s="383"/>
      <c r="AD68" s="384"/>
      <c r="AF68" s="50"/>
    </row>
    <row r="69" spans="1:32" ht="25.5" customHeight="1">
      <c r="A69" s="389">
        <v>7</v>
      </c>
      <c r="B69" s="390"/>
      <c r="C69" s="117"/>
      <c r="D69" s="239"/>
      <c r="E69" s="236"/>
      <c r="F69" s="391"/>
      <c r="G69" s="383"/>
      <c r="H69" s="383"/>
      <c r="I69" s="383"/>
      <c r="J69" s="383"/>
      <c r="K69" s="383"/>
      <c r="L69" s="383"/>
      <c r="M69" s="51"/>
      <c r="N69" s="392"/>
      <c r="O69" s="393"/>
      <c r="P69" s="394"/>
      <c r="Q69" s="395"/>
      <c r="R69" s="396"/>
      <c r="S69" s="396"/>
      <c r="T69" s="396"/>
      <c r="U69" s="396"/>
      <c r="V69" s="396"/>
      <c r="W69" s="396"/>
      <c r="X69" s="396"/>
      <c r="Y69" s="396"/>
      <c r="Z69" s="396"/>
      <c r="AA69" s="396"/>
      <c r="AB69" s="383"/>
      <c r="AC69" s="383"/>
      <c r="AD69" s="384"/>
      <c r="AF69" s="50"/>
    </row>
    <row r="70" spans="1:32" ht="25.5" customHeight="1">
      <c r="A70" s="389">
        <v>8</v>
      </c>
      <c r="B70" s="390"/>
      <c r="C70" s="117"/>
      <c r="D70" s="239"/>
      <c r="E70" s="236"/>
      <c r="F70" s="391"/>
      <c r="G70" s="383"/>
      <c r="H70" s="383"/>
      <c r="I70" s="383"/>
      <c r="J70" s="383"/>
      <c r="K70" s="383"/>
      <c r="L70" s="383"/>
      <c r="M70" s="51"/>
      <c r="N70" s="392"/>
      <c r="O70" s="393"/>
      <c r="P70" s="394"/>
      <c r="Q70" s="395"/>
      <c r="R70" s="396"/>
      <c r="S70" s="396"/>
      <c r="T70" s="396"/>
      <c r="U70" s="396"/>
      <c r="V70" s="396"/>
      <c r="W70" s="396"/>
      <c r="X70" s="396"/>
      <c r="Y70" s="396"/>
      <c r="Z70" s="396"/>
      <c r="AA70" s="396"/>
      <c r="AB70" s="383"/>
      <c r="AC70" s="383"/>
      <c r="AD70" s="384"/>
      <c r="AF70" s="50"/>
    </row>
    <row r="71" spans="1:32" ht="26.25" customHeight="1" thickBot="1">
      <c r="A71" s="363" t="s">
        <v>447</v>
      </c>
      <c r="B71" s="363"/>
      <c r="C71" s="363"/>
      <c r="D71" s="363"/>
      <c r="E71" s="363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64" t="s">
        <v>113</v>
      </c>
      <c r="B72" s="365"/>
      <c r="C72" s="238" t="s">
        <v>2</v>
      </c>
      <c r="D72" s="238" t="s">
        <v>37</v>
      </c>
      <c r="E72" s="238" t="s">
        <v>3</v>
      </c>
      <c r="F72" s="365" t="s">
        <v>38</v>
      </c>
      <c r="G72" s="365"/>
      <c r="H72" s="365"/>
      <c r="I72" s="365"/>
      <c r="J72" s="365"/>
      <c r="K72" s="385" t="s">
        <v>58</v>
      </c>
      <c r="L72" s="386"/>
      <c r="M72" s="386"/>
      <c r="N72" s="386"/>
      <c r="O72" s="386"/>
      <c r="P72" s="386"/>
      <c r="Q72" s="386"/>
      <c r="R72" s="386"/>
      <c r="S72" s="387"/>
      <c r="T72" s="365" t="s">
        <v>49</v>
      </c>
      <c r="U72" s="365"/>
      <c r="V72" s="385" t="s">
        <v>50</v>
      </c>
      <c r="W72" s="387"/>
      <c r="X72" s="386" t="s">
        <v>51</v>
      </c>
      <c r="Y72" s="386"/>
      <c r="Z72" s="386"/>
      <c r="AA72" s="386"/>
      <c r="AB72" s="386"/>
      <c r="AC72" s="386"/>
      <c r="AD72" s="388"/>
      <c r="AF72" s="50"/>
    </row>
    <row r="73" spans="1:32" ht="33.75" customHeight="1">
      <c r="A73" s="357">
        <v>1</v>
      </c>
      <c r="B73" s="358"/>
      <c r="C73" s="240" t="s">
        <v>114</v>
      </c>
      <c r="D73" s="240"/>
      <c r="E73" s="65" t="s">
        <v>119</v>
      </c>
      <c r="F73" s="372" t="s">
        <v>118</v>
      </c>
      <c r="G73" s="373"/>
      <c r="H73" s="373"/>
      <c r="I73" s="373"/>
      <c r="J73" s="374"/>
      <c r="K73" s="375" t="s">
        <v>128</v>
      </c>
      <c r="L73" s="376"/>
      <c r="M73" s="376"/>
      <c r="N73" s="376"/>
      <c r="O73" s="376"/>
      <c r="P73" s="376"/>
      <c r="Q73" s="376"/>
      <c r="R73" s="376"/>
      <c r="S73" s="377"/>
      <c r="T73" s="378">
        <v>43675</v>
      </c>
      <c r="U73" s="379"/>
      <c r="V73" s="380"/>
      <c r="W73" s="380"/>
      <c r="X73" s="381"/>
      <c r="Y73" s="381"/>
      <c r="Z73" s="381"/>
      <c r="AA73" s="381"/>
      <c r="AB73" s="381"/>
      <c r="AC73" s="381"/>
      <c r="AD73" s="382"/>
      <c r="AF73" s="50"/>
    </row>
    <row r="74" spans="1:32" ht="30" customHeight="1">
      <c r="A74" s="350">
        <f>A73+1</f>
        <v>2</v>
      </c>
      <c r="B74" s="351"/>
      <c r="C74" s="239"/>
      <c r="D74" s="239"/>
      <c r="E74" s="32"/>
      <c r="F74" s="351"/>
      <c r="G74" s="351"/>
      <c r="H74" s="351"/>
      <c r="I74" s="351"/>
      <c r="J74" s="351"/>
      <c r="K74" s="366"/>
      <c r="L74" s="367"/>
      <c r="M74" s="367"/>
      <c r="N74" s="367"/>
      <c r="O74" s="367"/>
      <c r="P74" s="367"/>
      <c r="Q74" s="367"/>
      <c r="R74" s="367"/>
      <c r="S74" s="368"/>
      <c r="T74" s="369"/>
      <c r="U74" s="369"/>
      <c r="V74" s="369"/>
      <c r="W74" s="369"/>
      <c r="X74" s="370"/>
      <c r="Y74" s="370"/>
      <c r="Z74" s="370"/>
      <c r="AA74" s="370"/>
      <c r="AB74" s="370"/>
      <c r="AC74" s="370"/>
      <c r="AD74" s="371"/>
      <c r="AF74" s="50"/>
    </row>
    <row r="75" spans="1:32" ht="30" customHeight="1">
      <c r="A75" s="350">
        <f t="shared" ref="A75:A81" si="14">A74+1</f>
        <v>3</v>
      </c>
      <c r="B75" s="351"/>
      <c r="C75" s="239"/>
      <c r="D75" s="239"/>
      <c r="E75" s="32"/>
      <c r="F75" s="351"/>
      <c r="G75" s="351"/>
      <c r="H75" s="351"/>
      <c r="I75" s="351"/>
      <c r="J75" s="351"/>
      <c r="K75" s="366"/>
      <c r="L75" s="367"/>
      <c r="M75" s="367"/>
      <c r="N75" s="367"/>
      <c r="O75" s="367"/>
      <c r="P75" s="367"/>
      <c r="Q75" s="367"/>
      <c r="R75" s="367"/>
      <c r="S75" s="368"/>
      <c r="T75" s="369"/>
      <c r="U75" s="369"/>
      <c r="V75" s="369"/>
      <c r="W75" s="369"/>
      <c r="X75" s="370"/>
      <c r="Y75" s="370"/>
      <c r="Z75" s="370"/>
      <c r="AA75" s="370"/>
      <c r="AB75" s="370"/>
      <c r="AC75" s="370"/>
      <c r="AD75" s="371"/>
      <c r="AF75" s="50"/>
    </row>
    <row r="76" spans="1:32" ht="30" customHeight="1">
      <c r="A76" s="350">
        <f t="shared" si="14"/>
        <v>4</v>
      </c>
      <c r="B76" s="351"/>
      <c r="C76" s="239"/>
      <c r="D76" s="239"/>
      <c r="E76" s="32"/>
      <c r="F76" s="351"/>
      <c r="G76" s="351"/>
      <c r="H76" s="351"/>
      <c r="I76" s="351"/>
      <c r="J76" s="351"/>
      <c r="K76" s="366"/>
      <c r="L76" s="367"/>
      <c r="M76" s="367"/>
      <c r="N76" s="367"/>
      <c r="O76" s="367"/>
      <c r="P76" s="367"/>
      <c r="Q76" s="367"/>
      <c r="R76" s="367"/>
      <c r="S76" s="368"/>
      <c r="T76" s="369"/>
      <c r="U76" s="369"/>
      <c r="V76" s="369"/>
      <c r="W76" s="369"/>
      <c r="X76" s="370"/>
      <c r="Y76" s="370"/>
      <c r="Z76" s="370"/>
      <c r="AA76" s="370"/>
      <c r="AB76" s="370"/>
      <c r="AC76" s="370"/>
      <c r="AD76" s="371"/>
      <c r="AF76" s="50"/>
    </row>
    <row r="77" spans="1:32" ht="30" customHeight="1">
      <c r="A77" s="350">
        <f t="shared" si="14"/>
        <v>5</v>
      </c>
      <c r="B77" s="351"/>
      <c r="C77" s="239"/>
      <c r="D77" s="239"/>
      <c r="E77" s="32"/>
      <c r="F77" s="351"/>
      <c r="G77" s="351"/>
      <c r="H77" s="351"/>
      <c r="I77" s="351"/>
      <c r="J77" s="351"/>
      <c r="K77" s="366"/>
      <c r="L77" s="367"/>
      <c r="M77" s="367"/>
      <c r="N77" s="367"/>
      <c r="O77" s="367"/>
      <c r="P77" s="367"/>
      <c r="Q77" s="367"/>
      <c r="R77" s="367"/>
      <c r="S77" s="368"/>
      <c r="T77" s="369"/>
      <c r="U77" s="369"/>
      <c r="V77" s="369"/>
      <c r="W77" s="369"/>
      <c r="X77" s="370"/>
      <c r="Y77" s="370"/>
      <c r="Z77" s="370"/>
      <c r="AA77" s="370"/>
      <c r="AB77" s="370"/>
      <c r="AC77" s="370"/>
      <c r="AD77" s="371"/>
      <c r="AF77" s="50"/>
    </row>
    <row r="78" spans="1:32" ht="30" customHeight="1">
      <c r="A78" s="350">
        <f t="shared" si="14"/>
        <v>6</v>
      </c>
      <c r="B78" s="351"/>
      <c r="C78" s="239"/>
      <c r="D78" s="239"/>
      <c r="E78" s="32"/>
      <c r="F78" s="351"/>
      <c r="G78" s="351"/>
      <c r="H78" s="351"/>
      <c r="I78" s="351"/>
      <c r="J78" s="351"/>
      <c r="K78" s="366"/>
      <c r="L78" s="367"/>
      <c r="M78" s="367"/>
      <c r="N78" s="367"/>
      <c r="O78" s="367"/>
      <c r="P78" s="367"/>
      <c r="Q78" s="367"/>
      <c r="R78" s="367"/>
      <c r="S78" s="368"/>
      <c r="T78" s="369"/>
      <c r="U78" s="369"/>
      <c r="V78" s="369"/>
      <c r="W78" s="369"/>
      <c r="X78" s="370"/>
      <c r="Y78" s="370"/>
      <c r="Z78" s="370"/>
      <c r="AA78" s="370"/>
      <c r="AB78" s="370"/>
      <c r="AC78" s="370"/>
      <c r="AD78" s="371"/>
      <c r="AF78" s="50"/>
    </row>
    <row r="79" spans="1:32" ht="30" customHeight="1">
      <c r="A79" s="350">
        <f t="shared" si="14"/>
        <v>7</v>
      </c>
      <c r="B79" s="351"/>
      <c r="C79" s="239"/>
      <c r="D79" s="239"/>
      <c r="E79" s="32"/>
      <c r="F79" s="351"/>
      <c r="G79" s="351"/>
      <c r="H79" s="351"/>
      <c r="I79" s="351"/>
      <c r="J79" s="351"/>
      <c r="K79" s="366"/>
      <c r="L79" s="367"/>
      <c r="M79" s="367"/>
      <c r="N79" s="367"/>
      <c r="O79" s="367"/>
      <c r="P79" s="367"/>
      <c r="Q79" s="367"/>
      <c r="R79" s="367"/>
      <c r="S79" s="368"/>
      <c r="T79" s="369"/>
      <c r="U79" s="369"/>
      <c r="V79" s="369"/>
      <c r="W79" s="369"/>
      <c r="X79" s="370"/>
      <c r="Y79" s="370"/>
      <c r="Z79" s="370"/>
      <c r="AA79" s="370"/>
      <c r="AB79" s="370"/>
      <c r="AC79" s="370"/>
      <c r="AD79" s="371"/>
      <c r="AF79" s="50"/>
    </row>
    <row r="80" spans="1:32" ht="30" customHeight="1">
      <c r="A80" s="350">
        <f t="shared" si="14"/>
        <v>8</v>
      </c>
      <c r="B80" s="351"/>
      <c r="C80" s="239"/>
      <c r="D80" s="239"/>
      <c r="E80" s="32"/>
      <c r="F80" s="351"/>
      <c r="G80" s="351"/>
      <c r="H80" s="351"/>
      <c r="I80" s="351"/>
      <c r="J80" s="351"/>
      <c r="K80" s="366"/>
      <c r="L80" s="367"/>
      <c r="M80" s="367"/>
      <c r="N80" s="367"/>
      <c r="O80" s="367"/>
      <c r="P80" s="367"/>
      <c r="Q80" s="367"/>
      <c r="R80" s="367"/>
      <c r="S80" s="368"/>
      <c r="T80" s="369"/>
      <c r="U80" s="369"/>
      <c r="V80" s="369"/>
      <c r="W80" s="369"/>
      <c r="X80" s="370"/>
      <c r="Y80" s="370"/>
      <c r="Z80" s="370"/>
      <c r="AA80" s="370"/>
      <c r="AB80" s="370"/>
      <c r="AC80" s="370"/>
      <c r="AD80" s="371"/>
      <c r="AF80" s="50"/>
    </row>
    <row r="81" spans="1:32" ht="30" customHeight="1">
      <c r="A81" s="350">
        <f t="shared" si="14"/>
        <v>9</v>
      </c>
      <c r="B81" s="351"/>
      <c r="C81" s="239"/>
      <c r="D81" s="239"/>
      <c r="E81" s="32"/>
      <c r="F81" s="351"/>
      <c r="G81" s="351"/>
      <c r="H81" s="351"/>
      <c r="I81" s="351"/>
      <c r="J81" s="351"/>
      <c r="K81" s="366"/>
      <c r="L81" s="367"/>
      <c r="M81" s="367"/>
      <c r="N81" s="367"/>
      <c r="O81" s="367"/>
      <c r="P81" s="367"/>
      <c r="Q81" s="367"/>
      <c r="R81" s="367"/>
      <c r="S81" s="368"/>
      <c r="T81" s="369"/>
      <c r="U81" s="369"/>
      <c r="V81" s="369"/>
      <c r="W81" s="369"/>
      <c r="X81" s="370"/>
      <c r="Y81" s="370"/>
      <c r="Z81" s="370"/>
      <c r="AA81" s="370"/>
      <c r="AB81" s="370"/>
      <c r="AC81" s="370"/>
      <c r="AD81" s="371"/>
      <c r="AF81" s="50"/>
    </row>
    <row r="82" spans="1:32" ht="36" thickBot="1">
      <c r="A82" s="363" t="s">
        <v>448</v>
      </c>
      <c r="B82" s="363"/>
      <c r="C82" s="363"/>
      <c r="D82" s="363"/>
      <c r="E82" s="363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64" t="s">
        <v>113</v>
      </c>
      <c r="B83" s="365"/>
      <c r="C83" s="355" t="s">
        <v>52</v>
      </c>
      <c r="D83" s="355"/>
      <c r="E83" s="355" t="s">
        <v>53</v>
      </c>
      <c r="F83" s="355"/>
      <c r="G83" s="355"/>
      <c r="H83" s="355"/>
      <c r="I83" s="355"/>
      <c r="J83" s="355"/>
      <c r="K83" s="355" t="s">
        <v>54</v>
      </c>
      <c r="L83" s="355"/>
      <c r="M83" s="355"/>
      <c r="N83" s="355"/>
      <c r="O83" s="355"/>
      <c r="P83" s="355"/>
      <c r="Q83" s="355"/>
      <c r="R83" s="355"/>
      <c r="S83" s="355"/>
      <c r="T83" s="355" t="s">
        <v>55</v>
      </c>
      <c r="U83" s="355"/>
      <c r="V83" s="355" t="s">
        <v>56</v>
      </c>
      <c r="W83" s="355"/>
      <c r="X83" s="355"/>
      <c r="Y83" s="355" t="s">
        <v>51</v>
      </c>
      <c r="Z83" s="355"/>
      <c r="AA83" s="355"/>
      <c r="AB83" s="355"/>
      <c r="AC83" s="355"/>
      <c r="AD83" s="356"/>
      <c r="AF83" s="50"/>
    </row>
    <row r="84" spans="1:32" ht="30.75" customHeight="1">
      <c r="A84" s="357">
        <v>1</v>
      </c>
      <c r="B84" s="358"/>
      <c r="C84" s="359"/>
      <c r="D84" s="359"/>
      <c r="E84" s="359"/>
      <c r="F84" s="359"/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/>
      <c r="R84" s="359"/>
      <c r="S84" s="359"/>
      <c r="T84" s="359"/>
      <c r="U84" s="359"/>
      <c r="V84" s="360"/>
      <c r="W84" s="360"/>
      <c r="X84" s="360"/>
      <c r="Y84" s="361"/>
      <c r="Z84" s="361"/>
      <c r="AA84" s="361"/>
      <c r="AB84" s="361"/>
      <c r="AC84" s="361"/>
      <c r="AD84" s="362"/>
      <c r="AF84" s="50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0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AD48-BB5A-438F-9D91-810C06202FD1}"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58" t="s">
        <v>449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8"/>
      <c r="B2" s="458"/>
      <c r="C2" s="458"/>
      <c r="D2" s="458"/>
      <c r="E2" s="458"/>
      <c r="F2" s="458"/>
      <c r="G2" s="458"/>
      <c r="H2" s="458"/>
      <c r="I2" s="458"/>
      <c r="J2" s="458"/>
      <c r="K2" s="458"/>
      <c r="L2" s="458"/>
      <c r="M2" s="458"/>
      <c r="N2" s="458"/>
      <c r="O2" s="45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9"/>
      <c r="B3" s="459"/>
      <c r="C3" s="459"/>
      <c r="D3" s="459"/>
      <c r="E3" s="459"/>
      <c r="F3" s="459"/>
      <c r="G3" s="45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0" t="s">
        <v>0</v>
      </c>
      <c r="B4" s="462" t="s">
        <v>1</v>
      </c>
      <c r="C4" s="462" t="s">
        <v>2</v>
      </c>
      <c r="D4" s="465" t="s">
        <v>3</v>
      </c>
      <c r="E4" s="467" t="s">
        <v>4</v>
      </c>
      <c r="F4" s="465" t="s">
        <v>5</v>
      </c>
      <c r="G4" s="462" t="s">
        <v>6</v>
      </c>
      <c r="H4" s="468" t="s">
        <v>7</v>
      </c>
      <c r="I4" s="448" t="s">
        <v>8</v>
      </c>
      <c r="J4" s="449"/>
      <c r="K4" s="449"/>
      <c r="L4" s="449"/>
      <c r="M4" s="449"/>
      <c r="N4" s="449"/>
      <c r="O4" s="450"/>
      <c r="P4" s="451" t="s">
        <v>9</v>
      </c>
      <c r="Q4" s="452"/>
      <c r="R4" s="453" t="s">
        <v>10</v>
      </c>
      <c r="S4" s="453"/>
      <c r="T4" s="453"/>
      <c r="U4" s="453"/>
      <c r="V4" s="453"/>
      <c r="W4" s="454" t="s">
        <v>11</v>
      </c>
      <c r="X4" s="453"/>
      <c r="Y4" s="453"/>
      <c r="Z4" s="453"/>
      <c r="AA4" s="455"/>
      <c r="AB4" s="456" t="s">
        <v>12</v>
      </c>
      <c r="AC4" s="429" t="s">
        <v>13</v>
      </c>
      <c r="AD4" s="429" t="s">
        <v>14</v>
      </c>
      <c r="AE4" s="54"/>
    </row>
    <row r="5" spans="1:32" ht="51" customHeight="1" thickBot="1">
      <c r="A5" s="461"/>
      <c r="B5" s="463"/>
      <c r="C5" s="464"/>
      <c r="D5" s="466"/>
      <c r="E5" s="466"/>
      <c r="F5" s="466"/>
      <c r="G5" s="463"/>
      <c r="H5" s="469"/>
      <c r="I5" s="55" t="s">
        <v>15</v>
      </c>
      <c r="J5" s="56" t="s">
        <v>16</v>
      </c>
      <c r="K5" s="252" t="s">
        <v>17</v>
      </c>
      <c r="L5" s="252" t="s">
        <v>18</v>
      </c>
      <c r="M5" s="252" t="s">
        <v>19</v>
      </c>
      <c r="N5" s="25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57"/>
      <c r="AC5" s="430"/>
      <c r="AD5" s="43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0.45833333333333326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126</v>
      </c>
      <c r="D7" s="52" t="s">
        <v>127</v>
      </c>
      <c r="E7" s="53" t="s">
        <v>125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0.45833333333333326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126</v>
      </c>
      <c r="D8" s="52" t="s">
        <v>119</v>
      </c>
      <c r="E8" s="53" t="s">
        <v>379</v>
      </c>
      <c r="F8" s="30" t="s">
        <v>138</v>
      </c>
      <c r="G8" s="33">
        <v>1</v>
      </c>
      <c r="H8" s="35">
        <v>24</v>
      </c>
      <c r="I8" s="7">
        <v>2000</v>
      </c>
      <c r="J8" s="14">
        <v>3138</v>
      </c>
      <c r="K8" s="15">
        <f>L8+3138</f>
        <v>3138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0.45833333333333326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275</v>
      </c>
      <c r="E9" s="53" t="s">
        <v>319</v>
      </c>
      <c r="F9" s="30" t="s">
        <v>132</v>
      </c>
      <c r="G9" s="33">
        <v>4</v>
      </c>
      <c r="H9" s="35">
        <v>24</v>
      </c>
      <c r="I9" s="7">
        <v>50000</v>
      </c>
      <c r="J9" s="14">
        <v>14284</v>
      </c>
      <c r="K9" s="15">
        <f>L9+14524+30712+10416</f>
        <v>69936</v>
      </c>
      <c r="L9" s="15">
        <f>3290*4+1124</f>
        <v>14284</v>
      </c>
      <c r="M9" s="15">
        <f t="shared" si="1"/>
        <v>14284</v>
      </c>
      <c r="N9" s="15">
        <v>0</v>
      </c>
      <c r="O9" s="58">
        <f t="shared" si="2"/>
        <v>0</v>
      </c>
      <c r="P9" s="39">
        <f t="shared" si="3"/>
        <v>18</v>
      </c>
      <c r="Q9" s="40">
        <f t="shared" si="4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0.75</v>
      </c>
      <c r="AD9" s="10">
        <f t="shared" si="7"/>
        <v>0.75</v>
      </c>
      <c r="AE9" s="36">
        <f t="shared" si="8"/>
        <v>0.45833333333333326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131</v>
      </c>
      <c r="D10" s="52" t="s">
        <v>150</v>
      </c>
      <c r="E10" s="53" t="s">
        <v>152</v>
      </c>
      <c r="F10" s="30" t="s">
        <v>121</v>
      </c>
      <c r="G10" s="33">
        <v>2</v>
      </c>
      <c r="H10" s="35">
        <v>24</v>
      </c>
      <c r="I10" s="7">
        <v>130000</v>
      </c>
      <c r="J10" s="5">
        <v>8468</v>
      </c>
      <c r="K10" s="15">
        <f>L10+13288+10116+14610+5976+7143+12482+1676+11964+11004+13758+11480+4868+7902+3480+4200</f>
        <v>142415</v>
      </c>
      <c r="L10" s="15">
        <f>3787*2+447*2</f>
        <v>8468</v>
      </c>
      <c r="M10" s="15">
        <f t="shared" si="1"/>
        <v>8468</v>
      </c>
      <c r="N10" s="15">
        <v>0</v>
      </c>
      <c r="O10" s="58">
        <f t="shared" si="2"/>
        <v>0</v>
      </c>
      <c r="P10" s="39">
        <f t="shared" si="3"/>
        <v>15</v>
      </c>
      <c r="Q10" s="40">
        <f t="shared" si="4"/>
        <v>9</v>
      </c>
      <c r="R10" s="7"/>
      <c r="S10" s="6">
        <v>9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0.625</v>
      </c>
      <c r="AD10" s="10">
        <f>AC10*AB10*(1-O10)</f>
        <v>0.625</v>
      </c>
      <c r="AE10" s="36">
        <f t="shared" si="8"/>
        <v>0.45833333333333326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126</v>
      </c>
      <c r="D11" s="52" t="s">
        <v>202</v>
      </c>
      <c r="E11" s="53" t="s">
        <v>421</v>
      </c>
      <c r="F11" s="30" t="s">
        <v>138</v>
      </c>
      <c r="G11" s="33">
        <v>2</v>
      </c>
      <c r="H11" s="35">
        <v>24</v>
      </c>
      <c r="I11" s="7">
        <v>20000</v>
      </c>
      <c r="J11" s="5">
        <v>10494</v>
      </c>
      <c r="K11" s="15">
        <f>L11+4520</f>
        <v>15014</v>
      </c>
      <c r="L11" s="15">
        <f>2681*2+2566*2</f>
        <v>10494</v>
      </c>
      <c r="M11" s="15">
        <f t="shared" si="1"/>
        <v>10494</v>
      </c>
      <c r="N11" s="15">
        <v>0</v>
      </c>
      <c r="O11" s="58">
        <f t="shared" si="2"/>
        <v>0</v>
      </c>
      <c r="P11" s="39">
        <f t="shared" si="3"/>
        <v>24</v>
      </c>
      <c r="Q11" s="40">
        <f t="shared" si="4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1</v>
      </c>
      <c r="AD11" s="10">
        <f>AC11*AB11*(1-O11)</f>
        <v>1</v>
      </c>
      <c r="AE11" s="36">
        <f t="shared" si="8"/>
        <v>0.45833333333333326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126</v>
      </c>
      <c r="D12" s="52" t="s">
        <v>117</v>
      </c>
      <c r="E12" s="53" t="s">
        <v>422</v>
      </c>
      <c r="F12" s="30" t="s">
        <v>138</v>
      </c>
      <c r="G12" s="33">
        <v>1</v>
      </c>
      <c r="H12" s="35">
        <v>24</v>
      </c>
      <c r="I12" s="7">
        <v>20000</v>
      </c>
      <c r="J12" s="14">
        <v>6952</v>
      </c>
      <c r="K12" s="15">
        <f>L12+6201</f>
        <v>13153</v>
      </c>
      <c r="L12" s="15">
        <f>2284+1556*3</f>
        <v>6952</v>
      </c>
      <c r="M12" s="15">
        <f t="shared" si="1"/>
        <v>6952</v>
      </c>
      <c r="N12" s="15">
        <v>0</v>
      </c>
      <c r="O12" s="58">
        <f t="shared" si="2"/>
        <v>0</v>
      </c>
      <c r="P12" s="39">
        <f t="shared" si="3"/>
        <v>19</v>
      </c>
      <c r="Q12" s="40">
        <f t="shared" si="4"/>
        <v>5</v>
      </c>
      <c r="R12" s="7"/>
      <c r="S12" s="6">
        <v>5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0.79166666666666663</v>
      </c>
      <c r="AD12" s="10">
        <f t="shared" ref="AD12:AD14" si="10">AC12*AB12*(1-O12)</f>
        <v>0.79166666666666663</v>
      </c>
      <c r="AE12" s="36">
        <f t="shared" si="8"/>
        <v>0.45833333333333326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117</v>
      </c>
      <c r="E13" s="53" t="s">
        <v>143</v>
      </c>
      <c r="F13" s="30" t="s">
        <v>138</v>
      </c>
      <c r="G13" s="33">
        <v>4</v>
      </c>
      <c r="H13" s="35">
        <v>24</v>
      </c>
      <c r="I13" s="7">
        <v>850000</v>
      </c>
      <c r="J13" s="14">
        <v>21048</v>
      </c>
      <c r="K13" s="15">
        <f>L13+20676+20704+882+19912+11748+21560+18812+17048+21840+19920+21784+15116+10164+22344+20496+22064</f>
        <v>306118</v>
      </c>
      <c r="L13" s="15">
        <f>2775*4+2487*4</f>
        <v>21048</v>
      </c>
      <c r="M13" s="15">
        <f t="shared" si="1"/>
        <v>21048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10"/>
        <v>1</v>
      </c>
      <c r="AE13" s="36">
        <f t="shared" si="8"/>
        <v>0.45833333333333326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257</v>
      </c>
      <c r="D14" s="52" t="s">
        <v>117</v>
      </c>
      <c r="E14" s="53" t="s">
        <v>375</v>
      </c>
      <c r="F14" s="30" t="s">
        <v>394</v>
      </c>
      <c r="G14" s="33">
        <v>1</v>
      </c>
      <c r="H14" s="35">
        <v>24</v>
      </c>
      <c r="I14" s="7">
        <v>50</v>
      </c>
      <c r="J14" s="5">
        <v>55</v>
      </c>
      <c r="K14" s="15">
        <f>L14+55</f>
        <v>55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10"/>
        <v>0</v>
      </c>
      <c r="AE14" s="36">
        <f t="shared" si="8"/>
        <v>0.45833333333333326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300</v>
      </c>
      <c r="D15" s="52" t="s">
        <v>438</v>
      </c>
      <c r="E15" s="53" t="s">
        <v>370</v>
      </c>
      <c r="F15" s="12" t="s">
        <v>321</v>
      </c>
      <c r="G15" s="12">
        <v>4</v>
      </c>
      <c r="H15" s="13">
        <v>24</v>
      </c>
      <c r="I15" s="31">
        <v>20000</v>
      </c>
      <c r="J15" s="14">
        <v>21596</v>
      </c>
      <c r="K15" s="15">
        <f>L15+21256</f>
        <v>42852</v>
      </c>
      <c r="L15" s="15">
        <f>2772*4+2627*4</f>
        <v>21596</v>
      </c>
      <c r="M15" s="15">
        <f t="shared" si="1"/>
        <v>21596</v>
      </c>
      <c r="N15" s="15">
        <v>0</v>
      </c>
      <c r="O15" s="58">
        <f t="shared" si="2"/>
        <v>0</v>
      </c>
      <c r="P15" s="39">
        <f t="shared" si="3"/>
        <v>24</v>
      </c>
      <c r="Q15" s="40">
        <f t="shared" si="4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1</v>
      </c>
      <c r="AD15" s="10">
        <f t="shared" si="7"/>
        <v>1</v>
      </c>
      <c r="AE15" s="36">
        <f t="shared" si="8"/>
        <v>0.45833333333333326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146</v>
      </c>
      <c r="E16" s="53" t="s">
        <v>333</v>
      </c>
      <c r="F16" s="30" t="s">
        <v>140</v>
      </c>
      <c r="G16" s="12">
        <v>2</v>
      </c>
      <c r="H16" s="13">
        <v>28</v>
      </c>
      <c r="I16" s="7">
        <v>2000</v>
      </c>
      <c r="J16" s="14">
        <v>2182</v>
      </c>
      <c r="K16" s="15">
        <f>L16+2182</f>
        <v>2182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0.45833333333333326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126</v>
      </c>
      <c r="D17" s="52" t="s">
        <v>335</v>
      </c>
      <c r="E17" s="53" t="s">
        <v>425</v>
      </c>
      <c r="F17" s="30" t="s">
        <v>396</v>
      </c>
      <c r="G17" s="33">
        <v>4</v>
      </c>
      <c r="H17" s="35">
        <v>24</v>
      </c>
      <c r="I17" s="7">
        <v>20000</v>
      </c>
      <c r="J17" s="5">
        <v>20368</v>
      </c>
      <c r="K17" s="15">
        <f>L17+20368</f>
        <v>20368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0.45833333333333326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126</v>
      </c>
      <c r="D18" s="52" t="s">
        <v>341</v>
      </c>
      <c r="E18" s="53" t="s">
        <v>445</v>
      </c>
      <c r="F18" s="30" t="s">
        <v>265</v>
      </c>
      <c r="G18" s="33">
        <v>1</v>
      </c>
      <c r="H18" s="35">
        <v>24</v>
      </c>
      <c r="I18" s="7">
        <v>3500</v>
      </c>
      <c r="J18" s="5">
        <v>3382</v>
      </c>
      <c r="K18" s="15">
        <f>L18</f>
        <v>3382</v>
      </c>
      <c r="L18" s="15">
        <f>965+2417</f>
        <v>3382</v>
      </c>
      <c r="M18" s="15">
        <f t="shared" si="1"/>
        <v>3382</v>
      </c>
      <c r="N18" s="15">
        <v>0</v>
      </c>
      <c r="O18" s="58">
        <f t="shared" si="2"/>
        <v>0</v>
      </c>
      <c r="P18" s="39">
        <f t="shared" si="3"/>
        <v>17</v>
      </c>
      <c r="Q18" s="40">
        <f t="shared" si="4"/>
        <v>7</v>
      </c>
      <c r="R18" s="7"/>
      <c r="S18" s="6">
        <v>7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0.70833333333333337</v>
      </c>
      <c r="AD18" s="10">
        <f>AC18*AB18*(1-O18)</f>
        <v>0.70833333333333337</v>
      </c>
      <c r="AE18" s="36">
        <f t="shared" si="8"/>
        <v>0.45833333333333326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126</v>
      </c>
      <c r="D19" s="52" t="s">
        <v>202</v>
      </c>
      <c r="E19" s="53" t="s">
        <v>205</v>
      </c>
      <c r="F19" s="30" t="s">
        <v>138</v>
      </c>
      <c r="G19" s="33">
        <v>4</v>
      </c>
      <c r="H19" s="35">
        <v>24</v>
      </c>
      <c r="I19" s="7">
        <v>800000</v>
      </c>
      <c r="J19" s="14">
        <v>20164</v>
      </c>
      <c r="K19" s="15">
        <f>L19+12980+20160+21332+21348+21424+21388+19544+8924+20020+20460</f>
        <v>207744</v>
      </c>
      <c r="L19" s="15">
        <f>2494*4+2547*4</f>
        <v>20164</v>
      </c>
      <c r="M19" s="15">
        <f t="shared" si="1"/>
        <v>20164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ref="AD19" si="11">AC19*AB19*(1-O19)</f>
        <v>1</v>
      </c>
      <c r="AE19" s="36">
        <f t="shared" si="8"/>
        <v>0.45833333333333326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144</v>
      </c>
      <c r="F20" s="12" t="s">
        <v>116</v>
      </c>
      <c r="G20" s="12">
        <v>3</v>
      </c>
      <c r="H20" s="35">
        <v>20</v>
      </c>
      <c r="I20" s="7">
        <v>200000</v>
      </c>
      <c r="J20" s="14">
        <v>34300</v>
      </c>
      <c r="K20" s="15">
        <f>L20+22050+34300</f>
        <v>56350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0.45833333333333326</v>
      </c>
      <c r="AF20" s="87">
        <f t="shared" si="9"/>
        <v>15</v>
      </c>
    </row>
    <row r="21" spans="1:32" ht="31.5" customHeight="1" thickBot="1">
      <c r="A21" s="431" t="s">
        <v>34</v>
      </c>
      <c r="B21" s="432"/>
      <c r="C21" s="432"/>
      <c r="D21" s="432"/>
      <c r="E21" s="432"/>
      <c r="F21" s="432"/>
      <c r="G21" s="432"/>
      <c r="H21" s="433"/>
      <c r="I21" s="22">
        <f t="shared" ref="I21:N21" si="12">SUM(I6:I20)</f>
        <v>2138550</v>
      </c>
      <c r="J21" s="19">
        <f t="shared" si="12"/>
        <v>168492</v>
      </c>
      <c r="K21" s="20">
        <f t="shared" si="12"/>
        <v>894255</v>
      </c>
      <c r="L21" s="21">
        <f t="shared" si="12"/>
        <v>106388</v>
      </c>
      <c r="M21" s="20">
        <f t="shared" si="12"/>
        <v>106388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165</v>
      </c>
      <c r="Q21" s="43">
        <f t="shared" si="13"/>
        <v>195</v>
      </c>
      <c r="R21" s="23">
        <f t="shared" si="13"/>
        <v>24</v>
      </c>
      <c r="S21" s="24">
        <f t="shared" si="13"/>
        <v>27</v>
      </c>
      <c r="T21" s="24">
        <f t="shared" si="13"/>
        <v>0</v>
      </c>
      <c r="U21" s="24">
        <f t="shared" si="13"/>
        <v>0</v>
      </c>
      <c r="V21" s="25">
        <f t="shared" si="13"/>
        <v>24</v>
      </c>
      <c r="W21" s="26">
        <f t="shared" si="13"/>
        <v>96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24</v>
      </c>
      <c r="AB21" s="28">
        <f>SUM(AB6:AB20)/15</f>
        <v>0.53333333333333333</v>
      </c>
      <c r="AC21" s="4">
        <f>SUM(AC6:AC20)/15</f>
        <v>0.45833333333333326</v>
      </c>
      <c r="AD21" s="4">
        <f>SUM(AD6:AD20)/15</f>
        <v>0.45833333333333326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34" t="s">
        <v>45</v>
      </c>
      <c r="B48" s="434"/>
      <c r="C48" s="434"/>
      <c r="D48" s="434"/>
      <c r="E48" s="43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35" t="s">
        <v>450</v>
      </c>
      <c r="B49" s="436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7"/>
      <c r="N49" s="438" t="s">
        <v>453</v>
      </c>
      <c r="O49" s="439"/>
      <c r="P49" s="439"/>
      <c r="Q49" s="439"/>
      <c r="R49" s="439"/>
      <c r="S49" s="439"/>
      <c r="T49" s="439"/>
      <c r="U49" s="439"/>
      <c r="V49" s="439"/>
      <c r="W49" s="439"/>
      <c r="X49" s="439"/>
      <c r="Y49" s="439"/>
      <c r="Z49" s="439"/>
      <c r="AA49" s="439"/>
      <c r="AB49" s="439"/>
      <c r="AC49" s="439"/>
      <c r="AD49" s="440"/>
    </row>
    <row r="50" spans="1:32" ht="27" customHeight="1">
      <c r="A50" s="441" t="s">
        <v>2</v>
      </c>
      <c r="B50" s="442"/>
      <c r="C50" s="251" t="s">
        <v>46</v>
      </c>
      <c r="D50" s="251" t="s">
        <v>47</v>
      </c>
      <c r="E50" s="251" t="s">
        <v>108</v>
      </c>
      <c r="F50" s="442" t="s">
        <v>107</v>
      </c>
      <c r="G50" s="442"/>
      <c r="H50" s="442"/>
      <c r="I50" s="442"/>
      <c r="J50" s="442"/>
      <c r="K50" s="442"/>
      <c r="L50" s="442"/>
      <c r="M50" s="443"/>
      <c r="N50" s="67" t="s">
        <v>112</v>
      </c>
      <c r="O50" s="251" t="s">
        <v>46</v>
      </c>
      <c r="P50" s="444" t="s">
        <v>47</v>
      </c>
      <c r="Q50" s="445"/>
      <c r="R50" s="444" t="s">
        <v>38</v>
      </c>
      <c r="S50" s="446"/>
      <c r="T50" s="446"/>
      <c r="U50" s="445"/>
      <c r="V50" s="444" t="s">
        <v>48</v>
      </c>
      <c r="W50" s="446"/>
      <c r="X50" s="446"/>
      <c r="Y50" s="446"/>
      <c r="Z50" s="446"/>
      <c r="AA50" s="446"/>
      <c r="AB50" s="446"/>
      <c r="AC50" s="446"/>
      <c r="AD50" s="447"/>
    </row>
    <row r="51" spans="1:32" ht="27" customHeight="1">
      <c r="A51" s="412" t="s">
        <v>131</v>
      </c>
      <c r="B51" s="413"/>
      <c r="C51" s="248" t="s">
        <v>139</v>
      </c>
      <c r="D51" s="248"/>
      <c r="E51" s="248" t="s">
        <v>152</v>
      </c>
      <c r="F51" s="414" t="s">
        <v>137</v>
      </c>
      <c r="G51" s="415"/>
      <c r="H51" s="415"/>
      <c r="I51" s="415"/>
      <c r="J51" s="415"/>
      <c r="K51" s="415"/>
      <c r="L51" s="415"/>
      <c r="M51" s="416"/>
      <c r="N51" s="247" t="s">
        <v>126</v>
      </c>
      <c r="O51" s="245" t="s">
        <v>136</v>
      </c>
      <c r="P51" s="426" t="s">
        <v>117</v>
      </c>
      <c r="Q51" s="427"/>
      <c r="R51" s="426" t="s">
        <v>422</v>
      </c>
      <c r="S51" s="428"/>
      <c r="T51" s="428"/>
      <c r="U51" s="427"/>
      <c r="V51" s="396" t="s">
        <v>137</v>
      </c>
      <c r="W51" s="396"/>
      <c r="X51" s="396"/>
      <c r="Y51" s="396"/>
      <c r="Z51" s="396"/>
      <c r="AA51" s="396"/>
      <c r="AB51" s="396"/>
      <c r="AC51" s="396"/>
      <c r="AD51" s="417"/>
    </row>
    <row r="52" spans="1:32" ht="27" customHeight="1">
      <c r="A52" s="412" t="s">
        <v>126</v>
      </c>
      <c r="B52" s="413"/>
      <c r="C52" s="248" t="s">
        <v>136</v>
      </c>
      <c r="D52" s="248" t="s">
        <v>117</v>
      </c>
      <c r="E52" s="248" t="s">
        <v>422</v>
      </c>
      <c r="F52" s="414" t="s">
        <v>451</v>
      </c>
      <c r="G52" s="415"/>
      <c r="H52" s="415"/>
      <c r="I52" s="415"/>
      <c r="J52" s="415"/>
      <c r="K52" s="415"/>
      <c r="L52" s="415"/>
      <c r="M52" s="416"/>
      <c r="N52" s="247" t="s">
        <v>126</v>
      </c>
      <c r="O52" s="245" t="s">
        <v>169</v>
      </c>
      <c r="P52" s="426"/>
      <c r="Q52" s="427"/>
      <c r="R52" s="426" t="s">
        <v>454</v>
      </c>
      <c r="S52" s="428"/>
      <c r="T52" s="428"/>
      <c r="U52" s="427"/>
      <c r="V52" s="396" t="s">
        <v>120</v>
      </c>
      <c r="W52" s="396"/>
      <c r="X52" s="396"/>
      <c r="Y52" s="396"/>
      <c r="Z52" s="396"/>
      <c r="AA52" s="396"/>
      <c r="AB52" s="396"/>
      <c r="AC52" s="396"/>
      <c r="AD52" s="417"/>
    </row>
    <row r="53" spans="1:32" ht="27" customHeight="1">
      <c r="A53" s="412" t="s">
        <v>126</v>
      </c>
      <c r="B53" s="413"/>
      <c r="C53" s="248" t="s">
        <v>173</v>
      </c>
      <c r="D53" s="248" t="s">
        <v>341</v>
      </c>
      <c r="E53" s="248" t="s">
        <v>445</v>
      </c>
      <c r="F53" s="414" t="s">
        <v>452</v>
      </c>
      <c r="G53" s="415"/>
      <c r="H53" s="415"/>
      <c r="I53" s="415"/>
      <c r="J53" s="415"/>
      <c r="K53" s="415"/>
      <c r="L53" s="415"/>
      <c r="M53" s="416"/>
      <c r="N53" s="247" t="s">
        <v>126</v>
      </c>
      <c r="O53" s="245" t="s">
        <v>175</v>
      </c>
      <c r="P53" s="426" t="s">
        <v>202</v>
      </c>
      <c r="Q53" s="427"/>
      <c r="R53" s="426" t="s">
        <v>213</v>
      </c>
      <c r="S53" s="428"/>
      <c r="T53" s="428"/>
      <c r="U53" s="427"/>
      <c r="V53" s="396" t="s">
        <v>252</v>
      </c>
      <c r="W53" s="396"/>
      <c r="X53" s="396"/>
      <c r="Y53" s="396"/>
      <c r="Z53" s="396"/>
      <c r="AA53" s="396"/>
      <c r="AB53" s="396"/>
      <c r="AC53" s="396"/>
      <c r="AD53" s="417"/>
    </row>
    <row r="54" spans="1:32" ht="27" customHeight="1">
      <c r="A54" s="412" t="s">
        <v>126</v>
      </c>
      <c r="B54" s="413"/>
      <c r="C54" s="248" t="s">
        <v>129</v>
      </c>
      <c r="D54" s="248" t="s">
        <v>275</v>
      </c>
      <c r="E54" s="248" t="s">
        <v>319</v>
      </c>
      <c r="F54" s="414" t="s">
        <v>338</v>
      </c>
      <c r="G54" s="415"/>
      <c r="H54" s="415"/>
      <c r="I54" s="415"/>
      <c r="J54" s="415"/>
      <c r="K54" s="415"/>
      <c r="L54" s="415"/>
      <c r="M54" s="416"/>
      <c r="N54" s="247"/>
      <c r="O54" s="245"/>
      <c r="P54" s="426"/>
      <c r="Q54" s="427"/>
      <c r="R54" s="426"/>
      <c r="S54" s="428"/>
      <c r="T54" s="428"/>
      <c r="U54" s="427"/>
      <c r="V54" s="396"/>
      <c r="W54" s="396"/>
      <c r="X54" s="396"/>
      <c r="Y54" s="396"/>
      <c r="Z54" s="396"/>
      <c r="AA54" s="396"/>
      <c r="AB54" s="396"/>
      <c r="AC54" s="396"/>
      <c r="AD54" s="417"/>
    </row>
    <row r="55" spans="1:32" ht="27" customHeight="1">
      <c r="A55" s="412"/>
      <c r="B55" s="413"/>
      <c r="C55" s="248"/>
      <c r="D55" s="248"/>
      <c r="E55" s="248"/>
      <c r="F55" s="414"/>
      <c r="G55" s="415"/>
      <c r="H55" s="415"/>
      <c r="I55" s="415"/>
      <c r="J55" s="415"/>
      <c r="K55" s="415"/>
      <c r="L55" s="415"/>
      <c r="M55" s="416"/>
      <c r="N55" s="247"/>
      <c r="O55" s="245"/>
      <c r="P55" s="426"/>
      <c r="Q55" s="427"/>
      <c r="R55" s="426"/>
      <c r="S55" s="428"/>
      <c r="T55" s="428"/>
      <c r="U55" s="427"/>
      <c r="V55" s="396"/>
      <c r="W55" s="396"/>
      <c r="X55" s="396"/>
      <c r="Y55" s="396"/>
      <c r="Z55" s="396"/>
      <c r="AA55" s="396"/>
      <c r="AB55" s="396"/>
      <c r="AC55" s="396"/>
      <c r="AD55" s="417"/>
    </row>
    <row r="56" spans="1:32" ht="27" customHeight="1">
      <c r="A56" s="412"/>
      <c r="B56" s="413"/>
      <c r="C56" s="248"/>
      <c r="D56" s="248"/>
      <c r="E56" s="248"/>
      <c r="F56" s="414"/>
      <c r="G56" s="415"/>
      <c r="H56" s="415"/>
      <c r="I56" s="415"/>
      <c r="J56" s="415"/>
      <c r="K56" s="415"/>
      <c r="L56" s="415"/>
      <c r="M56" s="416"/>
      <c r="N56" s="247"/>
      <c r="O56" s="245"/>
      <c r="P56" s="426"/>
      <c r="Q56" s="427"/>
      <c r="R56" s="426"/>
      <c r="S56" s="428"/>
      <c r="T56" s="428"/>
      <c r="U56" s="427"/>
      <c r="V56" s="396"/>
      <c r="W56" s="396"/>
      <c r="X56" s="396"/>
      <c r="Y56" s="396"/>
      <c r="Z56" s="396"/>
      <c r="AA56" s="396"/>
      <c r="AB56" s="396"/>
      <c r="AC56" s="396"/>
      <c r="AD56" s="417"/>
    </row>
    <row r="57" spans="1:32" ht="27" customHeight="1">
      <c r="A57" s="412"/>
      <c r="B57" s="413"/>
      <c r="C57" s="248"/>
      <c r="D57" s="248"/>
      <c r="E57" s="248"/>
      <c r="F57" s="414"/>
      <c r="G57" s="415"/>
      <c r="H57" s="415"/>
      <c r="I57" s="415"/>
      <c r="J57" s="415"/>
      <c r="K57" s="415"/>
      <c r="L57" s="415"/>
      <c r="M57" s="416"/>
      <c r="N57" s="247"/>
      <c r="O57" s="245"/>
      <c r="P57" s="426"/>
      <c r="Q57" s="427"/>
      <c r="R57" s="413"/>
      <c r="S57" s="413"/>
      <c r="T57" s="413"/>
      <c r="U57" s="413"/>
      <c r="V57" s="396"/>
      <c r="W57" s="396"/>
      <c r="X57" s="396"/>
      <c r="Y57" s="396"/>
      <c r="Z57" s="396"/>
      <c r="AA57" s="396"/>
      <c r="AB57" s="396"/>
      <c r="AC57" s="396"/>
      <c r="AD57" s="417"/>
    </row>
    <row r="58" spans="1:32" ht="27" customHeight="1">
      <c r="A58" s="412"/>
      <c r="B58" s="413"/>
      <c r="C58" s="248"/>
      <c r="D58" s="248"/>
      <c r="E58" s="248"/>
      <c r="F58" s="414"/>
      <c r="G58" s="415"/>
      <c r="H58" s="415"/>
      <c r="I58" s="415"/>
      <c r="J58" s="415"/>
      <c r="K58" s="415"/>
      <c r="L58" s="415"/>
      <c r="M58" s="416"/>
      <c r="N58" s="247"/>
      <c r="O58" s="245"/>
      <c r="P58" s="426"/>
      <c r="Q58" s="427"/>
      <c r="R58" s="413"/>
      <c r="S58" s="413"/>
      <c r="T58" s="413"/>
      <c r="U58" s="413"/>
      <c r="V58" s="396"/>
      <c r="W58" s="396"/>
      <c r="X58" s="396"/>
      <c r="Y58" s="396"/>
      <c r="Z58" s="396"/>
      <c r="AA58" s="396"/>
      <c r="AB58" s="396"/>
      <c r="AC58" s="396"/>
      <c r="AD58" s="417"/>
    </row>
    <row r="59" spans="1:32" ht="27" customHeight="1">
      <c r="A59" s="412"/>
      <c r="B59" s="413"/>
      <c r="C59" s="248"/>
      <c r="D59" s="248"/>
      <c r="E59" s="248"/>
      <c r="F59" s="414"/>
      <c r="G59" s="415"/>
      <c r="H59" s="415"/>
      <c r="I59" s="415"/>
      <c r="J59" s="415"/>
      <c r="K59" s="415"/>
      <c r="L59" s="415"/>
      <c r="M59" s="416"/>
      <c r="N59" s="247"/>
      <c r="O59" s="245"/>
      <c r="P59" s="413"/>
      <c r="Q59" s="413"/>
      <c r="R59" s="413"/>
      <c r="S59" s="413"/>
      <c r="T59" s="413"/>
      <c r="U59" s="413"/>
      <c r="V59" s="396"/>
      <c r="W59" s="396"/>
      <c r="X59" s="396"/>
      <c r="Y59" s="396"/>
      <c r="Z59" s="396"/>
      <c r="AA59" s="396"/>
      <c r="AB59" s="396"/>
      <c r="AC59" s="396"/>
      <c r="AD59" s="417"/>
      <c r="AF59" s="87">
        <f>8*3000</f>
        <v>24000</v>
      </c>
    </row>
    <row r="60" spans="1:32" ht="27" customHeight="1" thickBot="1">
      <c r="A60" s="418"/>
      <c r="B60" s="419"/>
      <c r="C60" s="249"/>
      <c r="D60" s="250"/>
      <c r="E60" s="250"/>
      <c r="F60" s="420"/>
      <c r="G60" s="421"/>
      <c r="H60" s="421"/>
      <c r="I60" s="421"/>
      <c r="J60" s="421"/>
      <c r="K60" s="421"/>
      <c r="L60" s="421"/>
      <c r="M60" s="422"/>
      <c r="N60" s="124"/>
      <c r="O60" s="114"/>
      <c r="P60" s="423"/>
      <c r="Q60" s="423"/>
      <c r="R60" s="423"/>
      <c r="S60" s="423"/>
      <c r="T60" s="423"/>
      <c r="U60" s="423"/>
      <c r="V60" s="424"/>
      <c r="W60" s="424"/>
      <c r="X60" s="424"/>
      <c r="Y60" s="424"/>
      <c r="Z60" s="424"/>
      <c r="AA60" s="424"/>
      <c r="AB60" s="424"/>
      <c r="AC60" s="424"/>
      <c r="AD60" s="425"/>
      <c r="AF60" s="87">
        <f>16*3000</f>
        <v>48000</v>
      </c>
    </row>
    <row r="61" spans="1:32" ht="27.75" thickBot="1">
      <c r="A61" s="410" t="s">
        <v>455</v>
      </c>
      <c r="B61" s="410"/>
      <c r="C61" s="410"/>
      <c r="D61" s="410"/>
      <c r="E61" s="410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1" t="s">
        <v>113</v>
      </c>
      <c r="B62" s="406"/>
      <c r="C62" s="246" t="s">
        <v>2</v>
      </c>
      <c r="D62" s="246" t="s">
        <v>37</v>
      </c>
      <c r="E62" s="246" t="s">
        <v>3</v>
      </c>
      <c r="F62" s="406" t="s">
        <v>110</v>
      </c>
      <c r="G62" s="406"/>
      <c r="H62" s="406"/>
      <c r="I62" s="406"/>
      <c r="J62" s="406"/>
      <c r="K62" s="406" t="s">
        <v>39</v>
      </c>
      <c r="L62" s="406"/>
      <c r="M62" s="246" t="s">
        <v>40</v>
      </c>
      <c r="N62" s="406" t="s">
        <v>41</v>
      </c>
      <c r="O62" s="406"/>
      <c r="P62" s="403" t="s">
        <v>42</v>
      </c>
      <c r="Q62" s="405"/>
      <c r="R62" s="403" t="s">
        <v>43</v>
      </c>
      <c r="S62" s="404"/>
      <c r="T62" s="404"/>
      <c r="U62" s="404"/>
      <c r="V62" s="404"/>
      <c r="W62" s="404"/>
      <c r="X62" s="404"/>
      <c r="Y62" s="404"/>
      <c r="Z62" s="404"/>
      <c r="AA62" s="405"/>
      <c r="AB62" s="406" t="s">
        <v>44</v>
      </c>
      <c r="AC62" s="406"/>
      <c r="AD62" s="407"/>
      <c r="AF62" s="87">
        <f>SUM(AF59:AF61)</f>
        <v>96000</v>
      </c>
    </row>
    <row r="63" spans="1:32" ht="25.5" customHeight="1">
      <c r="A63" s="389">
        <v>1</v>
      </c>
      <c r="B63" s="390"/>
      <c r="C63" s="117" t="s">
        <v>123</v>
      </c>
      <c r="D63" s="241"/>
      <c r="E63" s="244" t="s">
        <v>456</v>
      </c>
      <c r="F63" s="391" t="s">
        <v>458</v>
      </c>
      <c r="G63" s="383"/>
      <c r="H63" s="383"/>
      <c r="I63" s="383"/>
      <c r="J63" s="383"/>
      <c r="K63" s="383" t="s">
        <v>396</v>
      </c>
      <c r="L63" s="383"/>
      <c r="M63" s="51" t="s">
        <v>222</v>
      </c>
      <c r="N63" s="401" t="s">
        <v>237</v>
      </c>
      <c r="O63" s="401"/>
      <c r="P63" s="402">
        <v>50</v>
      </c>
      <c r="Q63" s="402"/>
      <c r="R63" s="396"/>
      <c r="S63" s="396"/>
      <c r="T63" s="396"/>
      <c r="U63" s="396"/>
      <c r="V63" s="396"/>
      <c r="W63" s="396"/>
      <c r="X63" s="396"/>
      <c r="Y63" s="396"/>
      <c r="Z63" s="396"/>
      <c r="AA63" s="396"/>
      <c r="AB63" s="400"/>
      <c r="AC63" s="408"/>
      <c r="AD63" s="409"/>
      <c r="AF63" s="50"/>
    </row>
    <row r="64" spans="1:32" ht="25.5" customHeight="1">
      <c r="A64" s="389">
        <v>2</v>
      </c>
      <c r="B64" s="390"/>
      <c r="C64" s="117" t="s">
        <v>114</v>
      </c>
      <c r="D64" s="241"/>
      <c r="E64" s="244" t="s">
        <v>457</v>
      </c>
      <c r="F64" s="391" t="s">
        <v>459</v>
      </c>
      <c r="G64" s="383"/>
      <c r="H64" s="383"/>
      <c r="I64" s="383"/>
      <c r="J64" s="383"/>
      <c r="K64" s="383" t="s">
        <v>322</v>
      </c>
      <c r="L64" s="383"/>
      <c r="M64" s="51" t="s">
        <v>222</v>
      </c>
      <c r="N64" s="401" t="s">
        <v>237</v>
      </c>
      <c r="O64" s="401"/>
      <c r="P64" s="402">
        <v>50</v>
      </c>
      <c r="Q64" s="402"/>
      <c r="R64" s="396"/>
      <c r="S64" s="396"/>
      <c r="T64" s="396"/>
      <c r="U64" s="396"/>
      <c r="V64" s="396"/>
      <c r="W64" s="396"/>
      <c r="X64" s="396"/>
      <c r="Y64" s="396"/>
      <c r="Z64" s="396"/>
      <c r="AA64" s="396"/>
      <c r="AB64" s="383"/>
      <c r="AC64" s="383"/>
      <c r="AD64" s="384"/>
      <c r="AF64" s="50"/>
    </row>
    <row r="65" spans="1:32" ht="25.5" customHeight="1">
      <c r="A65" s="389">
        <v>3</v>
      </c>
      <c r="B65" s="390"/>
      <c r="C65" s="117"/>
      <c r="D65" s="241"/>
      <c r="E65" s="244"/>
      <c r="F65" s="397"/>
      <c r="G65" s="398"/>
      <c r="H65" s="398"/>
      <c r="I65" s="398"/>
      <c r="J65" s="399"/>
      <c r="K65" s="383"/>
      <c r="L65" s="383"/>
      <c r="M65" s="51"/>
      <c r="N65" s="401"/>
      <c r="O65" s="401"/>
      <c r="P65" s="402"/>
      <c r="Q65" s="402"/>
      <c r="R65" s="396"/>
      <c r="S65" s="396"/>
      <c r="T65" s="396"/>
      <c r="U65" s="396"/>
      <c r="V65" s="396"/>
      <c r="W65" s="396"/>
      <c r="X65" s="396"/>
      <c r="Y65" s="396"/>
      <c r="Z65" s="396"/>
      <c r="AA65" s="396"/>
      <c r="AB65" s="383"/>
      <c r="AC65" s="383"/>
      <c r="AD65" s="384"/>
      <c r="AF65" s="50"/>
    </row>
    <row r="66" spans="1:32" ht="25.5" customHeight="1">
      <c r="A66" s="389">
        <v>4</v>
      </c>
      <c r="B66" s="390"/>
      <c r="C66" s="117"/>
      <c r="D66" s="241"/>
      <c r="E66" s="244"/>
      <c r="F66" s="397"/>
      <c r="G66" s="398"/>
      <c r="H66" s="398"/>
      <c r="I66" s="398"/>
      <c r="J66" s="399"/>
      <c r="K66" s="383"/>
      <c r="L66" s="383"/>
      <c r="M66" s="51"/>
      <c r="N66" s="401"/>
      <c r="O66" s="401"/>
      <c r="P66" s="402"/>
      <c r="Q66" s="402"/>
      <c r="R66" s="396"/>
      <c r="S66" s="396"/>
      <c r="T66" s="396"/>
      <c r="U66" s="396"/>
      <c r="V66" s="396"/>
      <c r="W66" s="396"/>
      <c r="X66" s="396"/>
      <c r="Y66" s="396"/>
      <c r="Z66" s="396"/>
      <c r="AA66" s="396"/>
      <c r="AB66" s="383"/>
      <c r="AC66" s="383"/>
      <c r="AD66" s="384"/>
      <c r="AF66" s="50"/>
    </row>
    <row r="67" spans="1:32" ht="25.5" customHeight="1">
      <c r="A67" s="389">
        <v>5</v>
      </c>
      <c r="B67" s="390"/>
      <c r="C67" s="117"/>
      <c r="D67" s="241"/>
      <c r="E67" s="244"/>
      <c r="F67" s="397"/>
      <c r="G67" s="398"/>
      <c r="H67" s="398"/>
      <c r="I67" s="398"/>
      <c r="J67" s="399"/>
      <c r="K67" s="400"/>
      <c r="L67" s="390"/>
      <c r="M67" s="51"/>
      <c r="N67" s="401"/>
      <c r="O67" s="401"/>
      <c r="P67" s="402"/>
      <c r="Q67" s="402"/>
      <c r="R67" s="396"/>
      <c r="S67" s="396"/>
      <c r="T67" s="396"/>
      <c r="U67" s="396"/>
      <c r="V67" s="396"/>
      <c r="W67" s="396"/>
      <c r="X67" s="396"/>
      <c r="Y67" s="396"/>
      <c r="Z67" s="396"/>
      <c r="AA67" s="396"/>
      <c r="AB67" s="383"/>
      <c r="AC67" s="383"/>
      <c r="AD67" s="384"/>
      <c r="AF67" s="50"/>
    </row>
    <row r="68" spans="1:32" ht="25.5" customHeight="1">
      <c r="A68" s="389">
        <v>6</v>
      </c>
      <c r="B68" s="390"/>
      <c r="C68" s="117"/>
      <c r="D68" s="241"/>
      <c r="E68" s="244"/>
      <c r="F68" s="391"/>
      <c r="G68" s="383"/>
      <c r="H68" s="383"/>
      <c r="I68" s="383"/>
      <c r="J68" s="383"/>
      <c r="K68" s="383"/>
      <c r="L68" s="383"/>
      <c r="M68" s="51"/>
      <c r="N68" s="392"/>
      <c r="O68" s="393"/>
      <c r="P68" s="394"/>
      <c r="Q68" s="395"/>
      <c r="R68" s="396"/>
      <c r="S68" s="396"/>
      <c r="T68" s="396"/>
      <c r="U68" s="396"/>
      <c r="V68" s="396"/>
      <c r="W68" s="396"/>
      <c r="X68" s="396"/>
      <c r="Y68" s="396"/>
      <c r="Z68" s="396"/>
      <c r="AA68" s="396"/>
      <c r="AB68" s="383"/>
      <c r="AC68" s="383"/>
      <c r="AD68" s="384"/>
      <c r="AF68" s="50"/>
    </row>
    <row r="69" spans="1:32" ht="25.5" customHeight="1">
      <c r="A69" s="389">
        <v>7</v>
      </c>
      <c r="B69" s="390"/>
      <c r="C69" s="117"/>
      <c r="D69" s="241"/>
      <c r="E69" s="244"/>
      <c r="F69" s="391"/>
      <c r="G69" s="383"/>
      <c r="H69" s="383"/>
      <c r="I69" s="383"/>
      <c r="J69" s="383"/>
      <c r="K69" s="383"/>
      <c r="L69" s="383"/>
      <c r="M69" s="51"/>
      <c r="N69" s="392"/>
      <c r="O69" s="393"/>
      <c r="P69" s="394"/>
      <c r="Q69" s="395"/>
      <c r="R69" s="396"/>
      <c r="S69" s="396"/>
      <c r="T69" s="396"/>
      <c r="U69" s="396"/>
      <c r="V69" s="396"/>
      <c r="W69" s="396"/>
      <c r="X69" s="396"/>
      <c r="Y69" s="396"/>
      <c r="Z69" s="396"/>
      <c r="AA69" s="396"/>
      <c r="AB69" s="383"/>
      <c r="AC69" s="383"/>
      <c r="AD69" s="384"/>
      <c r="AF69" s="50"/>
    </row>
    <row r="70" spans="1:32" ht="25.5" customHeight="1">
      <c r="A70" s="389">
        <v>8</v>
      </c>
      <c r="B70" s="390"/>
      <c r="C70" s="117"/>
      <c r="D70" s="241"/>
      <c r="E70" s="244"/>
      <c r="F70" s="391"/>
      <c r="G70" s="383"/>
      <c r="H70" s="383"/>
      <c r="I70" s="383"/>
      <c r="J70" s="383"/>
      <c r="K70" s="383"/>
      <c r="L70" s="383"/>
      <c r="M70" s="51"/>
      <c r="N70" s="392"/>
      <c r="O70" s="393"/>
      <c r="P70" s="394"/>
      <c r="Q70" s="395"/>
      <c r="R70" s="396"/>
      <c r="S70" s="396"/>
      <c r="T70" s="396"/>
      <c r="U70" s="396"/>
      <c r="V70" s="396"/>
      <c r="W70" s="396"/>
      <c r="X70" s="396"/>
      <c r="Y70" s="396"/>
      <c r="Z70" s="396"/>
      <c r="AA70" s="396"/>
      <c r="AB70" s="383"/>
      <c r="AC70" s="383"/>
      <c r="AD70" s="384"/>
      <c r="AF70" s="50"/>
    </row>
    <row r="71" spans="1:32" ht="26.25" customHeight="1" thickBot="1">
      <c r="A71" s="363" t="s">
        <v>460</v>
      </c>
      <c r="B71" s="363"/>
      <c r="C71" s="363"/>
      <c r="D71" s="363"/>
      <c r="E71" s="363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64" t="s">
        <v>113</v>
      </c>
      <c r="B72" s="365"/>
      <c r="C72" s="243" t="s">
        <v>2</v>
      </c>
      <c r="D72" s="243" t="s">
        <v>37</v>
      </c>
      <c r="E72" s="243" t="s">
        <v>3</v>
      </c>
      <c r="F72" s="365" t="s">
        <v>38</v>
      </c>
      <c r="G72" s="365"/>
      <c r="H72" s="365"/>
      <c r="I72" s="365"/>
      <c r="J72" s="365"/>
      <c r="K72" s="385" t="s">
        <v>58</v>
      </c>
      <c r="L72" s="386"/>
      <c r="M72" s="386"/>
      <c r="N72" s="386"/>
      <c r="O72" s="386"/>
      <c r="P72" s="386"/>
      <c r="Q72" s="386"/>
      <c r="R72" s="386"/>
      <c r="S72" s="387"/>
      <c r="T72" s="365" t="s">
        <v>49</v>
      </c>
      <c r="U72" s="365"/>
      <c r="V72" s="385" t="s">
        <v>50</v>
      </c>
      <c r="W72" s="387"/>
      <c r="X72" s="386" t="s">
        <v>51</v>
      </c>
      <c r="Y72" s="386"/>
      <c r="Z72" s="386"/>
      <c r="AA72" s="386"/>
      <c r="AB72" s="386"/>
      <c r="AC72" s="386"/>
      <c r="AD72" s="388"/>
      <c r="AF72" s="50"/>
    </row>
    <row r="73" spans="1:32" ht="33.75" customHeight="1">
      <c r="A73" s="357">
        <v>1</v>
      </c>
      <c r="B73" s="358"/>
      <c r="C73" s="242" t="s">
        <v>114</v>
      </c>
      <c r="D73" s="242"/>
      <c r="E73" s="65" t="s">
        <v>119</v>
      </c>
      <c r="F73" s="372" t="s">
        <v>118</v>
      </c>
      <c r="G73" s="373"/>
      <c r="H73" s="373"/>
      <c r="I73" s="373"/>
      <c r="J73" s="374"/>
      <c r="K73" s="375" t="s">
        <v>128</v>
      </c>
      <c r="L73" s="376"/>
      <c r="M73" s="376"/>
      <c r="N73" s="376"/>
      <c r="O73" s="376"/>
      <c r="P73" s="376"/>
      <c r="Q73" s="376"/>
      <c r="R73" s="376"/>
      <c r="S73" s="377"/>
      <c r="T73" s="378">
        <v>43675</v>
      </c>
      <c r="U73" s="379"/>
      <c r="V73" s="380"/>
      <c r="W73" s="380"/>
      <c r="X73" s="381"/>
      <c r="Y73" s="381"/>
      <c r="Z73" s="381"/>
      <c r="AA73" s="381"/>
      <c r="AB73" s="381"/>
      <c r="AC73" s="381"/>
      <c r="AD73" s="382"/>
      <c r="AF73" s="50"/>
    </row>
    <row r="74" spans="1:32" ht="30" customHeight="1">
      <c r="A74" s="350">
        <f>A73+1</f>
        <v>2</v>
      </c>
      <c r="B74" s="351"/>
      <c r="C74" s="241"/>
      <c r="D74" s="241"/>
      <c r="E74" s="32"/>
      <c r="F74" s="351"/>
      <c r="G74" s="351"/>
      <c r="H74" s="351"/>
      <c r="I74" s="351"/>
      <c r="J74" s="351"/>
      <c r="K74" s="366"/>
      <c r="L74" s="367"/>
      <c r="M74" s="367"/>
      <c r="N74" s="367"/>
      <c r="O74" s="367"/>
      <c r="P74" s="367"/>
      <c r="Q74" s="367"/>
      <c r="R74" s="367"/>
      <c r="S74" s="368"/>
      <c r="T74" s="369"/>
      <c r="U74" s="369"/>
      <c r="V74" s="369"/>
      <c r="W74" s="369"/>
      <c r="X74" s="370"/>
      <c r="Y74" s="370"/>
      <c r="Z74" s="370"/>
      <c r="AA74" s="370"/>
      <c r="AB74" s="370"/>
      <c r="AC74" s="370"/>
      <c r="AD74" s="371"/>
      <c r="AF74" s="50"/>
    </row>
    <row r="75" spans="1:32" ht="30" customHeight="1">
      <c r="A75" s="350">
        <f t="shared" ref="A75:A81" si="14">A74+1</f>
        <v>3</v>
      </c>
      <c r="B75" s="351"/>
      <c r="C75" s="241"/>
      <c r="D75" s="241"/>
      <c r="E75" s="32"/>
      <c r="F75" s="351"/>
      <c r="G75" s="351"/>
      <c r="H75" s="351"/>
      <c r="I75" s="351"/>
      <c r="J75" s="351"/>
      <c r="K75" s="366"/>
      <c r="L75" s="367"/>
      <c r="M75" s="367"/>
      <c r="N75" s="367"/>
      <c r="O75" s="367"/>
      <c r="P75" s="367"/>
      <c r="Q75" s="367"/>
      <c r="R75" s="367"/>
      <c r="S75" s="368"/>
      <c r="T75" s="369"/>
      <c r="U75" s="369"/>
      <c r="V75" s="369"/>
      <c r="W75" s="369"/>
      <c r="X75" s="370"/>
      <c r="Y75" s="370"/>
      <c r="Z75" s="370"/>
      <c r="AA75" s="370"/>
      <c r="AB75" s="370"/>
      <c r="AC75" s="370"/>
      <c r="AD75" s="371"/>
      <c r="AF75" s="50"/>
    </row>
    <row r="76" spans="1:32" ht="30" customHeight="1">
      <c r="A76" s="350">
        <f t="shared" si="14"/>
        <v>4</v>
      </c>
      <c r="B76" s="351"/>
      <c r="C76" s="241"/>
      <c r="D76" s="241"/>
      <c r="E76" s="32"/>
      <c r="F76" s="351"/>
      <c r="G76" s="351"/>
      <c r="H76" s="351"/>
      <c r="I76" s="351"/>
      <c r="J76" s="351"/>
      <c r="K76" s="366"/>
      <c r="L76" s="367"/>
      <c r="M76" s="367"/>
      <c r="N76" s="367"/>
      <c r="O76" s="367"/>
      <c r="P76" s="367"/>
      <c r="Q76" s="367"/>
      <c r="R76" s="367"/>
      <c r="S76" s="368"/>
      <c r="T76" s="369"/>
      <c r="U76" s="369"/>
      <c r="V76" s="369"/>
      <c r="W76" s="369"/>
      <c r="X76" s="370"/>
      <c r="Y76" s="370"/>
      <c r="Z76" s="370"/>
      <c r="AA76" s="370"/>
      <c r="AB76" s="370"/>
      <c r="AC76" s="370"/>
      <c r="AD76" s="371"/>
      <c r="AF76" s="50"/>
    </row>
    <row r="77" spans="1:32" ht="30" customHeight="1">
      <c r="A77" s="350">
        <f t="shared" si="14"/>
        <v>5</v>
      </c>
      <c r="B77" s="351"/>
      <c r="C77" s="241"/>
      <c r="D77" s="241"/>
      <c r="E77" s="32"/>
      <c r="F77" s="351"/>
      <c r="G77" s="351"/>
      <c r="H77" s="351"/>
      <c r="I77" s="351"/>
      <c r="J77" s="351"/>
      <c r="K77" s="366"/>
      <c r="L77" s="367"/>
      <c r="M77" s="367"/>
      <c r="N77" s="367"/>
      <c r="O77" s="367"/>
      <c r="P77" s="367"/>
      <c r="Q77" s="367"/>
      <c r="R77" s="367"/>
      <c r="S77" s="368"/>
      <c r="T77" s="369"/>
      <c r="U77" s="369"/>
      <c r="V77" s="369"/>
      <c r="W77" s="369"/>
      <c r="X77" s="370"/>
      <c r="Y77" s="370"/>
      <c r="Z77" s="370"/>
      <c r="AA77" s="370"/>
      <c r="AB77" s="370"/>
      <c r="AC77" s="370"/>
      <c r="AD77" s="371"/>
      <c r="AF77" s="50"/>
    </row>
    <row r="78" spans="1:32" ht="30" customHeight="1">
      <c r="A78" s="350">
        <f t="shared" si="14"/>
        <v>6</v>
      </c>
      <c r="B78" s="351"/>
      <c r="C78" s="241"/>
      <c r="D78" s="241"/>
      <c r="E78" s="32"/>
      <c r="F78" s="351"/>
      <c r="G78" s="351"/>
      <c r="H78" s="351"/>
      <c r="I78" s="351"/>
      <c r="J78" s="351"/>
      <c r="K78" s="366"/>
      <c r="L78" s="367"/>
      <c r="M78" s="367"/>
      <c r="N78" s="367"/>
      <c r="O78" s="367"/>
      <c r="P78" s="367"/>
      <c r="Q78" s="367"/>
      <c r="R78" s="367"/>
      <c r="S78" s="368"/>
      <c r="T78" s="369"/>
      <c r="U78" s="369"/>
      <c r="V78" s="369"/>
      <c r="W78" s="369"/>
      <c r="X78" s="370"/>
      <c r="Y78" s="370"/>
      <c r="Z78" s="370"/>
      <c r="AA78" s="370"/>
      <c r="AB78" s="370"/>
      <c r="AC78" s="370"/>
      <c r="AD78" s="371"/>
      <c r="AF78" s="50"/>
    </row>
    <row r="79" spans="1:32" ht="30" customHeight="1">
      <c r="A79" s="350">
        <f t="shared" si="14"/>
        <v>7</v>
      </c>
      <c r="B79" s="351"/>
      <c r="C79" s="241"/>
      <c r="D79" s="241"/>
      <c r="E79" s="32"/>
      <c r="F79" s="351"/>
      <c r="G79" s="351"/>
      <c r="H79" s="351"/>
      <c r="I79" s="351"/>
      <c r="J79" s="351"/>
      <c r="K79" s="366"/>
      <c r="L79" s="367"/>
      <c r="M79" s="367"/>
      <c r="N79" s="367"/>
      <c r="O79" s="367"/>
      <c r="P79" s="367"/>
      <c r="Q79" s="367"/>
      <c r="R79" s="367"/>
      <c r="S79" s="368"/>
      <c r="T79" s="369"/>
      <c r="U79" s="369"/>
      <c r="V79" s="369"/>
      <c r="W79" s="369"/>
      <c r="X79" s="370"/>
      <c r="Y79" s="370"/>
      <c r="Z79" s="370"/>
      <c r="AA79" s="370"/>
      <c r="AB79" s="370"/>
      <c r="AC79" s="370"/>
      <c r="AD79" s="371"/>
      <c r="AF79" s="50"/>
    </row>
    <row r="80" spans="1:32" ht="30" customHeight="1">
      <c r="A80" s="350">
        <f t="shared" si="14"/>
        <v>8</v>
      </c>
      <c r="B80" s="351"/>
      <c r="C80" s="241"/>
      <c r="D80" s="241"/>
      <c r="E80" s="32"/>
      <c r="F80" s="351"/>
      <c r="G80" s="351"/>
      <c r="H80" s="351"/>
      <c r="I80" s="351"/>
      <c r="J80" s="351"/>
      <c r="K80" s="366"/>
      <c r="L80" s="367"/>
      <c r="M80" s="367"/>
      <c r="N80" s="367"/>
      <c r="O80" s="367"/>
      <c r="P80" s="367"/>
      <c r="Q80" s="367"/>
      <c r="R80" s="367"/>
      <c r="S80" s="368"/>
      <c r="T80" s="369"/>
      <c r="U80" s="369"/>
      <c r="V80" s="369"/>
      <c r="W80" s="369"/>
      <c r="X80" s="370"/>
      <c r="Y80" s="370"/>
      <c r="Z80" s="370"/>
      <c r="AA80" s="370"/>
      <c r="AB80" s="370"/>
      <c r="AC80" s="370"/>
      <c r="AD80" s="371"/>
      <c r="AF80" s="50"/>
    </row>
    <row r="81" spans="1:32" ht="30" customHeight="1">
      <c r="A81" s="350">
        <f t="shared" si="14"/>
        <v>9</v>
      </c>
      <c r="B81" s="351"/>
      <c r="C81" s="241"/>
      <c r="D81" s="241"/>
      <c r="E81" s="32"/>
      <c r="F81" s="351"/>
      <c r="G81" s="351"/>
      <c r="H81" s="351"/>
      <c r="I81" s="351"/>
      <c r="J81" s="351"/>
      <c r="K81" s="366"/>
      <c r="L81" s="367"/>
      <c r="M81" s="367"/>
      <c r="N81" s="367"/>
      <c r="O81" s="367"/>
      <c r="P81" s="367"/>
      <c r="Q81" s="367"/>
      <c r="R81" s="367"/>
      <c r="S81" s="368"/>
      <c r="T81" s="369"/>
      <c r="U81" s="369"/>
      <c r="V81" s="369"/>
      <c r="W81" s="369"/>
      <c r="X81" s="370"/>
      <c r="Y81" s="370"/>
      <c r="Z81" s="370"/>
      <c r="AA81" s="370"/>
      <c r="AB81" s="370"/>
      <c r="AC81" s="370"/>
      <c r="AD81" s="371"/>
      <c r="AF81" s="50"/>
    </row>
    <row r="82" spans="1:32" ht="36" thickBot="1">
      <c r="A82" s="363" t="s">
        <v>461</v>
      </c>
      <c r="B82" s="363"/>
      <c r="C82" s="363"/>
      <c r="D82" s="363"/>
      <c r="E82" s="363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64" t="s">
        <v>113</v>
      </c>
      <c r="B83" s="365"/>
      <c r="C83" s="355" t="s">
        <v>52</v>
      </c>
      <c r="D83" s="355"/>
      <c r="E83" s="355" t="s">
        <v>53</v>
      </c>
      <c r="F83" s="355"/>
      <c r="G83" s="355"/>
      <c r="H83" s="355"/>
      <c r="I83" s="355"/>
      <c r="J83" s="355"/>
      <c r="K83" s="355" t="s">
        <v>54</v>
      </c>
      <c r="L83" s="355"/>
      <c r="M83" s="355"/>
      <c r="N83" s="355"/>
      <c r="O83" s="355"/>
      <c r="P83" s="355"/>
      <c r="Q83" s="355"/>
      <c r="R83" s="355"/>
      <c r="S83" s="355"/>
      <c r="T83" s="355" t="s">
        <v>55</v>
      </c>
      <c r="U83" s="355"/>
      <c r="V83" s="355" t="s">
        <v>56</v>
      </c>
      <c r="W83" s="355"/>
      <c r="X83" s="355"/>
      <c r="Y83" s="355" t="s">
        <v>51</v>
      </c>
      <c r="Z83" s="355"/>
      <c r="AA83" s="355"/>
      <c r="AB83" s="355"/>
      <c r="AC83" s="355"/>
      <c r="AD83" s="356"/>
      <c r="AF83" s="50"/>
    </row>
    <row r="84" spans="1:32" ht="30.75" customHeight="1">
      <c r="A84" s="357">
        <v>1</v>
      </c>
      <c r="B84" s="358"/>
      <c r="C84" s="359"/>
      <c r="D84" s="359"/>
      <c r="E84" s="359"/>
      <c r="F84" s="359"/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/>
      <c r="R84" s="359"/>
      <c r="S84" s="359"/>
      <c r="T84" s="359"/>
      <c r="U84" s="359"/>
      <c r="V84" s="360"/>
      <c r="W84" s="360"/>
      <c r="X84" s="360"/>
      <c r="Y84" s="361"/>
      <c r="Z84" s="361"/>
      <c r="AA84" s="361"/>
      <c r="AB84" s="361"/>
      <c r="AC84" s="361"/>
      <c r="AD84" s="362"/>
      <c r="AF84" s="50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0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608B-3DE1-4296-B269-CBAB4755E93A}">
  <dimension ref="A1:AF87"/>
  <sheetViews>
    <sheetView zoomScale="72" zoomScaleNormal="72" zoomScaleSheetLayoutView="70" workbookViewId="0">
      <selection activeCell="V12" sqref="V1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58" t="s">
        <v>462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8"/>
      <c r="B2" s="458"/>
      <c r="C2" s="458"/>
      <c r="D2" s="458"/>
      <c r="E2" s="458"/>
      <c r="F2" s="458"/>
      <c r="G2" s="458"/>
      <c r="H2" s="458"/>
      <c r="I2" s="458"/>
      <c r="J2" s="458"/>
      <c r="K2" s="458"/>
      <c r="L2" s="458"/>
      <c r="M2" s="458"/>
      <c r="N2" s="458"/>
      <c r="O2" s="45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9"/>
      <c r="B3" s="459"/>
      <c r="C3" s="459"/>
      <c r="D3" s="459"/>
      <c r="E3" s="459"/>
      <c r="F3" s="459"/>
      <c r="G3" s="45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0" t="s">
        <v>0</v>
      </c>
      <c r="B4" s="462" t="s">
        <v>1</v>
      </c>
      <c r="C4" s="462" t="s">
        <v>2</v>
      </c>
      <c r="D4" s="465" t="s">
        <v>3</v>
      </c>
      <c r="E4" s="467" t="s">
        <v>4</v>
      </c>
      <c r="F4" s="465" t="s">
        <v>5</v>
      </c>
      <c r="G4" s="462" t="s">
        <v>6</v>
      </c>
      <c r="H4" s="468" t="s">
        <v>7</v>
      </c>
      <c r="I4" s="448" t="s">
        <v>8</v>
      </c>
      <c r="J4" s="449"/>
      <c r="K4" s="449"/>
      <c r="L4" s="449"/>
      <c r="M4" s="449"/>
      <c r="N4" s="449"/>
      <c r="O4" s="450"/>
      <c r="P4" s="451" t="s">
        <v>9</v>
      </c>
      <c r="Q4" s="452"/>
      <c r="R4" s="453" t="s">
        <v>10</v>
      </c>
      <c r="S4" s="453"/>
      <c r="T4" s="453"/>
      <c r="U4" s="453"/>
      <c r="V4" s="453"/>
      <c r="W4" s="454" t="s">
        <v>11</v>
      </c>
      <c r="X4" s="453"/>
      <c r="Y4" s="453"/>
      <c r="Z4" s="453"/>
      <c r="AA4" s="455"/>
      <c r="AB4" s="456" t="s">
        <v>12</v>
      </c>
      <c r="AC4" s="429" t="s">
        <v>13</v>
      </c>
      <c r="AD4" s="429" t="s">
        <v>14</v>
      </c>
      <c r="AE4" s="54"/>
    </row>
    <row r="5" spans="1:32" ht="51" customHeight="1" thickBot="1">
      <c r="A5" s="461"/>
      <c r="B5" s="463"/>
      <c r="C5" s="464"/>
      <c r="D5" s="466"/>
      <c r="E5" s="466"/>
      <c r="F5" s="466"/>
      <c r="G5" s="463"/>
      <c r="H5" s="469"/>
      <c r="I5" s="55" t="s">
        <v>15</v>
      </c>
      <c r="J5" s="56" t="s">
        <v>16</v>
      </c>
      <c r="K5" s="253" t="s">
        <v>17</v>
      </c>
      <c r="L5" s="253" t="s">
        <v>18</v>
      </c>
      <c r="M5" s="253" t="s">
        <v>19</v>
      </c>
      <c r="N5" s="25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57"/>
      <c r="AC5" s="430"/>
      <c r="AD5" s="43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0.38055555555555548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126</v>
      </c>
      <c r="D7" s="52" t="s">
        <v>127</v>
      </c>
      <c r="E7" s="53" t="s">
        <v>125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0.38055555555555548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126</v>
      </c>
      <c r="D8" s="52" t="s">
        <v>119</v>
      </c>
      <c r="E8" s="53" t="s">
        <v>379</v>
      </c>
      <c r="F8" s="30" t="s">
        <v>138</v>
      </c>
      <c r="G8" s="33">
        <v>1</v>
      </c>
      <c r="H8" s="35">
        <v>24</v>
      </c>
      <c r="I8" s="7">
        <v>2000</v>
      </c>
      <c r="J8" s="14">
        <v>3138</v>
      </c>
      <c r="K8" s="15">
        <f>L8+3138</f>
        <v>3138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0.38055555555555548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275</v>
      </c>
      <c r="E9" s="53" t="s">
        <v>319</v>
      </c>
      <c r="F9" s="30" t="s">
        <v>132</v>
      </c>
      <c r="G9" s="33">
        <v>4</v>
      </c>
      <c r="H9" s="35">
        <v>24</v>
      </c>
      <c r="I9" s="7">
        <v>50000</v>
      </c>
      <c r="J9" s="14">
        <v>17836</v>
      </c>
      <c r="K9" s="15">
        <f>L9+14524+30712+10416+14284</f>
        <v>87772</v>
      </c>
      <c r="L9" s="15">
        <f>3968*4+491*4</f>
        <v>17836</v>
      </c>
      <c r="M9" s="15">
        <f t="shared" si="1"/>
        <v>17836</v>
      </c>
      <c r="N9" s="15">
        <v>0</v>
      </c>
      <c r="O9" s="58">
        <f t="shared" si="2"/>
        <v>0</v>
      </c>
      <c r="P9" s="39">
        <f t="shared" si="3"/>
        <v>19</v>
      </c>
      <c r="Q9" s="40">
        <f t="shared" si="4"/>
        <v>5</v>
      </c>
      <c r="R9" s="7"/>
      <c r="S9" s="6">
        <v>5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0.79166666666666663</v>
      </c>
      <c r="AD9" s="10">
        <f t="shared" si="7"/>
        <v>0.79166666666666663</v>
      </c>
      <c r="AE9" s="36">
        <f t="shared" si="8"/>
        <v>0.38055555555555548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131</v>
      </c>
      <c r="D10" s="52" t="s">
        <v>150</v>
      </c>
      <c r="E10" s="53" t="s">
        <v>152</v>
      </c>
      <c r="F10" s="30" t="s">
        <v>121</v>
      </c>
      <c r="G10" s="33">
        <v>2</v>
      </c>
      <c r="H10" s="35">
        <v>24</v>
      </c>
      <c r="I10" s="7">
        <v>130000</v>
      </c>
      <c r="J10" s="5">
        <v>9396</v>
      </c>
      <c r="K10" s="15">
        <f>L10+13288+10116+14610+5976+7143+12482+1676+11964+11004+13758+11480+4868+7902+3480+4200+8468</f>
        <v>151811</v>
      </c>
      <c r="L10" s="15">
        <f>4119*2+579*2</f>
        <v>9396</v>
      </c>
      <c r="M10" s="15">
        <f t="shared" si="1"/>
        <v>9396</v>
      </c>
      <c r="N10" s="15">
        <v>0</v>
      </c>
      <c r="O10" s="58">
        <f t="shared" si="2"/>
        <v>0</v>
      </c>
      <c r="P10" s="39">
        <f t="shared" si="3"/>
        <v>18</v>
      </c>
      <c r="Q10" s="40">
        <f t="shared" si="4"/>
        <v>6</v>
      </c>
      <c r="R10" s="7"/>
      <c r="S10" s="6">
        <v>6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0.75</v>
      </c>
      <c r="AD10" s="10">
        <f>AC10*AB10*(1-O10)</f>
        <v>0.75</v>
      </c>
      <c r="AE10" s="36">
        <f t="shared" si="8"/>
        <v>0.38055555555555548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126</v>
      </c>
      <c r="D11" s="52" t="s">
        <v>202</v>
      </c>
      <c r="E11" s="53" t="s">
        <v>421</v>
      </c>
      <c r="F11" s="30" t="s">
        <v>138</v>
      </c>
      <c r="G11" s="33">
        <v>2</v>
      </c>
      <c r="H11" s="35">
        <v>24</v>
      </c>
      <c r="I11" s="7">
        <v>20000</v>
      </c>
      <c r="J11" s="5">
        <v>3986</v>
      </c>
      <c r="K11" s="15">
        <f>L11+4520+10494</f>
        <v>19000</v>
      </c>
      <c r="L11" s="15">
        <f>1993*2</f>
        <v>3986</v>
      </c>
      <c r="M11" s="15">
        <f t="shared" si="1"/>
        <v>3986</v>
      </c>
      <c r="N11" s="15">
        <v>0</v>
      </c>
      <c r="O11" s="58">
        <f t="shared" si="2"/>
        <v>0</v>
      </c>
      <c r="P11" s="39">
        <f t="shared" si="3"/>
        <v>10</v>
      </c>
      <c r="Q11" s="40">
        <f t="shared" si="4"/>
        <v>14</v>
      </c>
      <c r="R11" s="7"/>
      <c r="S11" s="6"/>
      <c r="T11" s="16"/>
      <c r="U11" s="16"/>
      <c r="V11" s="17"/>
      <c r="W11" s="5">
        <v>14</v>
      </c>
      <c r="X11" s="16"/>
      <c r="Y11" s="16"/>
      <c r="Z11" s="16"/>
      <c r="AA11" s="18"/>
      <c r="AB11" s="8">
        <f t="shared" si="5"/>
        <v>1</v>
      </c>
      <c r="AC11" s="9">
        <f t="shared" si="6"/>
        <v>0.41666666666666669</v>
      </c>
      <c r="AD11" s="10">
        <f>AC11*AB11*(1-O11)</f>
        <v>0.41666666666666669</v>
      </c>
      <c r="AE11" s="36">
        <f t="shared" si="8"/>
        <v>0.38055555555555548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126</v>
      </c>
      <c r="D12" s="52" t="s">
        <v>117</v>
      </c>
      <c r="E12" s="53" t="s">
        <v>422</v>
      </c>
      <c r="F12" s="30" t="s">
        <v>138</v>
      </c>
      <c r="G12" s="33">
        <v>1</v>
      </c>
      <c r="H12" s="35">
        <v>24</v>
      </c>
      <c r="I12" s="7">
        <v>20000</v>
      </c>
      <c r="J12" s="14">
        <v>6108</v>
      </c>
      <c r="K12" s="15">
        <f>L12+6201+6952</f>
        <v>19261</v>
      </c>
      <c r="L12" s="15">
        <f>1094*4+433*4</f>
        <v>6108</v>
      </c>
      <c r="M12" s="15">
        <f t="shared" si="1"/>
        <v>6108</v>
      </c>
      <c r="N12" s="15">
        <v>0</v>
      </c>
      <c r="O12" s="58">
        <f t="shared" si="2"/>
        <v>0</v>
      </c>
      <c r="P12" s="39">
        <f t="shared" si="3"/>
        <v>8</v>
      </c>
      <c r="Q12" s="40">
        <f t="shared" si="4"/>
        <v>16</v>
      </c>
      <c r="R12" s="7"/>
      <c r="S12" s="6">
        <v>16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0.33333333333333331</v>
      </c>
      <c r="AD12" s="10">
        <f t="shared" ref="AD12:AD14" si="10">AC12*AB12*(1-O12)</f>
        <v>0.33333333333333331</v>
      </c>
      <c r="AE12" s="36">
        <f t="shared" si="8"/>
        <v>0.38055555555555548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117</v>
      </c>
      <c r="E13" s="53" t="s">
        <v>143</v>
      </c>
      <c r="F13" s="30" t="s">
        <v>138</v>
      </c>
      <c r="G13" s="33">
        <v>4</v>
      </c>
      <c r="H13" s="35">
        <v>24</v>
      </c>
      <c r="I13" s="7">
        <v>850000</v>
      </c>
      <c r="J13" s="14">
        <v>11316</v>
      </c>
      <c r="K13" s="15">
        <f>L13+20676+20704+882+19912+11748+21560+18812+17048+21840+19920+21784+15116+10164+22344+20496+22064+21048</f>
        <v>317434</v>
      </c>
      <c r="L13" s="15">
        <f>2359*4+470*4</f>
        <v>11316</v>
      </c>
      <c r="M13" s="15">
        <f t="shared" si="1"/>
        <v>11316</v>
      </c>
      <c r="N13" s="15">
        <v>0</v>
      </c>
      <c r="O13" s="58">
        <f t="shared" si="2"/>
        <v>0</v>
      </c>
      <c r="P13" s="39">
        <f t="shared" si="3"/>
        <v>14</v>
      </c>
      <c r="Q13" s="40">
        <f t="shared" si="4"/>
        <v>10</v>
      </c>
      <c r="R13" s="7"/>
      <c r="S13" s="6">
        <v>10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0.58333333333333337</v>
      </c>
      <c r="AD13" s="10">
        <f t="shared" si="10"/>
        <v>0.58333333333333337</v>
      </c>
      <c r="AE13" s="36">
        <f t="shared" si="8"/>
        <v>0.38055555555555548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126</v>
      </c>
      <c r="D14" s="52" t="s">
        <v>454</v>
      </c>
      <c r="E14" s="53"/>
      <c r="F14" s="30" t="s">
        <v>138</v>
      </c>
      <c r="G14" s="33" t="s">
        <v>157</v>
      </c>
      <c r="H14" s="35">
        <v>24</v>
      </c>
      <c r="I14" s="7">
        <v>1050</v>
      </c>
      <c r="J14" s="5">
        <v>1474</v>
      </c>
      <c r="K14" s="15">
        <f>L14</f>
        <v>1474</v>
      </c>
      <c r="L14" s="15">
        <f>737*2</f>
        <v>1474</v>
      </c>
      <c r="M14" s="15">
        <f t="shared" si="1"/>
        <v>1474</v>
      </c>
      <c r="N14" s="15">
        <v>0</v>
      </c>
      <c r="O14" s="58">
        <f t="shared" si="2"/>
        <v>0</v>
      </c>
      <c r="P14" s="39">
        <f t="shared" si="3"/>
        <v>10</v>
      </c>
      <c r="Q14" s="40">
        <f t="shared" si="4"/>
        <v>14</v>
      </c>
      <c r="R14" s="7"/>
      <c r="S14" s="6"/>
      <c r="T14" s="16"/>
      <c r="U14" s="16"/>
      <c r="V14" s="17"/>
      <c r="W14" s="5">
        <v>14</v>
      </c>
      <c r="X14" s="16"/>
      <c r="Y14" s="16"/>
      <c r="Z14" s="16"/>
      <c r="AA14" s="18"/>
      <c r="AB14" s="8">
        <f t="shared" si="5"/>
        <v>1</v>
      </c>
      <c r="AC14" s="9">
        <f t="shared" si="6"/>
        <v>0.41666666666666669</v>
      </c>
      <c r="AD14" s="10">
        <f t="shared" si="10"/>
        <v>0.41666666666666669</v>
      </c>
      <c r="AE14" s="36">
        <f t="shared" si="8"/>
        <v>0.38055555555555548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300</v>
      </c>
      <c r="D15" s="52" t="s">
        <v>438</v>
      </c>
      <c r="E15" s="53" t="s">
        <v>370</v>
      </c>
      <c r="F15" s="12" t="s">
        <v>321</v>
      </c>
      <c r="G15" s="12">
        <v>4</v>
      </c>
      <c r="H15" s="13">
        <v>24</v>
      </c>
      <c r="I15" s="31">
        <v>20000</v>
      </c>
      <c r="J15" s="14">
        <v>13236</v>
      </c>
      <c r="K15" s="15">
        <f>L15+21256+21596</f>
        <v>56088</v>
      </c>
      <c r="L15" s="15">
        <f>2252*4+1057*4</f>
        <v>13236</v>
      </c>
      <c r="M15" s="15">
        <f t="shared" si="1"/>
        <v>13236</v>
      </c>
      <c r="N15" s="15">
        <v>0</v>
      </c>
      <c r="O15" s="58">
        <f t="shared" si="2"/>
        <v>0</v>
      </c>
      <c r="P15" s="39">
        <f t="shared" si="3"/>
        <v>18</v>
      </c>
      <c r="Q15" s="40">
        <f t="shared" si="4"/>
        <v>6</v>
      </c>
      <c r="R15" s="7"/>
      <c r="S15" s="6">
        <v>6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0.75</v>
      </c>
      <c r="AD15" s="10">
        <f t="shared" si="7"/>
        <v>0.75</v>
      </c>
      <c r="AE15" s="36">
        <f t="shared" si="8"/>
        <v>0.38055555555555548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146</v>
      </c>
      <c r="E16" s="53" t="s">
        <v>333</v>
      </c>
      <c r="F16" s="30" t="s">
        <v>140</v>
      </c>
      <c r="G16" s="12">
        <v>2</v>
      </c>
      <c r="H16" s="13">
        <v>28</v>
      </c>
      <c r="I16" s="7">
        <v>2000</v>
      </c>
      <c r="J16" s="14">
        <v>2182</v>
      </c>
      <c r="K16" s="15">
        <f>L16+2182</f>
        <v>2182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0.38055555555555548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123</v>
      </c>
      <c r="D17" s="52" t="s">
        <v>456</v>
      </c>
      <c r="E17" s="53" t="s">
        <v>463</v>
      </c>
      <c r="F17" s="30" t="s">
        <v>396</v>
      </c>
      <c r="G17" s="33">
        <v>1</v>
      </c>
      <c r="H17" s="35">
        <v>24</v>
      </c>
      <c r="I17" s="7">
        <v>1200</v>
      </c>
      <c r="J17" s="5">
        <v>1309</v>
      </c>
      <c r="K17" s="15">
        <f>L17</f>
        <v>1309</v>
      </c>
      <c r="L17" s="15">
        <v>1309</v>
      </c>
      <c r="M17" s="15">
        <f t="shared" si="1"/>
        <v>1309</v>
      </c>
      <c r="N17" s="15">
        <v>0</v>
      </c>
      <c r="O17" s="58">
        <f t="shared" si="2"/>
        <v>0</v>
      </c>
      <c r="P17" s="39">
        <f t="shared" si="3"/>
        <v>8</v>
      </c>
      <c r="Q17" s="40">
        <f t="shared" si="4"/>
        <v>16</v>
      </c>
      <c r="R17" s="7"/>
      <c r="S17" s="6"/>
      <c r="T17" s="16"/>
      <c r="U17" s="16"/>
      <c r="V17" s="17"/>
      <c r="W17" s="5">
        <v>16</v>
      </c>
      <c r="X17" s="16"/>
      <c r="Y17" s="16"/>
      <c r="Z17" s="16"/>
      <c r="AA17" s="18"/>
      <c r="AB17" s="8">
        <f t="shared" si="5"/>
        <v>1</v>
      </c>
      <c r="AC17" s="9">
        <f t="shared" si="6"/>
        <v>0.33333333333333331</v>
      </c>
      <c r="AD17" s="10">
        <f t="shared" si="7"/>
        <v>0.33333333333333331</v>
      </c>
      <c r="AE17" s="36">
        <f t="shared" si="8"/>
        <v>0.38055555555555548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126</v>
      </c>
      <c r="D18" s="52" t="s">
        <v>341</v>
      </c>
      <c r="E18" s="53" t="s">
        <v>445</v>
      </c>
      <c r="F18" s="30" t="s">
        <v>265</v>
      </c>
      <c r="G18" s="33">
        <v>1</v>
      </c>
      <c r="H18" s="35">
        <v>24</v>
      </c>
      <c r="I18" s="7">
        <v>3500</v>
      </c>
      <c r="J18" s="5">
        <v>449</v>
      </c>
      <c r="K18" s="15">
        <f>L18+3382</f>
        <v>3831</v>
      </c>
      <c r="L18" s="15">
        <v>449</v>
      </c>
      <c r="M18" s="15">
        <f t="shared" ref="M18" si="11">L18-N18</f>
        <v>449</v>
      </c>
      <c r="N18" s="15">
        <v>0</v>
      </c>
      <c r="O18" s="58">
        <f t="shared" ref="O18" si="12">IF(L18=0,"0",N18/L18)</f>
        <v>0</v>
      </c>
      <c r="P18" s="39">
        <f t="shared" ref="P18" si="13">IF(L18=0,"0",(24-Q18))</f>
        <v>3</v>
      </c>
      <c r="Q18" s="40">
        <f t="shared" ref="Q18" si="14">SUM(R18:AA18)</f>
        <v>21</v>
      </c>
      <c r="R18" s="7"/>
      <c r="S18" s="6"/>
      <c r="T18" s="16"/>
      <c r="U18" s="16"/>
      <c r="V18" s="17"/>
      <c r="W18" s="5">
        <v>21</v>
      </c>
      <c r="X18" s="16"/>
      <c r="Y18" s="16"/>
      <c r="Z18" s="16"/>
      <c r="AA18" s="18"/>
      <c r="AB18" s="8">
        <f t="shared" ref="AB18" si="15">IF(J18=0,"0",(L18/J18))</f>
        <v>1</v>
      </c>
      <c r="AC18" s="9">
        <f t="shared" ref="AC18" si="16">IF(P18=0,"0",(P18/24))</f>
        <v>0.125</v>
      </c>
      <c r="AD18" s="10">
        <f>AC18*AB18*(1-O18)</f>
        <v>0.125</v>
      </c>
      <c r="AE18" s="36">
        <f t="shared" si="8"/>
        <v>0.38055555555555548</v>
      </c>
      <c r="AF18" s="87">
        <f t="shared" ref="AF18" si="17">A18</f>
        <v>13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163</v>
      </c>
      <c r="E19" s="53" t="s">
        <v>225</v>
      </c>
      <c r="F19" s="30" t="s">
        <v>397</v>
      </c>
      <c r="G19" s="33">
        <v>1</v>
      </c>
      <c r="H19" s="35">
        <v>24</v>
      </c>
      <c r="I19" s="7">
        <v>1200</v>
      </c>
      <c r="J19" s="5">
        <v>1347</v>
      </c>
      <c r="K19" s="15">
        <f>L19</f>
        <v>1347</v>
      </c>
      <c r="L19" s="15">
        <v>1347</v>
      </c>
      <c r="M19" s="15">
        <f t="shared" si="1"/>
        <v>1347</v>
      </c>
      <c r="N19" s="15">
        <v>0</v>
      </c>
      <c r="O19" s="58">
        <f t="shared" si="2"/>
        <v>0</v>
      </c>
      <c r="P19" s="39">
        <f t="shared" si="3"/>
        <v>9</v>
      </c>
      <c r="Q19" s="40">
        <f t="shared" si="4"/>
        <v>15</v>
      </c>
      <c r="R19" s="7"/>
      <c r="S19" s="6"/>
      <c r="T19" s="16"/>
      <c r="U19" s="16"/>
      <c r="V19" s="17"/>
      <c r="W19" s="5">
        <v>15</v>
      </c>
      <c r="X19" s="16"/>
      <c r="Y19" s="16"/>
      <c r="Z19" s="16"/>
      <c r="AA19" s="18"/>
      <c r="AB19" s="8">
        <f t="shared" si="5"/>
        <v>1</v>
      </c>
      <c r="AC19" s="9">
        <f t="shared" si="6"/>
        <v>0.375</v>
      </c>
      <c r="AD19" s="10">
        <f>AC19*AB19*(1-O19)</f>
        <v>0.375</v>
      </c>
      <c r="AE19" s="36">
        <f t="shared" si="8"/>
        <v>0.38055555555555548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126</v>
      </c>
      <c r="D20" s="52" t="s">
        <v>202</v>
      </c>
      <c r="E20" s="53" t="s">
        <v>205</v>
      </c>
      <c r="F20" s="30" t="s">
        <v>138</v>
      </c>
      <c r="G20" s="33">
        <v>4</v>
      </c>
      <c r="H20" s="35">
        <v>24</v>
      </c>
      <c r="I20" s="7">
        <v>800000</v>
      </c>
      <c r="J20" s="14">
        <v>15216</v>
      </c>
      <c r="K20" s="15">
        <f>L20+12980+20160+21332+21348+21424+21388+19544+8924+20020+20460+20164</f>
        <v>222960</v>
      </c>
      <c r="L20" s="15">
        <f>1137*4+2667*4</f>
        <v>15216</v>
      </c>
      <c r="M20" s="15">
        <f t="shared" si="1"/>
        <v>15216</v>
      </c>
      <c r="N20" s="15">
        <v>0</v>
      </c>
      <c r="O20" s="58">
        <f t="shared" si="2"/>
        <v>0</v>
      </c>
      <c r="P20" s="39">
        <f t="shared" si="3"/>
        <v>20</v>
      </c>
      <c r="Q20" s="40">
        <f t="shared" si="4"/>
        <v>4</v>
      </c>
      <c r="R20" s="7"/>
      <c r="S20" s="6">
        <v>4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0.83333333333333337</v>
      </c>
      <c r="AD20" s="10">
        <f t="shared" ref="AD20" si="18">AC20*AB20*(1-O20)</f>
        <v>0.83333333333333337</v>
      </c>
      <c r="AE20" s="36">
        <f t="shared" si="8"/>
        <v>0.38055555555555548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144</v>
      </c>
      <c r="F21" s="12" t="s">
        <v>116</v>
      </c>
      <c r="G21" s="12">
        <v>3</v>
      </c>
      <c r="H21" s="35">
        <v>20</v>
      </c>
      <c r="I21" s="7">
        <v>200000</v>
      </c>
      <c r="J21" s="14">
        <v>34300</v>
      </c>
      <c r="K21" s="15">
        <f>L21+22050+34300</f>
        <v>56350</v>
      </c>
      <c r="L21" s="15"/>
      <c r="M21" s="15">
        <f t="shared" si="1"/>
        <v>0</v>
      </c>
      <c r="N21" s="15">
        <v>0</v>
      </c>
      <c r="O21" s="58" t="str">
        <f t="shared" si="2"/>
        <v>0</v>
      </c>
      <c r="P21" s="39" t="str">
        <f t="shared" si="3"/>
        <v>0</v>
      </c>
      <c r="Q21" s="40">
        <f t="shared" si="4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5"/>
        <v>0</v>
      </c>
      <c r="AC21" s="9">
        <f t="shared" si="6"/>
        <v>0</v>
      </c>
      <c r="AD21" s="10">
        <f t="shared" si="7"/>
        <v>0</v>
      </c>
      <c r="AE21" s="36">
        <f t="shared" si="8"/>
        <v>0.38055555555555548</v>
      </c>
      <c r="AF21" s="87">
        <f t="shared" si="9"/>
        <v>15</v>
      </c>
    </row>
    <row r="22" spans="1:32" ht="31.5" customHeight="1" thickBot="1">
      <c r="A22" s="431" t="s">
        <v>34</v>
      </c>
      <c r="B22" s="432"/>
      <c r="C22" s="432"/>
      <c r="D22" s="432"/>
      <c r="E22" s="432"/>
      <c r="F22" s="432"/>
      <c r="G22" s="432"/>
      <c r="H22" s="433"/>
      <c r="I22" s="22">
        <f t="shared" ref="I22:N22" si="19">SUM(I6:I21)</f>
        <v>2121950</v>
      </c>
      <c r="J22" s="19">
        <f t="shared" si="19"/>
        <v>123354</v>
      </c>
      <c r="K22" s="20">
        <f t="shared" si="19"/>
        <v>955505</v>
      </c>
      <c r="L22" s="21">
        <f t="shared" si="19"/>
        <v>81673</v>
      </c>
      <c r="M22" s="20">
        <f t="shared" si="19"/>
        <v>81673</v>
      </c>
      <c r="N22" s="21">
        <f t="shared" si="19"/>
        <v>0</v>
      </c>
      <c r="O22" s="41">
        <f t="shared" si="2"/>
        <v>0</v>
      </c>
      <c r="P22" s="42">
        <f t="shared" ref="P22:AA22" si="20">SUM(P6:P21)</f>
        <v>137</v>
      </c>
      <c r="Q22" s="43">
        <f t="shared" si="20"/>
        <v>247</v>
      </c>
      <c r="R22" s="23">
        <f t="shared" si="20"/>
        <v>24</v>
      </c>
      <c r="S22" s="24">
        <f t="shared" si="20"/>
        <v>47</v>
      </c>
      <c r="T22" s="24">
        <f t="shared" si="20"/>
        <v>0</v>
      </c>
      <c r="U22" s="24">
        <f t="shared" si="20"/>
        <v>0</v>
      </c>
      <c r="V22" s="25">
        <f t="shared" si="20"/>
        <v>24</v>
      </c>
      <c r="W22" s="26">
        <f t="shared" si="20"/>
        <v>152</v>
      </c>
      <c r="X22" s="27">
        <f t="shared" si="20"/>
        <v>0</v>
      </c>
      <c r="Y22" s="27">
        <f t="shared" si="20"/>
        <v>0</v>
      </c>
      <c r="Z22" s="27">
        <f t="shared" si="20"/>
        <v>0</v>
      </c>
      <c r="AA22" s="27">
        <f t="shared" si="20"/>
        <v>0</v>
      </c>
      <c r="AB22" s="28">
        <f>SUM(AB6:AB21)/15</f>
        <v>0.73333333333333328</v>
      </c>
      <c r="AC22" s="4">
        <f>SUM(AC6:AC21)/15</f>
        <v>0.38055555555555548</v>
      </c>
      <c r="AD22" s="4">
        <f>SUM(AD6:AD21)/15</f>
        <v>0.38055555555555548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34" t="s">
        <v>45</v>
      </c>
      <c r="B49" s="434"/>
      <c r="C49" s="434"/>
      <c r="D49" s="434"/>
      <c r="E49" s="434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35" t="s">
        <v>464</v>
      </c>
      <c r="B50" s="436"/>
      <c r="C50" s="436"/>
      <c r="D50" s="436"/>
      <c r="E50" s="436"/>
      <c r="F50" s="436"/>
      <c r="G50" s="436"/>
      <c r="H50" s="436"/>
      <c r="I50" s="436"/>
      <c r="J50" s="436"/>
      <c r="K50" s="436"/>
      <c r="L50" s="436"/>
      <c r="M50" s="437"/>
      <c r="N50" s="438" t="s">
        <v>478</v>
      </c>
      <c r="O50" s="439"/>
      <c r="P50" s="439"/>
      <c r="Q50" s="439"/>
      <c r="R50" s="439"/>
      <c r="S50" s="439"/>
      <c r="T50" s="439"/>
      <c r="U50" s="439"/>
      <c r="V50" s="439"/>
      <c r="W50" s="439"/>
      <c r="X50" s="439"/>
      <c r="Y50" s="439"/>
      <c r="Z50" s="439"/>
      <c r="AA50" s="439"/>
      <c r="AB50" s="439"/>
      <c r="AC50" s="439"/>
      <c r="AD50" s="440"/>
    </row>
    <row r="51" spans="1:32" ht="27" customHeight="1">
      <c r="A51" s="441" t="s">
        <v>2</v>
      </c>
      <c r="B51" s="442"/>
      <c r="C51" s="254" t="s">
        <v>46</v>
      </c>
      <c r="D51" s="254" t="s">
        <v>47</v>
      </c>
      <c r="E51" s="254" t="s">
        <v>108</v>
      </c>
      <c r="F51" s="442" t="s">
        <v>107</v>
      </c>
      <c r="G51" s="442"/>
      <c r="H51" s="442"/>
      <c r="I51" s="442"/>
      <c r="J51" s="442"/>
      <c r="K51" s="442"/>
      <c r="L51" s="442"/>
      <c r="M51" s="443"/>
      <c r="N51" s="67" t="s">
        <v>112</v>
      </c>
      <c r="O51" s="254" t="s">
        <v>46</v>
      </c>
      <c r="P51" s="444" t="s">
        <v>47</v>
      </c>
      <c r="Q51" s="445"/>
      <c r="R51" s="444" t="s">
        <v>38</v>
      </c>
      <c r="S51" s="446"/>
      <c r="T51" s="446"/>
      <c r="U51" s="445"/>
      <c r="V51" s="444" t="s">
        <v>48</v>
      </c>
      <c r="W51" s="446"/>
      <c r="X51" s="446"/>
      <c r="Y51" s="446"/>
      <c r="Z51" s="446"/>
      <c r="AA51" s="446"/>
      <c r="AB51" s="446"/>
      <c r="AC51" s="446"/>
      <c r="AD51" s="447"/>
    </row>
    <row r="52" spans="1:32" ht="27" customHeight="1">
      <c r="A52" s="412" t="s">
        <v>131</v>
      </c>
      <c r="B52" s="413"/>
      <c r="C52" s="256" t="s">
        <v>139</v>
      </c>
      <c r="D52" s="256"/>
      <c r="E52" s="256" t="s">
        <v>152</v>
      </c>
      <c r="F52" s="414" t="s">
        <v>465</v>
      </c>
      <c r="G52" s="415"/>
      <c r="H52" s="415"/>
      <c r="I52" s="415"/>
      <c r="J52" s="415"/>
      <c r="K52" s="415"/>
      <c r="L52" s="415"/>
      <c r="M52" s="416"/>
      <c r="N52" s="255" t="s">
        <v>126</v>
      </c>
      <c r="O52" s="261" t="s">
        <v>136</v>
      </c>
      <c r="P52" s="426" t="s">
        <v>117</v>
      </c>
      <c r="Q52" s="427"/>
      <c r="R52" s="426" t="s">
        <v>422</v>
      </c>
      <c r="S52" s="428"/>
      <c r="T52" s="428"/>
      <c r="U52" s="427"/>
      <c r="V52" s="396" t="s">
        <v>137</v>
      </c>
      <c r="W52" s="396"/>
      <c r="X52" s="396"/>
      <c r="Y52" s="396"/>
      <c r="Z52" s="396"/>
      <c r="AA52" s="396"/>
      <c r="AB52" s="396"/>
      <c r="AC52" s="396"/>
      <c r="AD52" s="417"/>
    </row>
    <row r="53" spans="1:32" ht="27" customHeight="1">
      <c r="A53" s="412" t="s">
        <v>126</v>
      </c>
      <c r="B53" s="413"/>
      <c r="C53" s="256" t="s">
        <v>136</v>
      </c>
      <c r="D53" s="256" t="s">
        <v>117</v>
      </c>
      <c r="E53" s="256" t="s">
        <v>422</v>
      </c>
      <c r="F53" s="414" t="s">
        <v>209</v>
      </c>
      <c r="G53" s="415"/>
      <c r="H53" s="415"/>
      <c r="I53" s="415"/>
      <c r="J53" s="415"/>
      <c r="K53" s="415"/>
      <c r="L53" s="415"/>
      <c r="M53" s="416"/>
      <c r="N53" s="255" t="s">
        <v>482</v>
      </c>
      <c r="O53" s="261" t="s">
        <v>483</v>
      </c>
      <c r="P53" s="426" t="s">
        <v>117</v>
      </c>
      <c r="Q53" s="427"/>
      <c r="R53" s="426" t="s">
        <v>481</v>
      </c>
      <c r="S53" s="428"/>
      <c r="T53" s="428"/>
      <c r="U53" s="427"/>
      <c r="V53" s="396" t="s">
        <v>137</v>
      </c>
      <c r="W53" s="396"/>
      <c r="X53" s="396"/>
      <c r="Y53" s="396"/>
      <c r="Z53" s="396"/>
      <c r="AA53" s="396"/>
      <c r="AB53" s="396"/>
      <c r="AC53" s="396"/>
      <c r="AD53" s="417"/>
    </row>
    <row r="54" spans="1:32" ht="27" customHeight="1">
      <c r="A54" s="412" t="s">
        <v>126</v>
      </c>
      <c r="B54" s="413"/>
      <c r="C54" s="256" t="s">
        <v>129</v>
      </c>
      <c r="D54" s="256" t="s">
        <v>275</v>
      </c>
      <c r="E54" s="256" t="s">
        <v>319</v>
      </c>
      <c r="F54" s="414" t="s">
        <v>338</v>
      </c>
      <c r="G54" s="415"/>
      <c r="H54" s="415"/>
      <c r="I54" s="415"/>
      <c r="J54" s="415"/>
      <c r="K54" s="415"/>
      <c r="L54" s="415"/>
      <c r="M54" s="416"/>
      <c r="N54" s="255"/>
      <c r="O54" s="261"/>
      <c r="P54" s="426"/>
      <c r="Q54" s="427"/>
      <c r="R54" s="426"/>
      <c r="S54" s="428"/>
      <c r="T54" s="428"/>
      <c r="U54" s="427"/>
      <c r="V54" s="396"/>
      <c r="W54" s="396"/>
      <c r="X54" s="396"/>
      <c r="Y54" s="396"/>
      <c r="Z54" s="396"/>
      <c r="AA54" s="396"/>
      <c r="AB54" s="396"/>
      <c r="AC54" s="396"/>
      <c r="AD54" s="417"/>
    </row>
    <row r="55" spans="1:32" ht="27" customHeight="1">
      <c r="A55" s="412" t="s">
        <v>126</v>
      </c>
      <c r="B55" s="413"/>
      <c r="C55" s="256" t="s">
        <v>466</v>
      </c>
      <c r="D55" s="256" t="s">
        <v>117</v>
      </c>
      <c r="E55" s="256" t="s">
        <v>467</v>
      </c>
      <c r="F55" s="414" t="s">
        <v>468</v>
      </c>
      <c r="G55" s="415"/>
      <c r="H55" s="415"/>
      <c r="I55" s="415"/>
      <c r="J55" s="415"/>
      <c r="K55" s="415"/>
      <c r="L55" s="415"/>
      <c r="M55" s="416"/>
      <c r="N55" s="255"/>
      <c r="O55" s="261"/>
      <c r="P55" s="426"/>
      <c r="Q55" s="427"/>
      <c r="R55" s="426"/>
      <c r="S55" s="428"/>
      <c r="T55" s="428"/>
      <c r="U55" s="427"/>
      <c r="V55" s="396"/>
      <c r="W55" s="396"/>
      <c r="X55" s="396"/>
      <c r="Y55" s="396"/>
      <c r="Z55" s="396"/>
      <c r="AA55" s="396"/>
      <c r="AB55" s="396"/>
      <c r="AC55" s="396"/>
      <c r="AD55" s="417"/>
    </row>
    <row r="56" spans="1:32" ht="27" customHeight="1">
      <c r="A56" s="412" t="s">
        <v>126</v>
      </c>
      <c r="B56" s="413"/>
      <c r="C56" s="256" t="s">
        <v>469</v>
      </c>
      <c r="D56" s="256" t="s">
        <v>470</v>
      </c>
      <c r="E56" s="267" t="s">
        <v>471</v>
      </c>
      <c r="F56" s="414" t="s">
        <v>472</v>
      </c>
      <c r="G56" s="415"/>
      <c r="H56" s="415"/>
      <c r="I56" s="415"/>
      <c r="J56" s="415"/>
      <c r="K56" s="415"/>
      <c r="L56" s="415"/>
      <c r="M56" s="416"/>
      <c r="N56" s="255"/>
      <c r="O56" s="261"/>
      <c r="P56" s="426"/>
      <c r="Q56" s="427"/>
      <c r="R56" s="426"/>
      <c r="S56" s="428"/>
      <c r="T56" s="428"/>
      <c r="U56" s="427"/>
      <c r="V56" s="396"/>
      <c r="W56" s="396"/>
      <c r="X56" s="396"/>
      <c r="Y56" s="396"/>
      <c r="Z56" s="396"/>
      <c r="AA56" s="396"/>
      <c r="AB56" s="396"/>
      <c r="AC56" s="396"/>
      <c r="AD56" s="417"/>
    </row>
    <row r="57" spans="1:32" ht="27" customHeight="1">
      <c r="A57" s="412" t="s">
        <v>475</v>
      </c>
      <c r="B57" s="413"/>
      <c r="C57" s="256" t="s">
        <v>476</v>
      </c>
      <c r="D57" s="256" t="s">
        <v>477</v>
      </c>
      <c r="E57" s="256" t="s">
        <v>473</v>
      </c>
      <c r="F57" s="414" t="s">
        <v>474</v>
      </c>
      <c r="G57" s="415"/>
      <c r="H57" s="415"/>
      <c r="I57" s="415"/>
      <c r="J57" s="415"/>
      <c r="K57" s="415"/>
      <c r="L57" s="415"/>
      <c r="M57" s="416"/>
      <c r="N57" s="255"/>
      <c r="O57" s="261"/>
      <c r="P57" s="426"/>
      <c r="Q57" s="427"/>
      <c r="R57" s="426"/>
      <c r="S57" s="428"/>
      <c r="T57" s="428"/>
      <c r="U57" s="427"/>
      <c r="V57" s="396"/>
      <c r="W57" s="396"/>
      <c r="X57" s="396"/>
      <c r="Y57" s="396"/>
      <c r="Z57" s="396"/>
      <c r="AA57" s="396"/>
      <c r="AB57" s="396"/>
      <c r="AC57" s="396"/>
      <c r="AD57" s="417"/>
    </row>
    <row r="58" spans="1:32" ht="27" customHeight="1">
      <c r="A58" s="412" t="s">
        <v>126</v>
      </c>
      <c r="B58" s="413"/>
      <c r="C58" s="256" t="s">
        <v>480</v>
      </c>
      <c r="D58" s="256"/>
      <c r="E58" s="256" t="s">
        <v>479</v>
      </c>
      <c r="F58" s="414" t="s">
        <v>474</v>
      </c>
      <c r="G58" s="415"/>
      <c r="H58" s="415"/>
      <c r="I58" s="415"/>
      <c r="J58" s="415"/>
      <c r="K58" s="415"/>
      <c r="L58" s="415"/>
      <c r="M58" s="416"/>
      <c r="N58" s="255"/>
      <c r="O58" s="261"/>
      <c r="P58" s="426"/>
      <c r="Q58" s="427"/>
      <c r="R58" s="413"/>
      <c r="S58" s="413"/>
      <c r="T58" s="413"/>
      <c r="U58" s="413"/>
      <c r="V58" s="396"/>
      <c r="W58" s="396"/>
      <c r="X58" s="396"/>
      <c r="Y58" s="396"/>
      <c r="Z58" s="396"/>
      <c r="AA58" s="396"/>
      <c r="AB58" s="396"/>
      <c r="AC58" s="396"/>
      <c r="AD58" s="417"/>
    </row>
    <row r="59" spans="1:32" ht="27" customHeight="1">
      <c r="A59" s="412"/>
      <c r="B59" s="413"/>
      <c r="C59" s="256"/>
      <c r="D59" s="256"/>
      <c r="E59" s="256"/>
      <c r="F59" s="414"/>
      <c r="G59" s="415"/>
      <c r="H59" s="415"/>
      <c r="I59" s="415"/>
      <c r="J59" s="415"/>
      <c r="K59" s="415"/>
      <c r="L59" s="415"/>
      <c r="M59" s="416"/>
      <c r="N59" s="255"/>
      <c r="O59" s="261"/>
      <c r="P59" s="426"/>
      <c r="Q59" s="427"/>
      <c r="R59" s="413"/>
      <c r="S59" s="413"/>
      <c r="T59" s="413"/>
      <c r="U59" s="413"/>
      <c r="V59" s="396"/>
      <c r="W59" s="396"/>
      <c r="X59" s="396"/>
      <c r="Y59" s="396"/>
      <c r="Z59" s="396"/>
      <c r="AA59" s="396"/>
      <c r="AB59" s="396"/>
      <c r="AC59" s="396"/>
      <c r="AD59" s="417"/>
    </row>
    <row r="60" spans="1:32" ht="27" customHeight="1">
      <c r="A60" s="412"/>
      <c r="B60" s="413"/>
      <c r="C60" s="256"/>
      <c r="D60" s="256"/>
      <c r="E60" s="256"/>
      <c r="F60" s="414"/>
      <c r="G60" s="415"/>
      <c r="H60" s="415"/>
      <c r="I60" s="415"/>
      <c r="J60" s="415"/>
      <c r="K60" s="415"/>
      <c r="L60" s="415"/>
      <c r="M60" s="416"/>
      <c r="N60" s="255"/>
      <c r="O60" s="261"/>
      <c r="P60" s="413"/>
      <c r="Q60" s="413"/>
      <c r="R60" s="413"/>
      <c r="S60" s="413"/>
      <c r="T60" s="413"/>
      <c r="U60" s="413"/>
      <c r="V60" s="396"/>
      <c r="W60" s="396"/>
      <c r="X60" s="396"/>
      <c r="Y60" s="396"/>
      <c r="Z60" s="396"/>
      <c r="AA60" s="396"/>
      <c r="AB60" s="396"/>
      <c r="AC60" s="396"/>
      <c r="AD60" s="417"/>
      <c r="AF60" s="87">
        <f>8*3000</f>
        <v>24000</v>
      </c>
    </row>
    <row r="61" spans="1:32" ht="27" customHeight="1" thickBot="1">
      <c r="A61" s="418"/>
      <c r="B61" s="419"/>
      <c r="C61" s="257"/>
      <c r="D61" s="258"/>
      <c r="E61" s="258"/>
      <c r="F61" s="420"/>
      <c r="G61" s="421"/>
      <c r="H61" s="421"/>
      <c r="I61" s="421"/>
      <c r="J61" s="421"/>
      <c r="K61" s="421"/>
      <c r="L61" s="421"/>
      <c r="M61" s="422"/>
      <c r="N61" s="124"/>
      <c r="O61" s="114"/>
      <c r="P61" s="423"/>
      <c r="Q61" s="423"/>
      <c r="R61" s="423"/>
      <c r="S61" s="423"/>
      <c r="T61" s="423"/>
      <c r="U61" s="423"/>
      <c r="V61" s="424"/>
      <c r="W61" s="424"/>
      <c r="X61" s="424"/>
      <c r="Y61" s="424"/>
      <c r="Z61" s="424"/>
      <c r="AA61" s="424"/>
      <c r="AB61" s="424"/>
      <c r="AC61" s="424"/>
      <c r="AD61" s="425"/>
      <c r="AF61" s="87">
        <f>16*3000</f>
        <v>48000</v>
      </c>
    </row>
    <row r="62" spans="1:32" ht="27.75" thickBot="1">
      <c r="A62" s="410" t="s">
        <v>484</v>
      </c>
      <c r="B62" s="410"/>
      <c r="C62" s="410"/>
      <c r="D62" s="410"/>
      <c r="E62" s="41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11" t="s">
        <v>113</v>
      </c>
      <c r="B63" s="406"/>
      <c r="C63" s="259" t="s">
        <v>2</v>
      </c>
      <c r="D63" s="259" t="s">
        <v>37</v>
      </c>
      <c r="E63" s="259" t="s">
        <v>3</v>
      </c>
      <c r="F63" s="406" t="s">
        <v>110</v>
      </c>
      <c r="G63" s="406"/>
      <c r="H63" s="406"/>
      <c r="I63" s="406"/>
      <c r="J63" s="406"/>
      <c r="K63" s="406" t="s">
        <v>39</v>
      </c>
      <c r="L63" s="406"/>
      <c r="M63" s="259" t="s">
        <v>40</v>
      </c>
      <c r="N63" s="406" t="s">
        <v>41</v>
      </c>
      <c r="O63" s="406"/>
      <c r="P63" s="403" t="s">
        <v>42</v>
      </c>
      <c r="Q63" s="405"/>
      <c r="R63" s="403" t="s">
        <v>43</v>
      </c>
      <c r="S63" s="404"/>
      <c r="T63" s="404"/>
      <c r="U63" s="404"/>
      <c r="V63" s="404"/>
      <c r="W63" s="404"/>
      <c r="X63" s="404"/>
      <c r="Y63" s="404"/>
      <c r="Z63" s="404"/>
      <c r="AA63" s="405"/>
      <c r="AB63" s="406" t="s">
        <v>44</v>
      </c>
      <c r="AC63" s="406"/>
      <c r="AD63" s="407"/>
      <c r="AF63" s="87">
        <f>SUM(AF60:AF62)</f>
        <v>96000</v>
      </c>
    </row>
    <row r="64" spans="1:32" ht="25.5" customHeight="1">
      <c r="A64" s="389">
        <v>1</v>
      </c>
      <c r="B64" s="390"/>
      <c r="C64" s="117" t="s">
        <v>114</v>
      </c>
      <c r="D64" s="265"/>
      <c r="E64" s="266" t="s">
        <v>457</v>
      </c>
      <c r="F64" s="391" t="s">
        <v>459</v>
      </c>
      <c r="G64" s="383"/>
      <c r="H64" s="383"/>
      <c r="I64" s="383"/>
      <c r="J64" s="383"/>
      <c r="K64" s="383" t="s">
        <v>322</v>
      </c>
      <c r="L64" s="383"/>
      <c r="M64" s="51" t="s">
        <v>222</v>
      </c>
      <c r="N64" s="401" t="s">
        <v>237</v>
      </c>
      <c r="O64" s="401"/>
      <c r="P64" s="402">
        <v>150</v>
      </c>
      <c r="Q64" s="402"/>
      <c r="R64" s="396"/>
      <c r="S64" s="396"/>
      <c r="T64" s="396"/>
      <c r="U64" s="396"/>
      <c r="V64" s="396"/>
      <c r="W64" s="396"/>
      <c r="X64" s="396"/>
      <c r="Y64" s="396"/>
      <c r="Z64" s="396"/>
      <c r="AA64" s="396"/>
      <c r="AB64" s="400"/>
      <c r="AC64" s="408"/>
      <c r="AD64" s="409"/>
      <c r="AF64" s="50"/>
    </row>
    <row r="65" spans="1:32" ht="25.5" customHeight="1">
      <c r="A65" s="389">
        <v>2</v>
      </c>
      <c r="B65" s="390"/>
      <c r="C65" s="117"/>
      <c r="D65" s="263"/>
      <c r="E65" s="260"/>
      <c r="F65" s="391"/>
      <c r="G65" s="383"/>
      <c r="H65" s="383"/>
      <c r="I65" s="383"/>
      <c r="J65" s="383"/>
      <c r="K65" s="383"/>
      <c r="L65" s="383"/>
      <c r="M65" s="51"/>
      <c r="N65" s="401"/>
      <c r="O65" s="401"/>
      <c r="P65" s="402"/>
      <c r="Q65" s="402"/>
      <c r="R65" s="396"/>
      <c r="S65" s="396"/>
      <c r="T65" s="396"/>
      <c r="U65" s="396"/>
      <c r="V65" s="396"/>
      <c r="W65" s="396"/>
      <c r="X65" s="396"/>
      <c r="Y65" s="396"/>
      <c r="Z65" s="396"/>
      <c r="AA65" s="396"/>
      <c r="AB65" s="383"/>
      <c r="AC65" s="383"/>
      <c r="AD65" s="384"/>
      <c r="AF65" s="50"/>
    </row>
    <row r="66" spans="1:32" ht="25.5" customHeight="1">
      <c r="A66" s="389">
        <v>3</v>
      </c>
      <c r="B66" s="390"/>
      <c r="C66" s="117"/>
      <c r="D66" s="263"/>
      <c r="E66" s="260"/>
      <c r="F66" s="397"/>
      <c r="G66" s="398"/>
      <c r="H66" s="398"/>
      <c r="I66" s="398"/>
      <c r="J66" s="399"/>
      <c r="K66" s="383"/>
      <c r="L66" s="383"/>
      <c r="M66" s="51"/>
      <c r="N66" s="401"/>
      <c r="O66" s="401"/>
      <c r="P66" s="402"/>
      <c r="Q66" s="402"/>
      <c r="R66" s="396"/>
      <c r="S66" s="396"/>
      <c r="T66" s="396"/>
      <c r="U66" s="396"/>
      <c r="V66" s="396"/>
      <c r="W66" s="396"/>
      <c r="X66" s="396"/>
      <c r="Y66" s="396"/>
      <c r="Z66" s="396"/>
      <c r="AA66" s="396"/>
      <c r="AB66" s="383"/>
      <c r="AC66" s="383"/>
      <c r="AD66" s="384"/>
      <c r="AF66" s="50"/>
    </row>
    <row r="67" spans="1:32" ht="25.5" customHeight="1">
      <c r="A67" s="389">
        <v>4</v>
      </c>
      <c r="B67" s="390"/>
      <c r="C67" s="117"/>
      <c r="D67" s="263"/>
      <c r="E67" s="260"/>
      <c r="F67" s="397"/>
      <c r="G67" s="398"/>
      <c r="H67" s="398"/>
      <c r="I67" s="398"/>
      <c r="J67" s="399"/>
      <c r="K67" s="383"/>
      <c r="L67" s="383"/>
      <c r="M67" s="51"/>
      <c r="N67" s="401"/>
      <c r="O67" s="401"/>
      <c r="P67" s="402"/>
      <c r="Q67" s="402"/>
      <c r="R67" s="396"/>
      <c r="S67" s="396"/>
      <c r="T67" s="396"/>
      <c r="U67" s="396"/>
      <c r="V67" s="396"/>
      <c r="W67" s="396"/>
      <c r="X67" s="396"/>
      <c r="Y67" s="396"/>
      <c r="Z67" s="396"/>
      <c r="AA67" s="396"/>
      <c r="AB67" s="383"/>
      <c r="AC67" s="383"/>
      <c r="AD67" s="384"/>
      <c r="AF67" s="50"/>
    </row>
    <row r="68" spans="1:32" ht="25.5" customHeight="1">
      <c r="A68" s="389">
        <v>5</v>
      </c>
      <c r="B68" s="390"/>
      <c r="C68" s="117"/>
      <c r="D68" s="263"/>
      <c r="E68" s="260"/>
      <c r="F68" s="397"/>
      <c r="G68" s="398"/>
      <c r="H68" s="398"/>
      <c r="I68" s="398"/>
      <c r="J68" s="399"/>
      <c r="K68" s="400"/>
      <c r="L68" s="390"/>
      <c r="M68" s="51"/>
      <c r="N68" s="401"/>
      <c r="O68" s="401"/>
      <c r="P68" s="402"/>
      <c r="Q68" s="402"/>
      <c r="R68" s="396"/>
      <c r="S68" s="396"/>
      <c r="T68" s="396"/>
      <c r="U68" s="396"/>
      <c r="V68" s="396"/>
      <c r="W68" s="396"/>
      <c r="X68" s="396"/>
      <c r="Y68" s="396"/>
      <c r="Z68" s="396"/>
      <c r="AA68" s="396"/>
      <c r="AB68" s="383"/>
      <c r="AC68" s="383"/>
      <c r="AD68" s="384"/>
      <c r="AF68" s="50"/>
    </row>
    <row r="69" spans="1:32" ht="25.5" customHeight="1">
      <c r="A69" s="389">
        <v>6</v>
      </c>
      <c r="B69" s="390"/>
      <c r="C69" s="117"/>
      <c r="D69" s="263"/>
      <c r="E69" s="260"/>
      <c r="F69" s="391"/>
      <c r="G69" s="383"/>
      <c r="H69" s="383"/>
      <c r="I69" s="383"/>
      <c r="J69" s="383"/>
      <c r="K69" s="383"/>
      <c r="L69" s="383"/>
      <c r="M69" s="51"/>
      <c r="N69" s="392"/>
      <c r="O69" s="393"/>
      <c r="P69" s="394"/>
      <c r="Q69" s="395"/>
      <c r="R69" s="396"/>
      <c r="S69" s="396"/>
      <c r="T69" s="396"/>
      <c r="U69" s="396"/>
      <c r="V69" s="396"/>
      <c r="W69" s="396"/>
      <c r="X69" s="396"/>
      <c r="Y69" s="396"/>
      <c r="Z69" s="396"/>
      <c r="AA69" s="396"/>
      <c r="AB69" s="383"/>
      <c r="AC69" s="383"/>
      <c r="AD69" s="384"/>
      <c r="AF69" s="50"/>
    </row>
    <row r="70" spans="1:32" ht="25.5" customHeight="1">
      <c r="A70" s="389">
        <v>7</v>
      </c>
      <c r="B70" s="390"/>
      <c r="C70" s="117"/>
      <c r="D70" s="263"/>
      <c r="E70" s="260"/>
      <c r="F70" s="391"/>
      <c r="G70" s="383"/>
      <c r="H70" s="383"/>
      <c r="I70" s="383"/>
      <c r="J70" s="383"/>
      <c r="K70" s="383"/>
      <c r="L70" s="383"/>
      <c r="M70" s="51"/>
      <c r="N70" s="392"/>
      <c r="O70" s="393"/>
      <c r="P70" s="394"/>
      <c r="Q70" s="395"/>
      <c r="R70" s="396"/>
      <c r="S70" s="396"/>
      <c r="T70" s="396"/>
      <c r="U70" s="396"/>
      <c r="V70" s="396"/>
      <c r="W70" s="396"/>
      <c r="X70" s="396"/>
      <c r="Y70" s="396"/>
      <c r="Z70" s="396"/>
      <c r="AA70" s="396"/>
      <c r="AB70" s="383"/>
      <c r="AC70" s="383"/>
      <c r="AD70" s="384"/>
      <c r="AF70" s="50"/>
    </row>
    <row r="71" spans="1:32" ht="25.5" customHeight="1">
      <c r="A71" s="389">
        <v>8</v>
      </c>
      <c r="B71" s="390"/>
      <c r="C71" s="117"/>
      <c r="D71" s="263"/>
      <c r="E71" s="260"/>
      <c r="F71" s="391"/>
      <c r="G71" s="383"/>
      <c r="H71" s="383"/>
      <c r="I71" s="383"/>
      <c r="J71" s="383"/>
      <c r="K71" s="383"/>
      <c r="L71" s="383"/>
      <c r="M71" s="51"/>
      <c r="N71" s="392"/>
      <c r="O71" s="393"/>
      <c r="P71" s="394"/>
      <c r="Q71" s="395"/>
      <c r="R71" s="396"/>
      <c r="S71" s="396"/>
      <c r="T71" s="396"/>
      <c r="U71" s="396"/>
      <c r="V71" s="396"/>
      <c r="W71" s="396"/>
      <c r="X71" s="396"/>
      <c r="Y71" s="396"/>
      <c r="Z71" s="396"/>
      <c r="AA71" s="396"/>
      <c r="AB71" s="383"/>
      <c r="AC71" s="383"/>
      <c r="AD71" s="384"/>
      <c r="AF71" s="50"/>
    </row>
    <row r="72" spans="1:32" ht="26.25" customHeight="1" thickBot="1">
      <c r="A72" s="363" t="s">
        <v>485</v>
      </c>
      <c r="B72" s="363"/>
      <c r="C72" s="363"/>
      <c r="D72" s="363"/>
      <c r="E72" s="363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364" t="s">
        <v>113</v>
      </c>
      <c r="B73" s="365"/>
      <c r="C73" s="262" t="s">
        <v>2</v>
      </c>
      <c r="D73" s="262" t="s">
        <v>37</v>
      </c>
      <c r="E73" s="262" t="s">
        <v>3</v>
      </c>
      <c r="F73" s="365" t="s">
        <v>38</v>
      </c>
      <c r="G73" s="365"/>
      <c r="H73" s="365"/>
      <c r="I73" s="365"/>
      <c r="J73" s="365"/>
      <c r="K73" s="385" t="s">
        <v>58</v>
      </c>
      <c r="L73" s="386"/>
      <c r="M73" s="386"/>
      <c r="N73" s="386"/>
      <c r="O73" s="386"/>
      <c r="P73" s="386"/>
      <c r="Q73" s="386"/>
      <c r="R73" s="386"/>
      <c r="S73" s="387"/>
      <c r="T73" s="365" t="s">
        <v>49</v>
      </c>
      <c r="U73" s="365"/>
      <c r="V73" s="385" t="s">
        <v>50</v>
      </c>
      <c r="W73" s="387"/>
      <c r="X73" s="386" t="s">
        <v>51</v>
      </c>
      <c r="Y73" s="386"/>
      <c r="Z73" s="386"/>
      <c r="AA73" s="386"/>
      <c r="AB73" s="386"/>
      <c r="AC73" s="386"/>
      <c r="AD73" s="388"/>
      <c r="AF73" s="50"/>
    </row>
    <row r="74" spans="1:32" ht="33.75" customHeight="1">
      <c r="A74" s="357">
        <v>1</v>
      </c>
      <c r="B74" s="358"/>
      <c r="C74" s="264" t="s">
        <v>114</v>
      </c>
      <c r="D74" s="264"/>
      <c r="E74" s="65" t="s">
        <v>119</v>
      </c>
      <c r="F74" s="372" t="s">
        <v>118</v>
      </c>
      <c r="G74" s="373"/>
      <c r="H74" s="373"/>
      <c r="I74" s="373"/>
      <c r="J74" s="374"/>
      <c r="K74" s="375" t="s">
        <v>128</v>
      </c>
      <c r="L74" s="376"/>
      <c r="M74" s="376"/>
      <c r="N74" s="376"/>
      <c r="O74" s="376"/>
      <c r="P74" s="376"/>
      <c r="Q74" s="376"/>
      <c r="R74" s="376"/>
      <c r="S74" s="377"/>
      <c r="T74" s="378">
        <v>43675</v>
      </c>
      <c r="U74" s="379"/>
      <c r="V74" s="380"/>
      <c r="W74" s="380"/>
      <c r="X74" s="381"/>
      <c r="Y74" s="381"/>
      <c r="Z74" s="381"/>
      <c r="AA74" s="381"/>
      <c r="AB74" s="381"/>
      <c r="AC74" s="381"/>
      <c r="AD74" s="382"/>
      <c r="AF74" s="50"/>
    </row>
    <row r="75" spans="1:32" ht="30" customHeight="1">
      <c r="A75" s="350">
        <f>A74+1</f>
        <v>2</v>
      </c>
      <c r="B75" s="351"/>
      <c r="C75" s="263"/>
      <c r="D75" s="263"/>
      <c r="E75" s="32"/>
      <c r="F75" s="351"/>
      <c r="G75" s="351"/>
      <c r="H75" s="351"/>
      <c r="I75" s="351"/>
      <c r="J75" s="351"/>
      <c r="K75" s="366"/>
      <c r="L75" s="367"/>
      <c r="M75" s="367"/>
      <c r="N75" s="367"/>
      <c r="O75" s="367"/>
      <c r="P75" s="367"/>
      <c r="Q75" s="367"/>
      <c r="R75" s="367"/>
      <c r="S75" s="368"/>
      <c r="T75" s="369"/>
      <c r="U75" s="369"/>
      <c r="V75" s="369"/>
      <c r="W75" s="369"/>
      <c r="X75" s="370"/>
      <c r="Y75" s="370"/>
      <c r="Z75" s="370"/>
      <c r="AA75" s="370"/>
      <c r="AB75" s="370"/>
      <c r="AC75" s="370"/>
      <c r="AD75" s="371"/>
      <c r="AF75" s="50"/>
    </row>
    <row r="76" spans="1:32" ht="30" customHeight="1">
      <c r="A76" s="350">
        <f t="shared" ref="A76:A82" si="21">A75+1</f>
        <v>3</v>
      </c>
      <c r="B76" s="351"/>
      <c r="C76" s="263"/>
      <c r="D76" s="263"/>
      <c r="E76" s="32"/>
      <c r="F76" s="351"/>
      <c r="G76" s="351"/>
      <c r="H76" s="351"/>
      <c r="I76" s="351"/>
      <c r="J76" s="351"/>
      <c r="K76" s="366"/>
      <c r="L76" s="367"/>
      <c r="M76" s="367"/>
      <c r="N76" s="367"/>
      <c r="O76" s="367"/>
      <c r="P76" s="367"/>
      <c r="Q76" s="367"/>
      <c r="R76" s="367"/>
      <c r="S76" s="368"/>
      <c r="T76" s="369"/>
      <c r="U76" s="369"/>
      <c r="V76" s="369"/>
      <c r="W76" s="369"/>
      <c r="X76" s="370"/>
      <c r="Y76" s="370"/>
      <c r="Z76" s="370"/>
      <c r="AA76" s="370"/>
      <c r="AB76" s="370"/>
      <c r="AC76" s="370"/>
      <c r="AD76" s="371"/>
      <c r="AF76" s="50"/>
    </row>
    <row r="77" spans="1:32" ht="30" customHeight="1">
      <c r="A77" s="350">
        <f t="shared" si="21"/>
        <v>4</v>
      </c>
      <c r="B77" s="351"/>
      <c r="C77" s="263"/>
      <c r="D77" s="263"/>
      <c r="E77" s="32"/>
      <c r="F77" s="351"/>
      <c r="G77" s="351"/>
      <c r="H77" s="351"/>
      <c r="I77" s="351"/>
      <c r="J77" s="351"/>
      <c r="K77" s="366"/>
      <c r="L77" s="367"/>
      <c r="M77" s="367"/>
      <c r="N77" s="367"/>
      <c r="O77" s="367"/>
      <c r="P77" s="367"/>
      <c r="Q77" s="367"/>
      <c r="R77" s="367"/>
      <c r="S77" s="368"/>
      <c r="T77" s="369"/>
      <c r="U77" s="369"/>
      <c r="V77" s="369"/>
      <c r="W77" s="369"/>
      <c r="X77" s="370"/>
      <c r="Y77" s="370"/>
      <c r="Z77" s="370"/>
      <c r="AA77" s="370"/>
      <c r="AB77" s="370"/>
      <c r="AC77" s="370"/>
      <c r="AD77" s="371"/>
      <c r="AF77" s="50"/>
    </row>
    <row r="78" spans="1:32" ht="30" customHeight="1">
      <c r="A78" s="350">
        <f t="shared" si="21"/>
        <v>5</v>
      </c>
      <c r="B78" s="351"/>
      <c r="C78" s="263"/>
      <c r="D78" s="263"/>
      <c r="E78" s="32"/>
      <c r="F78" s="351"/>
      <c r="G78" s="351"/>
      <c r="H78" s="351"/>
      <c r="I78" s="351"/>
      <c r="J78" s="351"/>
      <c r="K78" s="366"/>
      <c r="L78" s="367"/>
      <c r="M78" s="367"/>
      <c r="N78" s="367"/>
      <c r="O78" s="367"/>
      <c r="P78" s="367"/>
      <c r="Q78" s="367"/>
      <c r="R78" s="367"/>
      <c r="S78" s="368"/>
      <c r="T78" s="369"/>
      <c r="U78" s="369"/>
      <c r="V78" s="369"/>
      <c r="W78" s="369"/>
      <c r="X78" s="370"/>
      <c r="Y78" s="370"/>
      <c r="Z78" s="370"/>
      <c r="AA78" s="370"/>
      <c r="AB78" s="370"/>
      <c r="AC78" s="370"/>
      <c r="AD78" s="371"/>
      <c r="AF78" s="50"/>
    </row>
    <row r="79" spans="1:32" ht="30" customHeight="1">
      <c r="A79" s="350">
        <f t="shared" si="21"/>
        <v>6</v>
      </c>
      <c r="B79" s="351"/>
      <c r="C79" s="263"/>
      <c r="D79" s="263"/>
      <c r="E79" s="32"/>
      <c r="F79" s="351"/>
      <c r="G79" s="351"/>
      <c r="H79" s="351"/>
      <c r="I79" s="351"/>
      <c r="J79" s="351"/>
      <c r="K79" s="366"/>
      <c r="L79" s="367"/>
      <c r="M79" s="367"/>
      <c r="N79" s="367"/>
      <c r="O79" s="367"/>
      <c r="P79" s="367"/>
      <c r="Q79" s="367"/>
      <c r="R79" s="367"/>
      <c r="S79" s="368"/>
      <c r="T79" s="369"/>
      <c r="U79" s="369"/>
      <c r="V79" s="369"/>
      <c r="W79" s="369"/>
      <c r="X79" s="370"/>
      <c r="Y79" s="370"/>
      <c r="Z79" s="370"/>
      <c r="AA79" s="370"/>
      <c r="AB79" s="370"/>
      <c r="AC79" s="370"/>
      <c r="AD79" s="371"/>
      <c r="AF79" s="50"/>
    </row>
    <row r="80" spans="1:32" ht="30" customHeight="1">
      <c r="A80" s="350">
        <f t="shared" si="21"/>
        <v>7</v>
      </c>
      <c r="B80" s="351"/>
      <c r="C80" s="263"/>
      <c r="D80" s="263"/>
      <c r="E80" s="32"/>
      <c r="F80" s="351"/>
      <c r="G80" s="351"/>
      <c r="H80" s="351"/>
      <c r="I80" s="351"/>
      <c r="J80" s="351"/>
      <c r="K80" s="366"/>
      <c r="L80" s="367"/>
      <c r="M80" s="367"/>
      <c r="N80" s="367"/>
      <c r="O80" s="367"/>
      <c r="P80" s="367"/>
      <c r="Q80" s="367"/>
      <c r="R80" s="367"/>
      <c r="S80" s="368"/>
      <c r="T80" s="369"/>
      <c r="U80" s="369"/>
      <c r="V80" s="369"/>
      <c r="W80" s="369"/>
      <c r="X80" s="370"/>
      <c r="Y80" s="370"/>
      <c r="Z80" s="370"/>
      <c r="AA80" s="370"/>
      <c r="AB80" s="370"/>
      <c r="AC80" s="370"/>
      <c r="AD80" s="371"/>
      <c r="AF80" s="50"/>
    </row>
    <row r="81" spans="1:32" ht="30" customHeight="1">
      <c r="A81" s="350">
        <f t="shared" si="21"/>
        <v>8</v>
      </c>
      <c r="B81" s="351"/>
      <c r="C81" s="263"/>
      <c r="D81" s="263"/>
      <c r="E81" s="32"/>
      <c r="F81" s="351"/>
      <c r="G81" s="351"/>
      <c r="H81" s="351"/>
      <c r="I81" s="351"/>
      <c r="J81" s="351"/>
      <c r="K81" s="366"/>
      <c r="L81" s="367"/>
      <c r="M81" s="367"/>
      <c r="N81" s="367"/>
      <c r="O81" s="367"/>
      <c r="P81" s="367"/>
      <c r="Q81" s="367"/>
      <c r="R81" s="367"/>
      <c r="S81" s="368"/>
      <c r="T81" s="369"/>
      <c r="U81" s="369"/>
      <c r="V81" s="369"/>
      <c r="W81" s="369"/>
      <c r="X81" s="370"/>
      <c r="Y81" s="370"/>
      <c r="Z81" s="370"/>
      <c r="AA81" s="370"/>
      <c r="AB81" s="370"/>
      <c r="AC81" s="370"/>
      <c r="AD81" s="371"/>
      <c r="AF81" s="50"/>
    </row>
    <row r="82" spans="1:32" ht="30" customHeight="1">
      <c r="A82" s="350">
        <f t="shared" si="21"/>
        <v>9</v>
      </c>
      <c r="B82" s="351"/>
      <c r="C82" s="263"/>
      <c r="D82" s="263"/>
      <c r="E82" s="32"/>
      <c r="F82" s="351"/>
      <c r="G82" s="351"/>
      <c r="H82" s="351"/>
      <c r="I82" s="351"/>
      <c r="J82" s="351"/>
      <c r="K82" s="366"/>
      <c r="L82" s="367"/>
      <c r="M82" s="367"/>
      <c r="N82" s="367"/>
      <c r="O82" s="367"/>
      <c r="P82" s="367"/>
      <c r="Q82" s="367"/>
      <c r="R82" s="367"/>
      <c r="S82" s="368"/>
      <c r="T82" s="369"/>
      <c r="U82" s="369"/>
      <c r="V82" s="369"/>
      <c r="W82" s="369"/>
      <c r="X82" s="370"/>
      <c r="Y82" s="370"/>
      <c r="Z82" s="370"/>
      <c r="AA82" s="370"/>
      <c r="AB82" s="370"/>
      <c r="AC82" s="370"/>
      <c r="AD82" s="371"/>
      <c r="AF82" s="50"/>
    </row>
    <row r="83" spans="1:32" ht="36" thickBot="1">
      <c r="A83" s="363" t="s">
        <v>486</v>
      </c>
      <c r="B83" s="363"/>
      <c r="C83" s="363"/>
      <c r="D83" s="363"/>
      <c r="E83" s="363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64" t="s">
        <v>113</v>
      </c>
      <c r="B84" s="365"/>
      <c r="C84" s="355" t="s">
        <v>52</v>
      </c>
      <c r="D84" s="355"/>
      <c r="E84" s="355" t="s">
        <v>53</v>
      </c>
      <c r="F84" s="355"/>
      <c r="G84" s="355"/>
      <c r="H84" s="355"/>
      <c r="I84" s="355"/>
      <c r="J84" s="355"/>
      <c r="K84" s="355" t="s">
        <v>54</v>
      </c>
      <c r="L84" s="355"/>
      <c r="M84" s="355"/>
      <c r="N84" s="355"/>
      <c r="O84" s="355"/>
      <c r="P84" s="355"/>
      <c r="Q84" s="355"/>
      <c r="R84" s="355"/>
      <c r="S84" s="355"/>
      <c r="T84" s="355" t="s">
        <v>55</v>
      </c>
      <c r="U84" s="355"/>
      <c r="V84" s="355" t="s">
        <v>56</v>
      </c>
      <c r="W84" s="355"/>
      <c r="X84" s="355"/>
      <c r="Y84" s="355" t="s">
        <v>51</v>
      </c>
      <c r="Z84" s="355"/>
      <c r="AA84" s="355"/>
      <c r="AB84" s="355"/>
      <c r="AC84" s="355"/>
      <c r="AD84" s="356"/>
      <c r="AF84" s="50"/>
    </row>
    <row r="85" spans="1:32" ht="30.75" customHeight="1">
      <c r="A85" s="357">
        <v>1</v>
      </c>
      <c r="B85" s="358"/>
      <c r="C85" s="359"/>
      <c r="D85" s="359"/>
      <c r="E85" s="359"/>
      <c r="F85" s="359"/>
      <c r="G85" s="359"/>
      <c r="H85" s="359"/>
      <c r="I85" s="359"/>
      <c r="J85" s="359"/>
      <c r="K85" s="359"/>
      <c r="L85" s="359"/>
      <c r="M85" s="359"/>
      <c r="N85" s="359"/>
      <c r="O85" s="359"/>
      <c r="P85" s="359"/>
      <c r="Q85" s="359"/>
      <c r="R85" s="359"/>
      <c r="S85" s="359"/>
      <c r="T85" s="359"/>
      <c r="U85" s="359"/>
      <c r="V85" s="360"/>
      <c r="W85" s="360"/>
      <c r="X85" s="360"/>
      <c r="Y85" s="361"/>
      <c r="Z85" s="361"/>
      <c r="AA85" s="361"/>
      <c r="AB85" s="361"/>
      <c r="AC85" s="361"/>
      <c r="AD85" s="362"/>
      <c r="AF85" s="50"/>
    </row>
    <row r="86" spans="1:32" ht="30.75" customHeight="1">
      <c r="A86" s="350">
        <v>2</v>
      </c>
      <c r="B86" s="351"/>
      <c r="C86" s="352"/>
      <c r="D86" s="352"/>
      <c r="E86" s="352"/>
      <c r="F86" s="352"/>
      <c r="G86" s="352"/>
      <c r="H86" s="352"/>
      <c r="I86" s="352"/>
      <c r="J86" s="352"/>
      <c r="K86" s="352"/>
      <c r="L86" s="352"/>
      <c r="M86" s="352"/>
      <c r="N86" s="352"/>
      <c r="O86" s="352"/>
      <c r="P86" s="352"/>
      <c r="Q86" s="352"/>
      <c r="R86" s="352"/>
      <c r="S86" s="352"/>
      <c r="T86" s="353"/>
      <c r="U86" s="353"/>
      <c r="V86" s="354"/>
      <c r="W86" s="354"/>
      <c r="X86" s="354"/>
      <c r="Y86" s="343"/>
      <c r="Z86" s="343"/>
      <c r="AA86" s="343"/>
      <c r="AB86" s="343"/>
      <c r="AC86" s="343"/>
      <c r="AD86" s="344"/>
      <c r="AF86" s="50"/>
    </row>
    <row r="87" spans="1:32" ht="30.75" customHeight="1" thickBot="1">
      <c r="A87" s="345">
        <v>3</v>
      </c>
      <c r="B87" s="346"/>
      <c r="C87" s="347"/>
      <c r="D87" s="347"/>
      <c r="E87" s="347"/>
      <c r="F87" s="347"/>
      <c r="G87" s="347"/>
      <c r="H87" s="347"/>
      <c r="I87" s="347"/>
      <c r="J87" s="347"/>
      <c r="K87" s="347"/>
      <c r="L87" s="347"/>
      <c r="M87" s="347"/>
      <c r="N87" s="347"/>
      <c r="O87" s="347"/>
      <c r="P87" s="347"/>
      <c r="Q87" s="347"/>
      <c r="R87" s="347"/>
      <c r="S87" s="347"/>
      <c r="T87" s="347"/>
      <c r="U87" s="347"/>
      <c r="V87" s="347"/>
      <c r="W87" s="347"/>
      <c r="X87" s="347"/>
      <c r="Y87" s="348"/>
      <c r="Z87" s="348"/>
      <c r="AA87" s="348"/>
      <c r="AB87" s="348"/>
      <c r="AC87" s="348"/>
      <c r="AD87" s="349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5493-CAD5-4384-818F-4F2919793975}">
  <dimension ref="A1:AF86"/>
  <sheetViews>
    <sheetView zoomScale="72" zoomScaleNormal="72" zoomScaleSheetLayoutView="70" workbookViewId="0">
      <selection activeCell="K76" sqref="K76:S7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58" t="s">
        <v>487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8"/>
      <c r="B2" s="458"/>
      <c r="C2" s="458"/>
      <c r="D2" s="458"/>
      <c r="E2" s="458"/>
      <c r="F2" s="458"/>
      <c r="G2" s="458"/>
      <c r="H2" s="458"/>
      <c r="I2" s="458"/>
      <c r="J2" s="458"/>
      <c r="K2" s="458"/>
      <c r="L2" s="458"/>
      <c r="M2" s="458"/>
      <c r="N2" s="458"/>
      <c r="O2" s="45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9"/>
      <c r="B3" s="459"/>
      <c r="C3" s="459"/>
      <c r="D3" s="459"/>
      <c r="E3" s="459"/>
      <c r="F3" s="459"/>
      <c r="G3" s="45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0" t="s">
        <v>0</v>
      </c>
      <c r="B4" s="462" t="s">
        <v>1</v>
      </c>
      <c r="C4" s="462" t="s">
        <v>2</v>
      </c>
      <c r="D4" s="465" t="s">
        <v>3</v>
      </c>
      <c r="E4" s="467" t="s">
        <v>4</v>
      </c>
      <c r="F4" s="465" t="s">
        <v>5</v>
      </c>
      <c r="G4" s="462" t="s">
        <v>6</v>
      </c>
      <c r="H4" s="468" t="s">
        <v>7</v>
      </c>
      <c r="I4" s="448" t="s">
        <v>8</v>
      </c>
      <c r="J4" s="449"/>
      <c r="K4" s="449"/>
      <c r="L4" s="449"/>
      <c r="M4" s="449"/>
      <c r="N4" s="449"/>
      <c r="O4" s="450"/>
      <c r="P4" s="451" t="s">
        <v>9</v>
      </c>
      <c r="Q4" s="452"/>
      <c r="R4" s="453" t="s">
        <v>10</v>
      </c>
      <c r="S4" s="453"/>
      <c r="T4" s="453"/>
      <c r="U4" s="453"/>
      <c r="V4" s="453"/>
      <c r="W4" s="454" t="s">
        <v>11</v>
      </c>
      <c r="X4" s="453"/>
      <c r="Y4" s="453"/>
      <c r="Z4" s="453"/>
      <c r="AA4" s="455"/>
      <c r="AB4" s="456" t="s">
        <v>12</v>
      </c>
      <c r="AC4" s="429" t="s">
        <v>13</v>
      </c>
      <c r="AD4" s="429" t="s">
        <v>14</v>
      </c>
      <c r="AE4" s="54"/>
    </row>
    <row r="5" spans="1:32" ht="51" customHeight="1" thickBot="1">
      <c r="A5" s="461"/>
      <c r="B5" s="463"/>
      <c r="C5" s="464"/>
      <c r="D5" s="466"/>
      <c r="E5" s="466"/>
      <c r="F5" s="466"/>
      <c r="G5" s="463"/>
      <c r="H5" s="469"/>
      <c r="I5" s="55" t="s">
        <v>15</v>
      </c>
      <c r="J5" s="56" t="s">
        <v>16</v>
      </c>
      <c r="K5" s="268" t="s">
        <v>17</v>
      </c>
      <c r="L5" s="268" t="s">
        <v>18</v>
      </c>
      <c r="M5" s="268" t="s">
        <v>19</v>
      </c>
      <c r="N5" s="26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57"/>
      <c r="AC5" s="430"/>
      <c r="AD5" s="43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0.32500000000000001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126</v>
      </c>
      <c r="D7" s="52" t="s">
        <v>127</v>
      </c>
      <c r="E7" s="53" t="s">
        <v>125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0.32500000000000001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126</v>
      </c>
      <c r="D8" s="52" t="s">
        <v>119</v>
      </c>
      <c r="E8" s="53" t="s">
        <v>379</v>
      </c>
      <c r="F8" s="30" t="s">
        <v>138</v>
      </c>
      <c r="G8" s="33">
        <v>1</v>
      </c>
      <c r="H8" s="35">
        <v>24</v>
      </c>
      <c r="I8" s="7">
        <v>2000</v>
      </c>
      <c r="J8" s="14">
        <v>3138</v>
      </c>
      <c r="K8" s="15">
        <f>L8+3138</f>
        <v>3138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0.32500000000000001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275</v>
      </c>
      <c r="E9" s="53" t="s">
        <v>319</v>
      </c>
      <c r="F9" s="30" t="s">
        <v>132</v>
      </c>
      <c r="G9" s="33">
        <v>4</v>
      </c>
      <c r="H9" s="35">
        <v>24</v>
      </c>
      <c r="I9" s="7">
        <v>50000</v>
      </c>
      <c r="J9" s="14">
        <v>29964</v>
      </c>
      <c r="K9" s="15">
        <f>L9+14524+30712+10416+14284+17836</f>
        <v>117736</v>
      </c>
      <c r="L9" s="15">
        <f>3884*4+3607*4</f>
        <v>29964</v>
      </c>
      <c r="M9" s="15">
        <f t="shared" si="1"/>
        <v>29964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0.32500000000000001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131</v>
      </c>
      <c r="D10" s="52" t="s">
        <v>150</v>
      </c>
      <c r="E10" s="53" t="s">
        <v>152</v>
      </c>
      <c r="F10" s="30" t="s">
        <v>121</v>
      </c>
      <c r="G10" s="33">
        <v>2</v>
      </c>
      <c r="H10" s="35">
        <v>24</v>
      </c>
      <c r="I10" s="7">
        <v>130000</v>
      </c>
      <c r="J10" s="5">
        <v>15232</v>
      </c>
      <c r="K10" s="15">
        <f>L10+13288+10116+14610+5976+7143+12482+1676+11964+11004+13758+11480+4868+7902+3480+4200+8468+9396</f>
        <v>167043</v>
      </c>
      <c r="L10" s="15">
        <f>4040*2+3576*2</f>
        <v>15232</v>
      </c>
      <c r="M10" s="15">
        <f t="shared" si="1"/>
        <v>15232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0.32500000000000001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126</v>
      </c>
      <c r="D11" s="52" t="s">
        <v>202</v>
      </c>
      <c r="E11" s="53" t="s">
        <v>421</v>
      </c>
      <c r="F11" s="30" t="s">
        <v>138</v>
      </c>
      <c r="G11" s="33">
        <v>2</v>
      </c>
      <c r="H11" s="35">
        <v>24</v>
      </c>
      <c r="I11" s="7">
        <v>20000</v>
      </c>
      <c r="J11" s="5">
        <v>1864</v>
      </c>
      <c r="K11" s="15">
        <f>L11+4520+10494+3986</f>
        <v>19000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>AC11*AB11*(1-O11)</f>
        <v>0</v>
      </c>
      <c r="AE11" s="36">
        <f t="shared" si="8"/>
        <v>0.32500000000000001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126</v>
      </c>
      <c r="D12" s="52" t="s">
        <v>117</v>
      </c>
      <c r="E12" s="53" t="s">
        <v>422</v>
      </c>
      <c r="F12" s="30" t="s">
        <v>138</v>
      </c>
      <c r="G12" s="33">
        <v>1</v>
      </c>
      <c r="H12" s="35">
        <v>24</v>
      </c>
      <c r="I12" s="7">
        <v>20000</v>
      </c>
      <c r="J12" s="14">
        <v>1864</v>
      </c>
      <c r="K12" s="15">
        <f>L12+6201+6952+6108</f>
        <v>21125</v>
      </c>
      <c r="L12" s="15">
        <f>932*2</f>
        <v>1864</v>
      </c>
      <c r="M12" s="15">
        <f t="shared" si="1"/>
        <v>1864</v>
      </c>
      <c r="N12" s="15">
        <v>0</v>
      </c>
      <c r="O12" s="58">
        <f t="shared" si="2"/>
        <v>0</v>
      </c>
      <c r="P12" s="39">
        <f t="shared" si="3"/>
        <v>5</v>
      </c>
      <c r="Q12" s="40">
        <f t="shared" si="4"/>
        <v>19</v>
      </c>
      <c r="R12" s="7"/>
      <c r="S12" s="6"/>
      <c r="T12" s="16"/>
      <c r="U12" s="16"/>
      <c r="V12" s="17"/>
      <c r="W12" s="5">
        <v>19</v>
      </c>
      <c r="X12" s="16"/>
      <c r="Y12" s="16"/>
      <c r="Z12" s="16"/>
      <c r="AA12" s="18"/>
      <c r="AB12" s="8">
        <f t="shared" si="5"/>
        <v>1</v>
      </c>
      <c r="AC12" s="9">
        <f t="shared" si="6"/>
        <v>0.20833333333333334</v>
      </c>
      <c r="AD12" s="10">
        <f t="shared" ref="AD12:AD14" si="10">AC12*AB12*(1-O12)</f>
        <v>0.20833333333333334</v>
      </c>
      <c r="AE12" s="36">
        <f t="shared" si="8"/>
        <v>0.32500000000000001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117</v>
      </c>
      <c r="E13" s="53" t="s">
        <v>143</v>
      </c>
      <c r="F13" s="30" t="s">
        <v>138</v>
      </c>
      <c r="G13" s="33">
        <v>4</v>
      </c>
      <c r="H13" s="35">
        <v>24</v>
      </c>
      <c r="I13" s="7">
        <v>850000</v>
      </c>
      <c r="J13" s="14">
        <v>20640</v>
      </c>
      <c r="K13" s="15">
        <f>L13+20676+20704+882+19912+11748+21560+18812+17048+21840+19920+21784+15116+10164+22344+20496+22064+21048+11316</f>
        <v>338074</v>
      </c>
      <c r="L13" s="15">
        <f>2292*4+2868*4</f>
        <v>20640</v>
      </c>
      <c r="M13" s="15">
        <f t="shared" si="1"/>
        <v>20640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10"/>
        <v>1</v>
      </c>
      <c r="AE13" s="36">
        <f t="shared" si="8"/>
        <v>0.32500000000000001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126</v>
      </c>
      <c r="D14" s="52" t="s">
        <v>454</v>
      </c>
      <c r="E14" s="53"/>
      <c r="F14" s="30" t="s">
        <v>138</v>
      </c>
      <c r="G14" s="33" t="s">
        <v>157</v>
      </c>
      <c r="H14" s="35">
        <v>24</v>
      </c>
      <c r="I14" s="7">
        <v>1050</v>
      </c>
      <c r="J14" s="5">
        <v>1474</v>
      </c>
      <c r="K14" s="15">
        <f>L14+1474</f>
        <v>1474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10"/>
        <v>0</v>
      </c>
      <c r="AE14" s="36">
        <f t="shared" si="8"/>
        <v>0.32500000000000001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300</v>
      </c>
      <c r="D15" s="52" t="s">
        <v>438</v>
      </c>
      <c r="E15" s="53" t="s">
        <v>370</v>
      </c>
      <c r="F15" s="12" t="s">
        <v>321</v>
      </c>
      <c r="G15" s="12">
        <v>4</v>
      </c>
      <c r="H15" s="13">
        <v>24</v>
      </c>
      <c r="I15" s="31">
        <v>20000</v>
      </c>
      <c r="J15" s="14">
        <v>13236</v>
      </c>
      <c r="K15" s="15">
        <f>L15+21256+21596+13236</f>
        <v>56088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0.32500000000000001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146</v>
      </c>
      <c r="E16" s="53" t="s">
        <v>333</v>
      </c>
      <c r="F16" s="30" t="s">
        <v>140</v>
      </c>
      <c r="G16" s="12">
        <v>2</v>
      </c>
      <c r="H16" s="13">
        <v>28</v>
      </c>
      <c r="I16" s="7">
        <v>2000</v>
      </c>
      <c r="J16" s="14">
        <v>2182</v>
      </c>
      <c r="K16" s="15">
        <f>L16+2182</f>
        <v>2182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0.32500000000000001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123</v>
      </c>
      <c r="D17" s="52" t="s">
        <v>456</v>
      </c>
      <c r="E17" s="53" t="s">
        <v>463</v>
      </c>
      <c r="F17" s="30" t="s">
        <v>396</v>
      </c>
      <c r="G17" s="33">
        <v>1</v>
      </c>
      <c r="H17" s="35">
        <v>24</v>
      </c>
      <c r="I17" s="7">
        <v>1200</v>
      </c>
      <c r="J17" s="5">
        <v>1309</v>
      </c>
      <c r="K17" s="15">
        <f>L17+1309</f>
        <v>1309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0.32500000000000001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117</v>
      </c>
      <c r="E18" s="53" t="s">
        <v>226</v>
      </c>
      <c r="F18" s="30" t="s">
        <v>397</v>
      </c>
      <c r="G18" s="33">
        <v>1</v>
      </c>
      <c r="H18" s="35">
        <v>24</v>
      </c>
      <c r="I18" s="7">
        <v>1500</v>
      </c>
      <c r="J18" s="5">
        <v>2120</v>
      </c>
      <c r="K18" s="15">
        <f>L18</f>
        <v>2120</v>
      </c>
      <c r="L18" s="15">
        <f>450+1670</f>
        <v>2120</v>
      </c>
      <c r="M18" s="15">
        <f t="shared" si="1"/>
        <v>2120</v>
      </c>
      <c r="N18" s="15">
        <v>0</v>
      </c>
      <c r="O18" s="58">
        <f t="shared" si="2"/>
        <v>0</v>
      </c>
      <c r="P18" s="39">
        <f t="shared" si="3"/>
        <v>16</v>
      </c>
      <c r="Q18" s="40">
        <f t="shared" si="4"/>
        <v>8</v>
      </c>
      <c r="R18" s="7"/>
      <c r="S18" s="6">
        <v>8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0.66666666666666663</v>
      </c>
      <c r="AD18" s="10">
        <f>AC18*AB18*(1-O18)</f>
        <v>0.66666666666666663</v>
      </c>
      <c r="AE18" s="36">
        <f t="shared" si="8"/>
        <v>0.32500000000000001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126</v>
      </c>
      <c r="D19" s="52" t="s">
        <v>202</v>
      </c>
      <c r="E19" s="53" t="s">
        <v>205</v>
      </c>
      <c r="F19" s="30" t="s">
        <v>138</v>
      </c>
      <c r="G19" s="33">
        <v>4</v>
      </c>
      <c r="H19" s="35">
        <v>24</v>
      </c>
      <c r="I19" s="7">
        <v>800000</v>
      </c>
      <c r="J19" s="14">
        <v>19816</v>
      </c>
      <c r="K19" s="15">
        <f>L19+12980+20160+21332+21348+21424+21388+19544+8924+20020+20460+20164+15216</f>
        <v>242776</v>
      </c>
      <c r="L19" s="15">
        <f>2366*4+2588*4</f>
        <v>19816</v>
      </c>
      <c r="M19" s="15">
        <f t="shared" si="1"/>
        <v>19816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ref="AD19" si="11">AC19*AB19*(1-O19)</f>
        <v>1</v>
      </c>
      <c r="AE19" s="36">
        <f t="shared" si="8"/>
        <v>0.32500000000000001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144</v>
      </c>
      <c r="F20" s="12" t="s">
        <v>116</v>
      </c>
      <c r="G20" s="12">
        <v>3</v>
      </c>
      <c r="H20" s="35">
        <v>20</v>
      </c>
      <c r="I20" s="7">
        <v>200000</v>
      </c>
      <c r="J20" s="14">
        <v>34300</v>
      </c>
      <c r="K20" s="15">
        <f>L20+22050+34300</f>
        <v>56350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0.32500000000000001</v>
      </c>
      <c r="AF20" s="87">
        <f t="shared" si="9"/>
        <v>15</v>
      </c>
    </row>
    <row r="21" spans="1:32" ht="31.5" customHeight="1" thickBot="1">
      <c r="A21" s="431" t="s">
        <v>34</v>
      </c>
      <c r="B21" s="432"/>
      <c r="C21" s="432"/>
      <c r="D21" s="432"/>
      <c r="E21" s="432"/>
      <c r="F21" s="432"/>
      <c r="G21" s="432"/>
      <c r="H21" s="433"/>
      <c r="I21" s="22">
        <f t="shared" ref="I21:N21" si="12">SUM(I6:I20)</f>
        <v>2118750</v>
      </c>
      <c r="J21" s="19">
        <f t="shared" si="12"/>
        <v>149200</v>
      </c>
      <c r="K21" s="20">
        <f t="shared" si="12"/>
        <v>1039963</v>
      </c>
      <c r="L21" s="21">
        <f t="shared" si="12"/>
        <v>89636</v>
      </c>
      <c r="M21" s="20">
        <f t="shared" si="12"/>
        <v>89636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117</v>
      </c>
      <c r="Q21" s="43">
        <f t="shared" si="13"/>
        <v>243</v>
      </c>
      <c r="R21" s="23">
        <f t="shared" si="13"/>
        <v>24</v>
      </c>
      <c r="S21" s="24">
        <f t="shared" si="13"/>
        <v>32</v>
      </c>
      <c r="T21" s="24">
        <f t="shared" si="13"/>
        <v>0</v>
      </c>
      <c r="U21" s="24">
        <f t="shared" si="13"/>
        <v>0</v>
      </c>
      <c r="V21" s="25">
        <f t="shared" si="13"/>
        <v>24</v>
      </c>
      <c r="W21" s="26">
        <f t="shared" si="13"/>
        <v>163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0.4</v>
      </c>
      <c r="AC21" s="4">
        <f>SUM(AC6:AC20)/15</f>
        <v>0.32500000000000001</v>
      </c>
      <c r="AD21" s="4">
        <f>SUM(AD6:AD20)/15</f>
        <v>0.32500000000000001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34" t="s">
        <v>45</v>
      </c>
      <c r="B48" s="434"/>
      <c r="C48" s="434"/>
      <c r="D48" s="434"/>
      <c r="E48" s="43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35" t="s">
        <v>488</v>
      </c>
      <c r="B49" s="436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7"/>
      <c r="N49" s="438" t="s">
        <v>489</v>
      </c>
      <c r="O49" s="439"/>
      <c r="P49" s="439"/>
      <c r="Q49" s="439"/>
      <c r="R49" s="439"/>
      <c r="S49" s="439"/>
      <c r="T49" s="439"/>
      <c r="U49" s="439"/>
      <c r="V49" s="439"/>
      <c r="W49" s="439"/>
      <c r="X49" s="439"/>
      <c r="Y49" s="439"/>
      <c r="Z49" s="439"/>
      <c r="AA49" s="439"/>
      <c r="AB49" s="439"/>
      <c r="AC49" s="439"/>
      <c r="AD49" s="440"/>
    </row>
    <row r="50" spans="1:32" ht="27" customHeight="1">
      <c r="A50" s="441" t="s">
        <v>2</v>
      </c>
      <c r="B50" s="442"/>
      <c r="C50" s="269" t="s">
        <v>46</v>
      </c>
      <c r="D50" s="269" t="s">
        <v>47</v>
      </c>
      <c r="E50" s="269" t="s">
        <v>108</v>
      </c>
      <c r="F50" s="442" t="s">
        <v>107</v>
      </c>
      <c r="G50" s="442"/>
      <c r="H50" s="442"/>
      <c r="I50" s="442"/>
      <c r="J50" s="442"/>
      <c r="K50" s="442"/>
      <c r="L50" s="442"/>
      <c r="M50" s="443"/>
      <c r="N50" s="67" t="s">
        <v>112</v>
      </c>
      <c r="O50" s="269" t="s">
        <v>46</v>
      </c>
      <c r="P50" s="444" t="s">
        <v>47</v>
      </c>
      <c r="Q50" s="445"/>
      <c r="R50" s="444" t="s">
        <v>38</v>
      </c>
      <c r="S50" s="446"/>
      <c r="T50" s="446"/>
      <c r="U50" s="445"/>
      <c r="V50" s="444" t="s">
        <v>48</v>
      </c>
      <c r="W50" s="446"/>
      <c r="X50" s="446"/>
      <c r="Y50" s="446"/>
      <c r="Z50" s="446"/>
      <c r="AA50" s="446"/>
      <c r="AB50" s="446"/>
      <c r="AC50" s="446"/>
      <c r="AD50" s="447"/>
    </row>
    <row r="51" spans="1:32" ht="27" customHeight="1">
      <c r="A51" s="412" t="s">
        <v>126</v>
      </c>
      <c r="B51" s="413"/>
      <c r="C51" s="271" t="s">
        <v>136</v>
      </c>
      <c r="D51" s="271" t="s">
        <v>117</v>
      </c>
      <c r="E51" s="271" t="s">
        <v>422</v>
      </c>
      <c r="F51" s="414" t="s">
        <v>137</v>
      </c>
      <c r="G51" s="415"/>
      <c r="H51" s="415"/>
      <c r="I51" s="415"/>
      <c r="J51" s="415"/>
      <c r="K51" s="415"/>
      <c r="L51" s="415"/>
      <c r="M51" s="416"/>
      <c r="N51" s="270" t="s">
        <v>131</v>
      </c>
      <c r="O51" s="276" t="s">
        <v>136</v>
      </c>
      <c r="P51" s="426" t="s">
        <v>117</v>
      </c>
      <c r="Q51" s="427"/>
      <c r="R51" s="426" t="s">
        <v>279</v>
      </c>
      <c r="S51" s="428"/>
      <c r="T51" s="428"/>
      <c r="U51" s="427"/>
      <c r="V51" s="396" t="s">
        <v>120</v>
      </c>
      <c r="W51" s="396"/>
      <c r="X51" s="396"/>
      <c r="Y51" s="396"/>
      <c r="Z51" s="396"/>
      <c r="AA51" s="396"/>
      <c r="AB51" s="396"/>
      <c r="AC51" s="396"/>
      <c r="AD51" s="417"/>
    </row>
    <row r="52" spans="1:32" ht="27" customHeight="1">
      <c r="A52" s="412" t="s">
        <v>114</v>
      </c>
      <c r="B52" s="413"/>
      <c r="C52" s="271" t="s">
        <v>173</v>
      </c>
      <c r="D52" s="271" t="s">
        <v>117</v>
      </c>
      <c r="E52" s="271" t="s">
        <v>226</v>
      </c>
      <c r="F52" s="414" t="s">
        <v>137</v>
      </c>
      <c r="G52" s="415"/>
      <c r="H52" s="415"/>
      <c r="I52" s="415"/>
      <c r="J52" s="415"/>
      <c r="K52" s="415"/>
      <c r="L52" s="415"/>
      <c r="M52" s="416"/>
      <c r="N52" s="270" t="s">
        <v>490</v>
      </c>
      <c r="O52" s="276" t="s">
        <v>258</v>
      </c>
      <c r="P52" s="426" t="s">
        <v>491</v>
      </c>
      <c r="Q52" s="427"/>
      <c r="R52" s="426" t="s">
        <v>492</v>
      </c>
      <c r="S52" s="428"/>
      <c r="T52" s="428"/>
      <c r="U52" s="427"/>
      <c r="V52" s="396" t="s">
        <v>120</v>
      </c>
      <c r="W52" s="396"/>
      <c r="X52" s="396"/>
      <c r="Y52" s="396"/>
      <c r="Z52" s="396"/>
      <c r="AA52" s="396"/>
      <c r="AB52" s="396"/>
      <c r="AC52" s="396"/>
      <c r="AD52" s="417"/>
    </row>
    <row r="53" spans="1:32" ht="27" customHeight="1">
      <c r="A53" s="412"/>
      <c r="B53" s="413"/>
      <c r="C53" s="271"/>
      <c r="D53" s="271"/>
      <c r="E53" s="271"/>
      <c r="F53" s="414"/>
      <c r="G53" s="415"/>
      <c r="H53" s="415"/>
      <c r="I53" s="415"/>
      <c r="J53" s="415"/>
      <c r="K53" s="415"/>
      <c r="L53" s="415"/>
      <c r="M53" s="416"/>
      <c r="N53" s="270" t="s">
        <v>490</v>
      </c>
      <c r="O53" s="276" t="s">
        <v>258</v>
      </c>
      <c r="P53" s="426" t="s">
        <v>491</v>
      </c>
      <c r="Q53" s="427"/>
      <c r="R53" s="426" t="s">
        <v>493</v>
      </c>
      <c r="S53" s="428"/>
      <c r="T53" s="428"/>
      <c r="U53" s="427"/>
      <c r="V53" s="396" t="s">
        <v>120</v>
      </c>
      <c r="W53" s="396"/>
      <c r="X53" s="396"/>
      <c r="Y53" s="396"/>
      <c r="Z53" s="396"/>
      <c r="AA53" s="396"/>
      <c r="AB53" s="396"/>
      <c r="AC53" s="396"/>
      <c r="AD53" s="417"/>
    </row>
    <row r="54" spans="1:32" ht="27" customHeight="1">
      <c r="A54" s="412"/>
      <c r="B54" s="413"/>
      <c r="C54" s="271"/>
      <c r="D54" s="271"/>
      <c r="E54" s="271"/>
      <c r="F54" s="414"/>
      <c r="G54" s="415"/>
      <c r="H54" s="415"/>
      <c r="I54" s="415"/>
      <c r="J54" s="415"/>
      <c r="K54" s="415"/>
      <c r="L54" s="415"/>
      <c r="M54" s="416"/>
      <c r="N54" s="270"/>
      <c r="O54" s="276"/>
      <c r="P54" s="426"/>
      <c r="Q54" s="427"/>
      <c r="R54" s="426"/>
      <c r="S54" s="428"/>
      <c r="T54" s="428"/>
      <c r="U54" s="427"/>
      <c r="V54" s="396"/>
      <c r="W54" s="396"/>
      <c r="X54" s="396"/>
      <c r="Y54" s="396"/>
      <c r="Z54" s="396"/>
      <c r="AA54" s="396"/>
      <c r="AB54" s="396"/>
      <c r="AC54" s="396"/>
      <c r="AD54" s="417"/>
    </row>
    <row r="55" spans="1:32" ht="27" customHeight="1">
      <c r="A55" s="412"/>
      <c r="B55" s="413"/>
      <c r="C55" s="271"/>
      <c r="D55" s="271"/>
      <c r="E55" s="271"/>
      <c r="F55" s="414"/>
      <c r="G55" s="415"/>
      <c r="H55" s="415"/>
      <c r="I55" s="415"/>
      <c r="J55" s="415"/>
      <c r="K55" s="415"/>
      <c r="L55" s="415"/>
      <c r="M55" s="416"/>
      <c r="N55" s="270"/>
      <c r="O55" s="276"/>
      <c r="P55" s="426"/>
      <c r="Q55" s="427"/>
      <c r="R55" s="426"/>
      <c r="S55" s="428"/>
      <c r="T55" s="428"/>
      <c r="U55" s="427"/>
      <c r="V55" s="396"/>
      <c r="W55" s="396"/>
      <c r="X55" s="396"/>
      <c r="Y55" s="396"/>
      <c r="Z55" s="396"/>
      <c r="AA55" s="396"/>
      <c r="AB55" s="396"/>
      <c r="AC55" s="396"/>
      <c r="AD55" s="417"/>
    </row>
    <row r="56" spans="1:32" ht="27" customHeight="1">
      <c r="A56" s="412"/>
      <c r="B56" s="413"/>
      <c r="C56" s="271"/>
      <c r="D56" s="271"/>
      <c r="E56" s="271"/>
      <c r="F56" s="414"/>
      <c r="G56" s="415"/>
      <c r="H56" s="415"/>
      <c r="I56" s="415"/>
      <c r="J56" s="415"/>
      <c r="K56" s="415"/>
      <c r="L56" s="415"/>
      <c r="M56" s="416"/>
      <c r="N56" s="270"/>
      <c r="O56" s="276"/>
      <c r="P56" s="426"/>
      <c r="Q56" s="427"/>
      <c r="R56" s="426"/>
      <c r="S56" s="428"/>
      <c r="T56" s="428"/>
      <c r="U56" s="427"/>
      <c r="V56" s="396"/>
      <c r="W56" s="396"/>
      <c r="X56" s="396"/>
      <c r="Y56" s="396"/>
      <c r="Z56" s="396"/>
      <c r="AA56" s="396"/>
      <c r="AB56" s="396"/>
      <c r="AC56" s="396"/>
      <c r="AD56" s="417"/>
    </row>
    <row r="57" spans="1:32" ht="27" customHeight="1">
      <c r="A57" s="412"/>
      <c r="B57" s="413"/>
      <c r="C57" s="271"/>
      <c r="D57" s="271"/>
      <c r="E57" s="271"/>
      <c r="F57" s="414"/>
      <c r="G57" s="415"/>
      <c r="H57" s="415"/>
      <c r="I57" s="415"/>
      <c r="J57" s="415"/>
      <c r="K57" s="415"/>
      <c r="L57" s="415"/>
      <c r="M57" s="416"/>
      <c r="N57" s="270"/>
      <c r="O57" s="276"/>
      <c r="P57" s="426"/>
      <c r="Q57" s="427"/>
      <c r="R57" s="413"/>
      <c r="S57" s="413"/>
      <c r="T57" s="413"/>
      <c r="U57" s="413"/>
      <c r="V57" s="396"/>
      <c r="W57" s="396"/>
      <c r="X57" s="396"/>
      <c r="Y57" s="396"/>
      <c r="Z57" s="396"/>
      <c r="AA57" s="396"/>
      <c r="AB57" s="396"/>
      <c r="AC57" s="396"/>
      <c r="AD57" s="417"/>
    </row>
    <row r="58" spans="1:32" ht="27" customHeight="1">
      <c r="A58" s="412"/>
      <c r="B58" s="413"/>
      <c r="C58" s="271"/>
      <c r="D58" s="271"/>
      <c r="E58" s="271"/>
      <c r="F58" s="414"/>
      <c r="G58" s="415"/>
      <c r="H58" s="415"/>
      <c r="I58" s="415"/>
      <c r="J58" s="415"/>
      <c r="K58" s="415"/>
      <c r="L58" s="415"/>
      <c r="M58" s="416"/>
      <c r="N58" s="270"/>
      <c r="O58" s="276"/>
      <c r="P58" s="426"/>
      <c r="Q58" s="427"/>
      <c r="R58" s="413"/>
      <c r="S58" s="413"/>
      <c r="T58" s="413"/>
      <c r="U58" s="413"/>
      <c r="V58" s="396"/>
      <c r="W58" s="396"/>
      <c r="X58" s="396"/>
      <c r="Y58" s="396"/>
      <c r="Z58" s="396"/>
      <c r="AA58" s="396"/>
      <c r="AB58" s="396"/>
      <c r="AC58" s="396"/>
      <c r="AD58" s="417"/>
    </row>
    <row r="59" spans="1:32" ht="27" customHeight="1">
      <c r="A59" s="412"/>
      <c r="B59" s="413"/>
      <c r="C59" s="271"/>
      <c r="D59" s="271"/>
      <c r="E59" s="271"/>
      <c r="F59" s="414"/>
      <c r="G59" s="415"/>
      <c r="H59" s="415"/>
      <c r="I59" s="415"/>
      <c r="J59" s="415"/>
      <c r="K59" s="415"/>
      <c r="L59" s="415"/>
      <c r="M59" s="416"/>
      <c r="N59" s="270"/>
      <c r="O59" s="276"/>
      <c r="P59" s="413"/>
      <c r="Q59" s="413"/>
      <c r="R59" s="413"/>
      <c r="S59" s="413"/>
      <c r="T59" s="413"/>
      <c r="U59" s="413"/>
      <c r="V59" s="396"/>
      <c r="W59" s="396"/>
      <c r="X59" s="396"/>
      <c r="Y59" s="396"/>
      <c r="Z59" s="396"/>
      <c r="AA59" s="396"/>
      <c r="AB59" s="396"/>
      <c r="AC59" s="396"/>
      <c r="AD59" s="417"/>
      <c r="AF59" s="87">
        <f>8*3000</f>
        <v>24000</v>
      </c>
    </row>
    <row r="60" spans="1:32" ht="27" customHeight="1" thickBot="1">
      <c r="A60" s="418"/>
      <c r="B60" s="419"/>
      <c r="C60" s="272"/>
      <c r="D60" s="273"/>
      <c r="E60" s="273"/>
      <c r="F60" s="420"/>
      <c r="G60" s="421"/>
      <c r="H60" s="421"/>
      <c r="I60" s="421"/>
      <c r="J60" s="421"/>
      <c r="K60" s="421"/>
      <c r="L60" s="421"/>
      <c r="M60" s="422"/>
      <c r="N60" s="124"/>
      <c r="O60" s="114"/>
      <c r="P60" s="423"/>
      <c r="Q60" s="423"/>
      <c r="R60" s="423"/>
      <c r="S60" s="423"/>
      <c r="T60" s="423"/>
      <c r="U60" s="423"/>
      <c r="V60" s="424"/>
      <c r="W60" s="424"/>
      <c r="X60" s="424"/>
      <c r="Y60" s="424"/>
      <c r="Z60" s="424"/>
      <c r="AA60" s="424"/>
      <c r="AB60" s="424"/>
      <c r="AC60" s="424"/>
      <c r="AD60" s="425"/>
      <c r="AF60" s="87">
        <f>16*3000</f>
        <v>48000</v>
      </c>
    </row>
    <row r="61" spans="1:32" ht="27.75" thickBot="1">
      <c r="A61" s="410" t="s">
        <v>494</v>
      </c>
      <c r="B61" s="410"/>
      <c r="C61" s="410"/>
      <c r="D61" s="410"/>
      <c r="E61" s="410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1" t="s">
        <v>113</v>
      </c>
      <c r="B62" s="406"/>
      <c r="C62" s="274" t="s">
        <v>2</v>
      </c>
      <c r="D62" s="274" t="s">
        <v>37</v>
      </c>
      <c r="E62" s="274" t="s">
        <v>3</v>
      </c>
      <c r="F62" s="406" t="s">
        <v>110</v>
      </c>
      <c r="G62" s="406"/>
      <c r="H62" s="406"/>
      <c r="I62" s="406"/>
      <c r="J62" s="406"/>
      <c r="K62" s="406" t="s">
        <v>39</v>
      </c>
      <c r="L62" s="406"/>
      <c r="M62" s="274" t="s">
        <v>40</v>
      </c>
      <c r="N62" s="406" t="s">
        <v>41</v>
      </c>
      <c r="O62" s="406"/>
      <c r="P62" s="403" t="s">
        <v>42</v>
      </c>
      <c r="Q62" s="405"/>
      <c r="R62" s="403" t="s">
        <v>43</v>
      </c>
      <c r="S62" s="404"/>
      <c r="T62" s="404"/>
      <c r="U62" s="404"/>
      <c r="V62" s="404"/>
      <c r="W62" s="404"/>
      <c r="X62" s="404"/>
      <c r="Y62" s="404"/>
      <c r="Z62" s="404"/>
      <c r="AA62" s="405"/>
      <c r="AB62" s="406" t="s">
        <v>44</v>
      </c>
      <c r="AC62" s="406"/>
      <c r="AD62" s="407"/>
      <c r="AF62" s="87">
        <f>SUM(AF59:AF61)</f>
        <v>96000</v>
      </c>
    </row>
    <row r="63" spans="1:32" ht="25.5" customHeight="1">
      <c r="A63" s="389">
        <v>1</v>
      </c>
      <c r="B63" s="390"/>
      <c r="C63" s="117" t="s">
        <v>123</v>
      </c>
      <c r="D63" s="278"/>
      <c r="E63" s="275" t="s">
        <v>335</v>
      </c>
      <c r="F63" s="391" t="s">
        <v>495</v>
      </c>
      <c r="G63" s="383"/>
      <c r="H63" s="383"/>
      <c r="I63" s="383"/>
      <c r="J63" s="383"/>
      <c r="K63" s="383" t="s">
        <v>140</v>
      </c>
      <c r="L63" s="383"/>
      <c r="M63" s="51" t="s">
        <v>309</v>
      </c>
      <c r="N63" s="401" t="s">
        <v>130</v>
      </c>
      <c r="O63" s="401"/>
      <c r="P63" s="402">
        <v>50</v>
      </c>
      <c r="Q63" s="402"/>
      <c r="R63" s="396"/>
      <c r="S63" s="396"/>
      <c r="T63" s="396"/>
      <c r="U63" s="396"/>
      <c r="V63" s="396"/>
      <c r="W63" s="396"/>
      <c r="X63" s="396"/>
      <c r="Y63" s="396"/>
      <c r="Z63" s="396"/>
      <c r="AA63" s="396"/>
      <c r="AB63" s="400"/>
      <c r="AC63" s="408"/>
      <c r="AD63" s="409"/>
      <c r="AF63" s="50"/>
    </row>
    <row r="64" spans="1:32" ht="25.5" customHeight="1">
      <c r="A64" s="389">
        <v>2</v>
      </c>
      <c r="B64" s="390"/>
      <c r="C64" s="117" t="s">
        <v>123</v>
      </c>
      <c r="D64" s="278"/>
      <c r="E64" s="275" t="s">
        <v>117</v>
      </c>
      <c r="F64" s="391" t="s">
        <v>496</v>
      </c>
      <c r="G64" s="383"/>
      <c r="H64" s="383"/>
      <c r="I64" s="383"/>
      <c r="J64" s="383"/>
      <c r="K64" s="383">
        <v>7301</v>
      </c>
      <c r="L64" s="383"/>
      <c r="M64" s="51" t="s">
        <v>309</v>
      </c>
      <c r="N64" s="401" t="s">
        <v>173</v>
      </c>
      <c r="O64" s="401"/>
      <c r="P64" s="402">
        <v>50</v>
      </c>
      <c r="Q64" s="402"/>
      <c r="R64" s="396"/>
      <c r="S64" s="396"/>
      <c r="T64" s="396"/>
      <c r="U64" s="396"/>
      <c r="V64" s="396"/>
      <c r="W64" s="396"/>
      <c r="X64" s="396"/>
      <c r="Y64" s="396"/>
      <c r="Z64" s="396"/>
      <c r="AA64" s="396"/>
      <c r="AB64" s="383"/>
      <c r="AC64" s="383"/>
      <c r="AD64" s="384"/>
      <c r="AF64" s="50"/>
    </row>
    <row r="65" spans="1:32" ht="25.5" customHeight="1">
      <c r="A65" s="389">
        <v>3</v>
      </c>
      <c r="B65" s="390"/>
      <c r="C65" s="117" t="s">
        <v>123</v>
      </c>
      <c r="D65" s="278"/>
      <c r="E65" s="275" t="s">
        <v>117</v>
      </c>
      <c r="F65" s="397" t="s">
        <v>428</v>
      </c>
      <c r="G65" s="398"/>
      <c r="H65" s="398"/>
      <c r="I65" s="398"/>
      <c r="J65" s="399"/>
      <c r="K65" s="383" t="s">
        <v>497</v>
      </c>
      <c r="L65" s="383"/>
      <c r="M65" s="51" t="s">
        <v>427</v>
      </c>
      <c r="N65" s="401" t="s">
        <v>136</v>
      </c>
      <c r="O65" s="401"/>
      <c r="P65" s="402">
        <v>50</v>
      </c>
      <c r="Q65" s="402"/>
      <c r="R65" s="396"/>
      <c r="S65" s="396"/>
      <c r="T65" s="396"/>
      <c r="U65" s="396"/>
      <c r="V65" s="396"/>
      <c r="W65" s="396"/>
      <c r="X65" s="396"/>
      <c r="Y65" s="396"/>
      <c r="Z65" s="396"/>
      <c r="AA65" s="396"/>
      <c r="AB65" s="383"/>
      <c r="AC65" s="383"/>
      <c r="AD65" s="384"/>
      <c r="AF65" s="50"/>
    </row>
    <row r="66" spans="1:32" ht="25.5" customHeight="1">
      <c r="A66" s="389">
        <v>4</v>
      </c>
      <c r="B66" s="390"/>
      <c r="C66" s="117" t="s">
        <v>123</v>
      </c>
      <c r="D66" s="278"/>
      <c r="E66" s="275" t="s">
        <v>117</v>
      </c>
      <c r="F66" s="397" t="s">
        <v>498</v>
      </c>
      <c r="G66" s="398"/>
      <c r="H66" s="398"/>
      <c r="I66" s="398"/>
      <c r="J66" s="399"/>
      <c r="K66" s="383" t="s">
        <v>132</v>
      </c>
      <c r="L66" s="383"/>
      <c r="M66" s="51" t="s">
        <v>222</v>
      </c>
      <c r="N66" s="401" t="s">
        <v>130</v>
      </c>
      <c r="O66" s="401"/>
      <c r="P66" s="402">
        <v>50</v>
      </c>
      <c r="Q66" s="402"/>
      <c r="R66" s="396"/>
      <c r="S66" s="396"/>
      <c r="T66" s="396"/>
      <c r="U66" s="396"/>
      <c r="V66" s="396"/>
      <c r="W66" s="396"/>
      <c r="X66" s="396"/>
      <c r="Y66" s="396"/>
      <c r="Z66" s="396"/>
      <c r="AA66" s="396"/>
      <c r="AB66" s="383"/>
      <c r="AC66" s="383"/>
      <c r="AD66" s="384"/>
      <c r="AF66" s="50"/>
    </row>
    <row r="67" spans="1:32" ht="25.5" customHeight="1">
      <c r="A67" s="389">
        <v>5</v>
      </c>
      <c r="B67" s="390"/>
      <c r="C67" s="117"/>
      <c r="D67" s="278"/>
      <c r="E67" s="275"/>
      <c r="F67" s="397"/>
      <c r="G67" s="398"/>
      <c r="H67" s="398"/>
      <c r="I67" s="398"/>
      <c r="J67" s="399"/>
      <c r="K67" s="400"/>
      <c r="L67" s="390"/>
      <c r="M67" s="51"/>
      <c r="N67" s="401"/>
      <c r="O67" s="401"/>
      <c r="P67" s="402"/>
      <c r="Q67" s="402"/>
      <c r="R67" s="396"/>
      <c r="S67" s="396"/>
      <c r="T67" s="396"/>
      <c r="U67" s="396"/>
      <c r="V67" s="396"/>
      <c r="W67" s="396"/>
      <c r="X67" s="396"/>
      <c r="Y67" s="396"/>
      <c r="Z67" s="396"/>
      <c r="AA67" s="396"/>
      <c r="AB67" s="383"/>
      <c r="AC67" s="383"/>
      <c r="AD67" s="384"/>
      <c r="AF67" s="50"/>
    </row>
    <row r="68" spans="1:32" ht="25.5" customHeight="1">
      <c r="A68" s="389">
        <v>6</v>
      </c>
      <c r="B68" s="390"/>
      <c r="C68" s="117"/>
      <c r="D68" s="278"/>
      <c r="E68" s="275"/>
      <c r="F68" s="391"/>
      <c r="G68" s="383"/>
      <c r="H68" s="383"/>
      <c r="I68" s="383"/>
      <c r="J68" s="383"/>
      <c r="K68" s="383"/>
      <c r="L68" s="383"/>
      <c r="M68" s="51"/>
      <c r="N68" s="392"/>
      <c r="O68" s="393"/>
      <c r="P68" s="394"/>
      <c r="Q68" s="395"/>
      <c r="R68" s="396"/>
      <c r="S68" s="396"/>
      <c r="T68" s="396"/>
      <c r="U68" s="396"/>
      <c r="V68" s="396"/>
      <c r="W68" s="396"/>
      <c r="X68" s="396"/>
      <c r="Y68" s="396"/>
      <c r="Z68" s="396"/>
      <c r="AA68" s="396"/>
      <c r="AB68" s="383"/>
      <c r="AC68" s="383"/>
      <c r="AD68" s="384"/>
      <c r="AF68" s="50"/>
    </row>
    <row r="69" spans="1:32" ht="25.5" customHeight="1">
      <c r="A69" s="389">
        <v>7</v>
      </c>
      <c r="B69" s="390"/>
      <c r="C69" s="117"/>
      <c r="D69" s="278"/>
      <c r="E69" s="275"/>
      <c r="F69" s="391"/>
      <c r="G69" s="383"/>
      <c r="H69" s="383"/>
      <c r="I69" s="383"/>
      <c r="J69" s="383"/>
      <c r="K69" s="383"/>
      <c r="L69" s="383"/>
      <c r="M69" s="51"/>
      <c r="N69" s="392"/>
      <c r="O69" s="393"/>
      <c r="P69" s="394"/>
      <c r="Q69" s="395"/>
      <c r="R69" s="396"/>
      <c r="S69" s="396"/>
      <c r="T69" s="396"/>
      <c r="U69" s="396"/>
      <c r="V69" s="396"/>
      <c r="W69" s="396"/>
      <c r="X69" s="396"/>
      <c r="Y69" s="396"/>
      <c r="Z69" s="396"/>
      <c r="AA69" s="396"/>
      <c r="AB69" s="383"/>
      <c r="AC69" s="383"/>
      <c r="AD69" s="384"/>
      <c r="AF69" s="50"/>
    </row>
    <row r="70" spans="1:32" ht="25.5" customHeight="1">
      <c r="A70" s="389">
        <v>8</v>
      </c>
      <c r="B70" s="390"/>
      <c r="C70" s="117"/>
      <c r="D70" s="278"/>
      <c r="E70" s="275"/>
      <c r="F70" s="391"/>
      <c r="G70" s="383"/>
      <c r="H70" s="383"/>
      <c r="I70" s="383"/>
      <c r="J70" s="383"/>
      <c r="K70" s="383"/>
      <c r="L70" s="383"/>
      <c r="M70" s="51"/>
      <c r="N70" s="392"/>
      <c r="O70" s="393"/>
      <c r="P70" s="394"/>
      <c r="Q70" s="395"/>
      <c r="R70" s="396"/>
      <c r="S70" s="396"/>
      <c r="T70" s="396"/>
      <c r="U70" s="396"/>
      <c r="V70" s="396"/>
      <c r="W70" s="396"/>
      <c r="X70" s="396"/>
      <c r="Y70" s="396"/>
      <c r="Z70" s="396"/>
      <c r="AA70" s="396"/>
      <c r="AB70" s="383"/>
      <c r="AC70" s="383"/>
      <c r="AD70" s="384"/>
      <c r="AF70" s="50"/>
    </row>
    <row r="71" spans="1:32" ht="26.25" customHeight="1" thickBot="1">
      <c r="A71" s="363" t="s">
        <v>499</v>
      </c>
      <c r="B71" s="363"/>
      <c r="C71" s="363"/>
      <c r="D71" s="363"/>
      <c r="E71" s="363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64" t="s">
        <v>113</v>
      </c>
      <c r="B72" s="365"/>
      <c r="C72" s="277" t="s">
        <v>2</v>
      </c>
      <c r="D72" s="277" t="s">
        <v>37</v>
      </c>
      <c r="E72" s="277" t="s">
        <v>3</v>
      </c>
      <c r="F72" s="365" t="s">
        <v>38</v>
      </c>
      <c r="G72" s="365"/>
      <c r="H72" s="365"/>
      <c r="I72" s="365"/>
      <c r="J72" s="365"/>
      <c r="K72" s="385" t="s">
        <v>58</v>
      </c>
      <c r="L72" s="386"/>
      <c r="M72" s="386"/>
      <c r="N72" s="386"/>
      <c r="O72" s="386"/>
      <c r="P72" s="386"/>
      <c r="Q72" s="386"/>
      <c r="R72" s="386"/>
      <c r="S72" s="387"/>
      <c r="T72" s="365" t="s">
        <v>49</v>
      </c>
      <c r="U72" s="365"/>
      <c r="V72" s="385" t="s">
        <v>50</v>
      </c>
      <c r="W72" s="387"/>
      <c r="X72" s="386" t="s">
        <v>51</v>
      </c>
      <c r="Y72" s="386"/>
      <c r="Z72" s="386"/>
      <c r="AA72" s="386"/>
      <c r="AB72" s="386"/>
      <c r="AC72" s="386"/>
      <c r="AD72" s="388"/>
      <c r="AF72" s="50"/>
    </row>
    <row r="73" spans="1:32" ht="33.75" customHeight="1">
      <c r="A73" s="357">
        <v>1</v>
      </c>
      <c r="B73" s="358"/>
      <c r="C73" s="279" t="s">
        <v>114</v>
      </c>
      <c r="D73" s="279"/>
      <c r="E73" s="65" t="s">
        <v>119</v>
      </c>
      <c r="F73" s="372" t="s">
        <v>118</v>
      </c>
      <c r="G73" s="373"/>
      <c r="H73" s="373"/>
      <c r="I73" s="373"/>
      <c r="J73" s="374"/>
      <c r="K73" s="375" t="s">
        <v>128</v>
      </c>
      <c r="L73" s="376"/>
      <c r="M73" s="376"/>
      <c r="N73" s="376"/>
      <c r="O73" s="376"/>
      <c r="P73" s="376"/>
      <c r="Q73" s="376"/>
      <c r="R73" s="376"/>
      <c r="S73" s="377"/>
      <c r="T73" s="378">
        <v>43675</v>
      </c>
      <c r="U73" s="379"/>
      <c r="V73" s="380"/>
      <c r="W73" s="380"/>
      <c r="X73" s="381"/>
      <c r="Y73" s="381"/>
      <c r="Z73" s="381"/>
      <c r="AA73" s="381"/>
      <c r="AB73" s="381"/>
      <c r="AC73" s="381"/>
      <c r="AD73" s="382"/>
      <c r="AF73" s="50"/>
    </row>
    <row r="74" spans="1:32" ht="30" customHeight="1">
      <c r="A74" s="350">
        <f>A73+1</f>
        <v>2</v>
      </c>
      <c r="B74" s="351"/>
      <c r="C74" s="278"/>
      <c r="D74" s="278"/>
      <c r="E74" s="32"/>
      <c r="F74" s="351"/>
      <c r="G74" s="351"/>
      <c r="H74" s="351"/>
      <c r="I74" s="351"/>
      <c r="J74" s="351"/>
      <c r="K74" s="366"/>
      <c r="L74" s="367"/>
      <c r="M74" s="367"/>
      <c r="N74" s="367"/>
      <c r="O74" s="367"/>
      <c r="P74" s="367"/>
      <c r="Q74" s="367"/>
      <c r="R74" s="367"/>
      <c r="S74" s="368"/>
      <c r="T74" s="369"/>
      <c r="U74" s="369"/>
      <c r="V74" s="369"/>
      <c r="W74" s="369"/>
      <c r="X74" s="370"/>
      <c r="Y74" s="370"/>
      <c r="Z74" s="370"/>
      <c r="AA74" s="370"/>
      <c r="AB74" s="370"/>
      <c r="AC74" s="370"/>
      <c r="AD74" s="371"/>
      <c r="AF74" s="50"/>
    </row>
    <row r="75" spans="1:32" ht="30" customHeight="1">
      <c r="A75" s="350">
        <f t="shared" ref="A75:A81" si="14">A74+1</f>
        <v>3</v>
      </c>
      <c r="B75" s="351"/>
      <c r="C75" s="278"/>
      <c r="D75" s="278"/>
      <c r="E75" s="32"/>
      <c r="F75" s="351"/>
      <c r="G75" s="351"/>
      <c r="H75" s="351"/>
      <c r="I75" s="351"/>
      <c r="J75" s="351"/>
      <c r="K75" s="366"/>
      <c r="L75" s="367"/>
      <c r="M75" s="367"/>
      <c r="N75" s="367"/>
      <c r="O75" s="367"/>
      <c r="P75" s="367"/>
      <c r="Q75" s="367"/>
      <c r="R75" s="367"/>
      <c r="S75" s="368"/>
      <c r="T75" s="369"/>
      <c r="U75" s="369"/>
      <c r="V75" s="369"/>
      <c r="W75" s="369"/>
      <c r="X75" s="370"/>
      <c r="Y75" s="370"/>
      <c r="Z75" s="370"/>
      <c r="AA75" s="370"/>
      <c r="AB75" s="370"/>
      <c r="AC75" s="370"/>
      <c r="AD75" s="371"/>
      <c r="AF75" s="50"/>
    </row>
    <row r="76" spans="1:32" ht="30" customHeight="1">
      <c r="A76" s="350">
        <f t="shared" si="14"/>
        <v>4</v>
      </c>
      <c r="B76" s="351"/>
      <c r="C76" s="278"/>
      <c r="D76" s="278"/>
      <c r="E76" s="32"/>
      <c r="F76" s="351"/>
      <c r="G76" s="351"/>
      <c r="H76" s="351"/>
      <c r="I76" s="351"/>
      <c r="J76" s="351"/>
      <c r="K76" s="366"/>
      <c r="L76" s="367"/>
      <c r="M76" s="367"/>
      <c r="N76" s="367"/>
      <c r="O76" s="367"/>
      <c r="P76" s="367"/>
      <c r="Q76" s="367"/>
      <c r="R76" s="367"/>
      <c r="S76" s="368"/>
      <c r="T76" s="369"/>
      <c r="U76" s="369"/>
      <c r="V76" s="369"/>
      <c r="W76" s="369"/>
      <c r="X76" s="370"/>
      <c r="Y76" s="370"/>
      <c r="Z76" s="370"/>
      <c r="AA76" s="370"/>
      <c r="AB76" s="370"/>
      <c r="AC76" s="370"/>
      <c r="AD76" s="371"/>
      <c r="AF76" s="50"/>
    </row>
    <row r="77" spans="1:32" ht="30" customHeight="1">
      <c r="A77" s="350">
        <f t="shared" si="14"/>
        <v>5</v>
      </c>
      <c r="B77" s="351"/>
      <c r="C77" s="278"/>
      <c r="D77" s="278"/>
      <c r="E77" s="32"/>
      <c r="F77" s="351"/>
      <c r="G77" s="351"/>
      <c r="H77" s="351"/>
      <c r="I77" s="351"/>
      <c r="J77" s="351"/>
      <c r="K77" s="366"/>
      <c r="L77" s="367"/>
      <c r="M77" s="367"/>
      <c r="N77" s="367"/>
      <c r="O77" s="367"/>
      <c r="P77" s="367"/>
      <c r="Q77" s="367"/>
      <c r="R77" s="367"/>
      <c r="S77" s="368"/>
      <c r="T77" s="369"/>
      <c r="U77" s="369"/>
      <c r="V77" s="369"/>
      <c r="W77" s="369"/>
      <c r="X77" s="370"/>
      <c r="Y77" s="370"/>
      <c r="Z77" s="370"/>
      <c r="AA77" s="370"/>
      <c r="AB77" s="370"/>
      <c r="AC77" s="370"/>
      <c r="AD77" s="371"/>
      <c r="AF77" s="50"/>
    </row>
    <row r="78" spans="1:32" ht="30" customHeight="1">
      <c r="A78" s="350">
        <f t="shared" si="14"/>
        <v>6</v>
      </c>
      <c r="B78" s="351"/>
      <c r="C78" s="278"/>
      <c r="D78" s="278"/>
      <c r="E78" s="32"/>
      <c r="F78" s="351"/>
      <c r="G78" s="351"/>
      <c r="H78" s="351"/>
      <c r="I78" s="351"/>
      <c r="J78" s="351"/>
      <c r="K78" s="366"/>
      <c r="L78" s="367"/>
      <c r="M78" s="367"/>
      <c r="N78" s="367"/>
      <c r="O78" s="367"/>
      <c r="P78" s="367"/>
      <c r="Q78" s="367"/>
      <c r="R78" s="367"/>
      <c r="S78" s="368"/>
      <c r="T78" s="369"/>
      <c r="U78" s="369"/>
      <c r="V78" s="369"/>
      <c r="W78" s="369"/>
      <c r="X78" s="370"/>
      <c r="Y78" s="370"/>
      <c r="Z78" s="370"/>
      <c r="AA78" s="370"/>
      <c r="AB78" s="370"/>
      <c r="AC78" s="370"/>
      <c r="AD78" s="371"/>
      <c r="AF78" s="50"/>
    </row>
    <row r="79" spans="1:32" ht="30" customHeight="1">
      <c r="A79" s="350">
        <f t="shared" si="14"/>
        <v>7</v>
      </c>
      <c r="B79" s="351"/>
      <c r="C79" s="278"/>
      <c r="D79" s="278"/>
      <c r="E79" s="32"/>
      <c r="F79" s="351"/>
      <c r="G79" s="351"/>
      <c r="H79" s="351"/>
      <c r="I79" s="351"/>
      <c r="J79" s="351"/>
      <c r="K79" s="366"/>
      <c r="L79" s="367"/>
      <c r="M79" s="367"/>
      <c r="N79" s="367"/>
      <c r="O79" s="367"/>
      <c r="P79" s="367"/>
      <c r="Q79" s="367"/>
      <c r="R79" s="367"/>
      <c r="S79" s="368"/>
      <c r="T79" s="369"/>
      <c r="U79" s="369"/>
      <c r="V79" s="369"/>
      <c r="W79" s="369"/>
      <c r="X79" s="370"/>
      <c r="Y79" s="370"/>
      <c r="Z79" s="370"/>
      <c r="AA79" s="370"/>
      <c r="AB79" s="370"/>
      <c r="AC79" s="370"/>
      <c r="AD79" s="371"/>
      <c r="AF79" s="50"/>
    </row>
    <row r="80" spans="1:32" ht="30" customHeight="1">
      <c r="A80" s="350">
        <f t="shared" si="14"/>
        <v>8</v>
      </c>
      <c r="B80" s="351"/>
      <c r="C80" s="278"/>
      <c r="D80" s="278"/>
      <c r="E80" s="32"/>
      <c r="F80" s="351"/>
      <c r="G80" s="351"/>
      <c r="H80" s="351"/>
      <c r="I80" s="351"/>
      <c r="J80" s="351"/>
      <c r="K80" s="366"/>
      <c r="L80" s="367"/>
      <c r="M80" s="367"/>
      <c r="N80" s="367"/>
      <c r="O80" s="367"/>
      <c r="P80" s="367"/>
      <c r="Q80" s="367"/>
      <c r="R80" s="367"/>
      <c r="S80" s="368"/>
      <c r="T80" s="369"/>
      <c r="U80" s="369"/>
      <c r="V80" s="369"/>
      <c r="W80" s="369"/>
      <c r="X80" s="370"/>
      <c r="Y80" s="370"/>
      <c r="Z80" s="370"/>
      <c r="AA80" s="370"/>
      <c r="AB80" s="370"/>
      <c r="AC80" s="370"/>
      <c r="AD80" s="371"/>
      <c r="AF80" s="50"/>
    </row>
    <row r="81" spans="1:32" ht="30" customHeight="1">
      <c r="A81" s="350">
        <f t="shared" si="14"/>
        <v>9</v>
      </c>
      <c r="B81" s="351"/>
      <c r="C81" s="278"/>
      <c r="D81" s="278"/>
      <c r="E81" s="32"/>
      <c r="F81" s="351"/>
      <c r="G81" s="351"/>
      <c r="H81" s="351"/>
      <c r="I81" s="351"/>
      <c r="J81" s="351"/>
      <c r="K81" s="366"/>
      <c r="L81" s="367"/>
      <c r="M81" s="367"/>
      <c r="N81" s="367"/>
      <c r="O81" s="367"/>
      <c r="P81" s="367"/>
      <c r="Q81" s="367"/>
      <c r="R81" s="367"/>
      <c r="S81" s="368"/>
      <c r="T81" s="369"/>
      <c r="U81" s="369"/>
      <c r="V81" s="369"/>
      <c r="W81" s="369"/>
      <c r="X81" s="370"/>
      <c r="Y81" s="370"/>
      <c r="Z81" s="370"/>
      <c r="AA81" s="370"/>
      <c r="AB81" s="370"/>
      <c r="AC81" s="370"/>
      <c r="AD81" s="371"/>
      <c r="AF81" s="50"/>
    </row>
    <row r="82" spans="1:32" ht="36" thickBot="1">
      <c r="A82" s="363" t="s">
        <v>500</v>
      </c>
      <c r="B82" s="363"/>
      <c r="C82" s="363"/>
      <c r="D82" s="363"/>
      <c r="E82" s="363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64" t="s">
        <v>113</v>
      </c>
      <c r="B83" s="365"/>
      <c r="C83" s="355" t="s">
        <v>52</v>
      </c>
      <c r="D83" s="355"/>
      <c r="E83" s="355" t="s">
        <v>53</v>
      </c>
      <c r="F83" s="355"/>
      <c r="G83" s="355"/>
      <c r="H83" s="355"/>
      <c r="I83" s="355"/>
      <c r="J83" s="355"/>
      <c r="K83" s="355" t="s">
        <v>54</v>
      </c>
      <c r="L83" s="355"/>
      <c r="M83" s="355"/>
      <c r="N83" s="355"/>
      <c r="O83" s="355"/>
      <c r="P83" s="355"/>
      <c r="Q83" s="355"/>
      <c r="R83" s="355"/>
      <c r="S83" s="355"/>
      <c r="T83" s="355" t="s">
        <v>55</v>
      </c>
      <c r="U83" s="355"/>
      <c r="V83" s="355" t="s">
        <v>56</v>
      </c>
      <c r="W83" s="355"/>
      <c r="X83" s="355"/>
      <c r="Y83" s="355" t="s">
        <v>51</v>
      </c>
      <c r="Z83" s="355"/>
      <c r="AA83" s="355"/>
      <c r="AB83" s="355"/>
      <c r="AC83" s="355"/>
      <c r="AD83" s="356"/>
      <c r="AF83" s="50"/>
    </row>
    <row r="84" spans="1:32" ht="30.75" customHeight="1">
      <c r="A84" s="357">
        <v>1</v>
      </c>
      <c r="B84" s="358"/>
      <c r="C84" s="359"/>
      <c r="D84" s="359"/>
      <c r="E84" s="359"/>
      <c r="F84" s="359"/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/>
      <c r="R84" s="359"/>
      <c r="S84" s="359"/>
      <c r="T84" s="359"/>
      <c r="U84" s="359"/>
      <c r="V84" s="360"/>
      <c r="W84" s="360"/>
      <c r="X84" s="360"/>
      <c r="Y84" s="361"/>
      <c r="Z84" s="361"/>
      <c r="AA84" s="361"/>
      <c r="AB84" s="361"/>
      <c r="AC84" s="361"/>
      <c r="AD84" s="362"/>
      <c r="AF84" s="50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0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2CA0-2E23-4A74-A8AE-A82D2B2D8A62}">
  <dimension ref="A1:AF88"/>
  <sheetViews>
    <sheetView zoomScale="72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58" t="s">
        <v>501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8"/>
      <c r="B2" s="458"/>
      <c r="C2" s="458"/>
      <c r="D2" s="458"/>
      <c r="E2" s="458"/>
      <c r="F2" s="458"/>
      <c r="G2" s="458"/>
      <c r="H2" s="458"/>
      <c r="I2" s="458"/>
      <c r="J2" s="458"/>
      <c r="K2" s="458"/>
      <c r="L2" s="458"/>
      <c r="M2" s="458"/>
      <c r="N2" s="458"/>
      <c r="O2" s="45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9"/>
      <c r="B3" s="459"/>
      <c r="C3" s="459"/>
      <c r="D3" s="459"/>
      <c r="E3" s="459"/>
      <c r="F3" s="459"/>
      <c r="G3" s="45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0" t="s">
        <v>0</v>
      </c>
      <c r="B4" s="462" t="s">
        <v>1</v>
      </c>
      <c r="C4" s="462" t="s">
        <v>2</v>
      </c>
      <c r="D4" s="465" t="s">
        <v>3</v>
      </c>
      <c r="E4" s="467" t="s">
        <v>4</v>
      </c>
      <c r="F4" s="465" t="s">
        <v>5</v>
      </c>
      <c r="G4" s="462" t="s">
        <v>6</v>
      </c>
      <c r="H4" s="468" t="s">
        <v>7</v>
      </c>
      <c r="I4" s="448" t="s">
        <v>8</v>
      </c>
      <c r="J4" s="449"/>
      <c r="K4" s="449"/>
      <c r="L4" s="449"/>
      <c r="M4" s="449"/>
      <c r="N4" s="449"/>
      <c r="O4" s="450"/>
      <c r="P4" s="451" t="s">
        <v>9</v>
      </c>
      <c r="Q4" s="452"/>
      <c r="R4" s="453" t="s">
        <v>10</v>
      </c>
      <c r="S4" s="453"/>
      <c r="T4" s="453"/>
      <c r="U4" s="453"/>
      <c r="V4" s="453"/>
      <c r="W4" s="454" t="s">
        <v>11</v>
      </c>
      <c r="X4" s="453"/>
      <c r="Y4" s="453"/>
      <c r="Z4" s="453"/>
      <c r="AA4" s="455"/>
      <c r="AB4" s="456" t="s">
        <v>12</v>
      </c>
      <c r="AC4" s="429" t="s">
        <v>13</v>
      </c>
      <c r="AD4" s="429" t="s">
        <v>14</v>
      </c>
      <c r="AE4" s="54"/>
    </row>
    <row r="5" spans="1:32" ht="51" customHeight="1" thickBot="1">
      <c r="A5" s="461"/>
      <c r="B5" s="463"/>
      <c r="C5" s="464"/>
      <c r="D5" s="466"/>
      <c r="E5" s="466"/>
      <c r="F5" s="466"/>
      <c r="G5" s="463"/>
      <c r="H5" s="469"/>
      <c r="I5" s="55" t="s">
        <v>15</v>
      </c>
      <c r="J5" s="56" t="s">
        <v>16</v>
      </c>
      <c r="K5" s="291" t="s">
        <v>17</v>
      </c>
      <c r="L5" s="291" t="s">
        <v>18</v>
      </c>
      <c r="M5" s="291" t="s">
        <v>19</v>
      </c>
      <c r="N5" s="29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57"/>
      <c r="AC5" s="430"/>
      <c r="AD5" s="43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2" si="1">L6-N6</f>
        <v>0</v>
      </c>
      <c r="N6" s="15">
        <v>0</v>
      </c>
      <c r="O6" s="58" t="str">
        <f t="shared" ref="O6:O23" si="2">IF(L6=0,"0",N6/L6)</f>
        <v>0</v>
      </c>
      <c r="P6" s="39" t="str">
        <f t="shared" ref="P6:P22" si="3">IF(L6=0,"0",(24-Q6))</f>
        <v>0</v>
      </c>
      <c r="Q6" s="40">
        <f t="shared" ref="Q6:Q22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2" si="5">IF(J6=0,"0",(L6/J6))</f>
        <v>0</v>
      </c>
      <c r="AC6" s="9">
        <f t="shared" ref="AC6:AC22" si="6">IF(P6=0,"0",(P6/24))</f>
        <v>0</v>
      </c>
      <c r="AD6" s="10">
        <f t="shared" ref="AD6:AD22" si="7">AC6*AB6*(1-O6)</f>
        <v>0</v>
      </c>
      <c r="AE6" s="36">
        <f t="shared" ref="AE6:AE22" si="8">$AD$23</f>
        <v>0.34166666666666667</v>
      </c>
      <c r="AF6" s="87">
        <f t="shared" ref="AF6:AF22" si="9">A6</f>
        <v>1</v>
      </c>
    </row>
    <row r="7" spans="1:32" ht="27" customHeight="1">
      <c r="A7" s="101">
        <v>2</v>
      </c>
      <c r="B7" s="11" t="s">
        <v>57</v>
      </c>
      <c r="C7" s="34" t="s">
        <v>126</v>
      </c>
      <c r="D7" s="52" t="s">
        <v>127</v>
      </c>
      <c r="E7" s="53" t="s">
        <v>125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0.34166666666666667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126</v>
      </c>
      <c r="D8" s="52" t="s">
        <v>119</v>
      </c>
      <c r="E8" s="53" t="s">
        <v>379</v>
      </c>
      <c r="F8" s="30" t="s">
        <v>138</v>
      </c>
      <c r="G8" s="33">
        <v>1</v>
      </c>
      <c r="H8" s="35">
        <v>24</v>
      </c>
      <c r="I8" s="7">
        <v>2000</v>
      </c>
      <c r="J8" s="14">
        <v>3138</v>
      </c>
      <c r="K8" s="15">
        <f>L8+3138</f>
        <v>3138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0.34166666666666667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275</v>
      </c>
      <c r="E9" s="53" t="s">
        <v>319</v>
      </c>
      <c r="F9" s="30" t="s">
        <v>132</v>
      </c>
      <c r="G9" s="33">
        <v>4</v>
      </c>
      <c r="H9" s="35">
        <v>24</v>
      </c>
      <c r="I9" s="7">
        <v>50000</v>
      </c>
      <c r="J9" s="14">
        <v>19380</v>
      </c>
      <c r="K9" s="15">
        <f>L9+14524+30712+10416+14284+17836+29964</f>
        <v>137116</v>
      </c>
      <c r="L9" s="15">
        <f>3597*4+1248*4</f>
        <v>19380</v>
      </c>
      <c r="M9" s="15">
        <f t="shared" si="1"/>
        <v>19380</v>
      </c>
      <c r="N9" s="15">
        <v>0</v>
      </c>
      <c r="O9" s="58">
        <f t="shared" si="2"/>
        <v>0</v>
      </c>
      <c r="P9" s="39">
        <f t="shared" si="3"/>
        <v>19</v>
      </c>
      <c r="Q9" s="40">
        <f t="shared" si="4"/>
        <v>5</v>
      </c>
      <c r="R9" s="7"/>
      <c r="S9" s="6">
        <v>5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0.79166666666666663</v>
      </c>
      <c r="AD9" s="10">
        <f t="shared" si="7"/>
        <v>0.79166666666666663</v>
      </c>
      <c r="AE9" s="36">
        <f t="shared" si="8"/>
        <v>0.34166666666666667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131</v>
      </c>
      <c r="D10" s="52" t="s">
        <v>150</v>
      </c>
      <c r="E10" s="53" t="s">
        <v>152</v>
      </c>
      <c r="F10" s="30" t="s">
        <v>121</v>
      </c>
      <c r="G10" s="33">
        <v>2</v>
      </c>
      <c r="H10" s="35">
        <v>24</v>
      </c>
      <c r="I10" s="7">
        <v>130000</v>
      </c>
      <c r="J10" s="5">
        <v>12324</v>
      </c>
      <c r="K10" s="15">
        <f>L10+13288+10116+14610+5976+7143+12482+1676+11964+11004+13758+11480+4868+7902+3480+4200+8468+9396+15232</f>
        <v>179367</v>
      </c>
      <c r="L10" s="15">
        <f>2479*2+3683*2</f>
        <v>12324</v>
      </c>
      <c r="M10" s="15">
        <f t="shared" si="1"/>
        <v>12324</v>
      </c>
      <c r="N10" s="15">
        <v>0</v>
      </c>
      <c r="O10" s="58">
        <f t="shared" si="2"/>
        <v>0</v>
      </c>
      <c r="P10" s="39">
        <f t="shared" si="3"/>
        <v>22</v>
      </c>
      <c r="Q10" s="40">
        <f t="shared" si="4"/>
        <v>2</v>
      </c>
      <c r="R10" s="7"/>
      <c r="S10" s="6">
        <v>2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0.91666666666666663</v>
      </c>
      <c r="AD10" s="10">
        <f>AC10*AB10*(1-O10)</f>
        <v>0.91666666666666663</v>
      </c>
      <c r="AE10" s="36">
        <f t="shared" si="8"/>
        <v>0.34166666666666667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126</v>
      </c>
      <c r="D11" s="52" t="s">
        <v>202</v>
      </c>
      <c r="E11" s="53" t="s">
        <v>421</v>
      </c>
      <c r="F11" s="30" t="s">
        <v>138</v>
      </c>
      <c r="G11" s="33">
        <v>2</v>
      </c>
      <c r="H11" s="35">
        <v>24</v>
      </c>
      <c r="I11" s="7">
        <v>20000</v>
      </c>
      <c r="J11" s="5">
        <v>1864</v>
      </c>
      <c r="K11" s="15">
        <f>L11+4520+10494+3986</f>
        <v>19000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>AC11*AB11*(1-O11)</f>
        <v>0</v>
      </c>
      <c r="AE11" s="36">
        <f t="shared" si="8"/>
        <v>0.34166666666666667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131</v>
      </c>
      <c r="D12" s="52" t="s">
        <v>117</v>
      </c>
      <c r="E12" s="53" t="s">
        <v>279</v>
      </c>
      <c r="F12" s="30" t="s">
        <v>280</v>
      </c>
      <c r="G12" s="33">
        <v>2</v>
      </c>
      <c r="H12" s="35">
        <v>24</v>
      </c>
      <c r="I12" s="7">
        <v>370</v>
      </c>
      <c r="J12" s="14">
        <v>586</v>
      </c>
      <c r="K12" s="15">
        <f>L12</f>
        <v>586</v>
      </c>
      <c r="L12" s="15">
        <f>293*2</f>
        <v>586</v>
      </c>
      <c r="M12" s="15">
        <f t="shared" si="1"/>
        <v>586</v>
      </c>
      <c r="N12" s="15">
        <v>0</v>
      </c>
      <c r="O12" s="58">
        <f t="shared" si="2"/>
        <v>0</v>
      </c>
      <c r="P12" s="39">
        <f t="shared" si="3"/>
        <v>3</v>
      </c>
      <c r="Q12" s="40">
        <f t="shared" si="4"/>
        <v>21</v>
      </c>
      <c r="R12" s="7"/>
      <c r="S12" s="6"/>
      <c r="T12" s="16"/>
      <c r="U12" s="16"/>
      <c r="V12" s="17"/>
      <c r="W12" s="5">
        <v>21</v>
      </c>
      <c r="X12" s="16"/>
      <c r="Y12" s="16"/>
      <c r="Z12" s="16"/>
      <c r="AA12" s="18"/>
      <c r="AB12" s="8">
        <f t="shared" si="5"/>
        <v>1</v>
      </c>
      <c r="AC12" s="9">
        <f t="shared" si="6"/>
        <v>0.125</v>
      </c>
      <c r="AD12" s="10">
        <f t="shared" ref="AD12:AD15" si="10">AC12*AB12*(1-O12)</f>
        <v>0.125</v>
      </c>
      <c r="AE12" s="36">
        <f t="shared" si="8"/>
        <v>0.34166666666666667</v>
      </c>
      <c r="AF12" s="87">
        <f t="shared" si="9"/>
        <v>7</v>
      </c>
    </row>
    <row r="13" spans="1:32" ht="27" customHeight="1">
      <c r="A13" s="103">
        <v>7</v>
      </c>
      <c r="B13" s="11" t="s">
        <v>57</v>
      </c>
      <c r="C13" s="11" t="s">
        <v>131</v>
      </c>
      <c r="D13" s="52" t="s">
        <v>117</v>
      </c>
      <c r="E13" s="53" t="s">
        <v>502</v>
      </c>
      <c r="F13" s="30" t="s">
        <v>280</v>
      </c>
      <c r="G13" s="33">
        <v>1</v>
      </c>
      <c r="H13" s="35">
        <v>24</v>
      </c>
      <c r="I13" s="7">
        <v>2500</v>
      </c>
      <c r="J13" s="14">
        <v>561</v>
      </c>
      <c r="K13" s="15">
        <f>L13</f>
        <v>561</v>
      </c>
      <c r="L13" s="15">
        <v>561</v>
      </c>
      <c r="M13" s="15">
        <f t="shared" ref="M13" si="11">L13-N13</f>
        <v>561</v>
      </c>
      <c r="N13" s="15">
        <v>0</v>
      </c>
      <c r="O13" s="58">
        <f t="shared" ref="O13" si="12">IF(L13=0,"0",N13/L13)</f>
        <v>0</v>
      </c>
      <c r="P13" s="39">
        <f t="shared" ref="P13" si="13">IF(L13=0,"0",(24-Q13))</f>
        <v>4</v>
      </c>
      <c r="Q13" s="40">
        <f t="shared" ref="Q13" si="14">SUM(R13:AA13)</f>
        <v>20</v>
      </c>
      <c r="R13" s="7"/>
      <c r="S13" s="6">
        <v>20</v>
      </c>
      <c r="T13" s="16"/>
      <c r="U13" s="16"/>
      <c r="V13" s="17"/>
      <c r="W13" s="5"/>
      <c r="X13" s="16"/>
      <c r="Y13" s="16"/>
      <c r="Z13" s="16"/>
      <c r="AA13" s="18"/>
      <c r="AB13" s="8">
        <f t="shared" ref="AB13" si="15">IF(J13=0,"0",(L13/J13))</f>
        <v>1</v>
      </c>
      <c r="AC13" s="9">
        <f t="shared" ref="AC13" si="16">IF(P13=0,"0",(P13/24))</f>
        <v>0.16666666666666666</v>
      </c>
      <c r="AD13" s="10">
        <f t="shared" ref="AD13" si="17">AC13*AB13*(1-O13)</f>
        <v>0.16666666666666666</v>
      </c>
      <c r="AE13" s="36">
        <f t="shared" si="8"/>
        <v>0.34166666666666667</v>
      </c>
      <c r="AF13" s="87">
        <f t="shared" ref="AF13" si="18">A13</f>
        <v>7</v>
      </c>
    </row>
    <row r="14" spans="1:32" ht="27" customHeight="1">
      <c r="A14" s="103">
        <v>8</v>
      </c>
      <c r="B14" s="11" t="s">
        <v>57</v>
      </c>
      <c r="C14" s="11" t="s">
        <v>126</v>
      </c>
      <c r="D14" s="52" t="s">
        <v>117</v>
      </c>
      <c r="E14" s="53" t="s">
        <v>143</v>
      </c>
      <c r="F14" s="30" t="s">
        <v>138</v>
      </c>
      <c r="G14" s="33">
        <v>4</v>
      </c>
      <c r="H14" s="35">
        <v>24</v>
      </c>
      <c r="I14" s="7">
        <v>850000</v>
      </c>
      <c r="J14" s="14">
        <v>15348</v>
      </c>
      <c r="K14" s="15">
        <f>L14+20676+20704+882+19912+11748+21560+18812+17048+21840+19920+21784+15116+10164+22344+20496+22064+21048+11316+20640</f>
        <v>353422</v>
      </c>
      <c r="L14" s="15">
        <f>1795*4+2042*4</f>
        <v>15348</v>
      </c>
      <c r="M14" s="15">
        <f t="shared" si="1"/>
        <v>15348</v>
      </c>
      <c r="N14" s="15">
        <v>0</v>
      </c>
      <c r="O14" s="58">
        <f t="shared" si="2"/>
        <v>0</v>
      </c>
      <c r="P14" s="39">
        <f t="shared" si="3"/>
        <v>20</v>
      </c>
      <c r="Q14" s="40">
        <f t="shared" si="4"/>
        <v>4</v>
      </c>
      <c r="R14" s="7"/>
      <c r="S14" s="6">
        <v>4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1</v>
      </c>
      <c r="AC14" s="9">
        <f t="shared" si="6"/>
        <v>0.83333333333333337</v>
      </c>
      <c r="AD14" s="10">
        <f t="shared" si="10"/>
        <v>0.83333333333333337</v>
      </c>
      <c r="AE14" s="36">
        <f t="shared" si="8"/>
        <v>0.34166666666666667</v>
      </c>
      <c r="AF14" s="87">
        <f t="shared" si="9"/>
        <v>8</v>
      </c>
    </row>
    <row r="15" spans="1:32" ht="27" customHeight="1">
      <c r="A15" s="118">
        <v>9</v>
      </c>
      <c r="B15" s="11" t="s">
        <v>57</v>
      </c>
      <c r="C15" s="34" t="s">
        <v>126</v>
      </c>
      <c r="D15" s="52" t="s">
        <v>454</v>
      </c>
      <c r="E15" s="53"/>
      <c r="F15" s="30" t="s">
        <v>138</v>
      </c>
      <c r="G15" s="33" t="s">
        <v>157</v>
      </c>
      <c r="H15" s="35">
        <v>24</v>
      </c>
      <c r="I15" s="7">
        <v>1050</v>
      </c>
      <c r="J15" s="5">
        <v>1474</v>
      </c>
      <c r="K15" s="15">
        <f>L15+1474</f>
        <v>1474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10"/>
        <v>0</v>
      </c>
      <c r="AE15" s="36">
        <f t="shared" si="8"/>
        <v>0.34166666666666667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300</v>
      </c>
      <c r="D16" s="52" t="s">
        <v>438</v>
      </c>
      <c r="E16" s="53" t="s">
        <v>370</v>
      </c>
      <c r="F16" s="12" t="s">
        <v>321</v>
      </c>
      <c r="G16" s="12">
        <v>4</v>
      </c>
      <c r="H16" s="13">
        <v>24</v>
      </c>
      <c r="I16" s="31">
        <v>20000</v>
      </c>
      <c r="J16" s="14">
        <v>14044</v>
      </c>
      <c r="K16" s="15">
        <f>L16+21256+21596+13236</f>
        <v>70132</v>
      </c>
      <c r="L16" s="15">
        <f>2741*4+770*4</f>
        <v>14044</v>
      </c>
      <c r="M16" s="15">
        <f t="shared" si="1"/>
        <v>14044</v>
      </c>
      <c r="N16" s="15">
        <v>0</v>
      </c>
      <c r="O16" s="58">
        <f t="shared" si="2"/>
        <v>0</v>
      </c>
      <c r="P16" s="39">
        <f t="shared" si="3"/>
        <v>21</v>
      </c>
      <c r="Q16" s="40">
        <f t="shared" si="4"/>
        <v>3</v>
      </c>
      <c r="R16" s="7"/>
      <c r="S16" s="6">
        <v>3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0.875</v>
      </c>
      <c r="AD16" s="10">
        <f t="shared" si="7"/>
        <v>0.875</v>
      </c>
      <c r="AE16" s="36">
        <f t="shared" si="8"/>
        <v>0.34166666666666667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490</v>
      </c>
      <c r="D17" s="52"/>
      <c r="E17" s="53" t="s">
        <v>492</v>
      </c>
      <c r="F17" s="30" t="s">
        <v>503</v>
      </c>
      <c r="G17" s="12">
        <v>2</v>
      </c>
      <c r="H17" s="13">
        <v>28</v>
      </c>
      <c r="I17" s="7">
        <v>1000</v>
      </c>
      <c r="J17" s="14">
        <v>1210</v>
      </c>
      <c r="K17" s="15">
        <f>L17</f>
        <v>1210</v>
      </c>
      <c r="L17" s="15">
        <f>605*2</f>
        <v>1210</v>
      </c>
      <c r="M17" s="15">
        <f t="shared" ref="M17" si="19">L17-N17</f>
        <v>1210</v>
      </c>
      <c r="N17" s="15">
        <v>0</v>
      </c>
      <c r="O17" s="58">
        <f t="shared" ref="O17" si="20">IF(L17=0,"0",N17/L17)</f>
        <v>0</v>
      </c>
      <c r="P17" s="39">
        <f t="shared" ref="P17" si="21">IF(L17=0,"0",(24-Q17))</f>
        <v>4</v>
      </c>
      <c r="Q17" s="40">
        <f t="shared" ref="Q17" si="22">SUM(R17:AA17)</f>
        <v>20</v>
      </c>
      <c r="R17" s="7"/>
      <c r="S17" s="6"/>
      <c r="T17" s="16"/>
      <c r="U17" s="16"/>
      <c r="V17" s="17"/>
      <c r="W17" s="5">
        <v>20</v>
      </c>
      <c r="X17" s="16"/>
      <c r="Y17" s="16"/>
      <c r="Z17" s="16"/>
      <c r="AA17" s="18"/>
      <c r="AB17" s="8">
        <f t="shared" ref="AB17" si="23">IF(J17=0,"0",(L17/J17))</f>
        <v>1</v>
      </c>
      <c r="AC17" s="9">
        <f t="shared" ref="AC17" si="24">IF(P17=0,"0",(P17/24))</f>
        <v>0.16666666666666666</v>
      </c>
      <c r="AD17" s="10">
        <f t="shared" ref="AD17" si="25">AC17*AB17*(1-O17)</f>
        <v>0.16666666666666666</v>
      </c>
      <c r="AE17" s="36">
        <f t="shared" si="8"/>
        <v>0.34166666666666667</v>
      </c>
      <c r="AF17" s="87">
        <f t="shared" ref="AF17" si="26">A17</f>
        <v>11</v>
      </c>
    </row>
    <row r="18" spans="1:32" ht="30" customHeight="1">
      <c r="A18" s="102">
        <v>11</v>
      </c>
      <c r="B18" s="11" t="s">
        <v>57</v>
      </c>
      <c r="C18" s="34" t="s">
        <v>490</v>
      </c>
      <c r="D18" s="52"/>
      <c r="E18" s="53" t="s">
        <v>493</v>
      </c>
      <c r="F18" s="30" t="s">
        <v>503</v>
      </c>
      <c r="G18" s="12">
        <v>2</v>
      </c>
      <c r="H18" s="13">
        <v>28</v>
      </c>
      <c r="I18" s="7">
        <v>1000</v>
      </c>
      <c r="J18" s="14">
        <v>1132</v>
      </c>
      <c r="K18" s="15">
        <f>L18</f>
        <v>1132</v>
      </c>
      <c r="L18" s="15">
        <f>312*2+254*2</f>
        <v>1132</v>
      </c>
      <c r="M18" s="15">
        <f t="shared" si="1"/>
        <v>1132</v>
      </c>
      <c r="N18" s="15">
        <v>0</v>
      </c>
      <c r="O18" s="58">
        <f t="shared" si="2"/>
        <v>0</v>
      </c>
      <c r="P18" s="39">
        <f t="shared" si="3"/>
        <v>4</v>
      </c>
      <c r="Q18" s="40">
        <f t="shared" si="4"/>
        <v>20</v>
      </c>
      <c r="R18" s="7"/>
      <c r="S18" s="6"/>
      <c r="T18" s="16"/>
      <c r="U18" s="16"/>
      <c r="V18" s="17"/>
      <c r="W18" s="5">
        <v>20</v>
      </c>
      <c r="X18" s="16"/>
      <c r="Y18" s="16"/>
      <c r="Z18" s="16"/>
      <c r="AA18" s="18"/>
      <c r="AB18" s="8">
        <f t="shared" si="5"/>
        <v>1</v>
      </c>
      <c r="AC18" s="9">
        <f t="shared" si="6"/>
        <v>0.16666666666666666</v>
      </c>
      <c r="AD18" s="10">
        <f t="shared" si="7"/>
        <v>0.16666666666666666</v>
      </c>
      <c r="AE18" s="36">
        <f t="shared" si="8"/>
        <v>0.34166666666666667</v>
      </c>
      <c r="AF18" s="87">
        <f t="shared" si="9"/>
        <v>11</v>
      </c>
    </row>
    <row r="19" spans="1:32" ht="27" customHeight="1">
      <c r="A19" s="102">
        <v>12</v>
      </c>
      <c r="B19" s="11" t="s">
        <v>57</v>
      </c>
      <c r="C19" s="34" t="s">
        <v>131</v>
      </c>
      <c r="D19" s="52" t="s">
        <v>141</v>
      </c>
      <c r="E19" s="53" t="s">
        <v>504</v>
      </c>
      <c r="F19" s="30" t="s">
        <v>505</v>
      </c>
      <c r="G19" s="33">
        <v>1</v>
      </c>
      <c r="H19" s="35">
        <v>24</v>
      </c>
      <c r="I19" s="7">
        <v>2500</v>
      </c>
      <c r="J19" s="5">
        <v>2812</v>
      </c>
      <c r="K19" s="15">
        <f>L19</f>
        <v>2812</v>
      </c>
      <c r="L19" s="15">
        <f>2812</f>
        <v>2812</v>
      </c>
      <c r="M19" s="15">
        <f t="shared" si="1"/>
        <v>2812</v>
      </c>
      <c r="N19" s="15">
        <v>0</v>
      </c>
      <c r="O19" s="58">
        <f t="shared" si="2"/>
        <v>0</v>
      </c>
      <c r="P19" s="39">
        <f t="shared" si="3"/>
        <v>14</v>
      </c>
      <c r="Q19" s="40">
        <f t="shared" si="4"/>
        <v>10</v>
      </c>
      <c r="R19" s="7"/>
      <c r="S19" s="6"/>
      <c r="T19" s="16">
        <v>10</v>
      </c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0.58333333333333337</v>
      </c>
      <c r="AD19" s="10">
        <f t="shared" si="7"/>
        <v>0.58333333333333337</v>
      </c>
      <c r="AE19" s="36">
        <f t="shared" si="8"/>
        <v>0.34166666666666667</v>
      </c>
      <c r="AF19" s="87">
        <f t="shared" si="9"/>
        <v>12</v>
      </c>
    </row>
    <row r="20" spans="1:32" ht="27" customHeight="1">
      <c r="A20" s="103">
        <v>13</v>
      </c>
      <c r="B20" s="11" t="s">
        <v>57</v>
      </c>
      <c r="C20" s="34" t="s">
        <v>114</v>
      </c>
      <c r="D20" s="52" t="s">
        <v>117</v>
      </c>
      <c r="E20" s="53" t="s">
        <v>226</v>
      </c>
      <c r="F20" s="30" t="s">
        <v>397</v>
      </c>
      <c r="G20" s="33">
        <v>1</v>
      </c>
      <c r="H20" s="35">
        <v>24</v>
      </c>
      <c r="I20" s="7">
        <v>1500</v>
      </c>
      <c r="J20" s="5">
        <v>268</v>
      </c>
      <c r="K20" s="15">
        <f>L20+2120</f>
        <v>2388</v>
      </c>
      <c r="L20" s="15">
        <v>268</v>
      </c>
      <c r="M20" s="15">
        <f t="shared" si="1"/>
        <v>268</v>
      </c>
      <c r="N20" s="15">
        <v>0</v>
      </c>
      <c r="O20" s="58">
        <f t="shared" si="2"/>
        <v>0</v>
      </c>
      <c r="P20" s="39">
        <f t="shared" si="3"/>
        <v>4</v>
      </c>
      <c r="Q20" s="40">
        <f t="shared" si="4"/>
        <v>20</v>
      </c>
      <c r="R20" s="7"/>
      <c r="S20" s="6"/>
      <c r="T20" s="16"/>
      <c r="U20" s="16"/>
      <c r="V20" s="17"/>
      <c r="W20" s="5">
        <v>20</v>
      </c>
      <c r="X20" s="16"/>
      <c r="Y20" s="16"/>
      <c r="Z20" s="16"/>
      <c r="AA20" s="18"/>
      <c r="AB20" s="8">
        <f t="shared" si="5"/>
        <v>1</v>
      </c>
      <c r="AC20" s="9">
        <f t="shared" si="6"/>
        <v>0.16666666666666666</v>
      </c>
      <c r="AD20" s="10">
        <f>AC20*AB20*(1-O20)</f>
        <v>0.16666666666666666</v>
      </c>
      <c r="AE20" s="36">
        <f t="shared" si="8"/>
        <v>0.34166666666666667</v>
      </c>
      <c r="AF20" s="87">
        <f t="shared" si="9"/>
        <v>13</v>
      </c>
    </row>
    <row r="21" spans="1:32" ht="27" customHeight="1">
      <c r="A21" s="103">
        <v>14</v>
      </c>
      <c r="B21" s="11" t="s">
        <v>57</v>
      </c>
      <c r="C21" s="11" t="s">
        <v>126</v>
      </c>
      <c r="D21" s="52" t="s">
        <v>202</v>
      </c>
      <c r="E21" s="53" t="s">
        <v>205</v>
      </c>
      <c r="F21" s="30" t="s">
        <v>138</v>
      </c>
      <c r="G21" s="33">
        <v>4</v>
      </c>
      <c r="H21" s="35">
        <v>24</v>
      </c>
      <c r="I21" s="7">
        <v>800000</v>
      </c>
      <c r="J21" s="14">
        <v>4440</v>
      </c>
      <c r="K21" s="15">
        <f>L21+12980+20160+21332+21348+21424+21388+19544+8924+20020+20460+20164+15216+19816</f>
        <v>247216</v>
      </c>
      <c r="L21" s="15">
        <f>1110*4</f>
        <v>4440</v>
      </c>
      <c r="M21" s="15">
        <f t="shared" si="1"/>
        <v>4440</v>
      </c>
      <c r="N21" s="15">
        <v>0</v>
      </c>
      <c r="O21" s="58">
        <f t="shared" si="2"/>
        <v>0</v>
      </c>
      <c r="P21" s="39">
        <f t="shared" si="3"/>
        <v>8</v>
      </c>
      <c r="Q21" s="40">
        <f t="shared" si="4"/>
        <v>16</v>
      </c>
      <c r="R21" s="7"/>
      <c r="S21" s="6">
        <v>16</v>
      </c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0.33333333333333331</v>
      </c>
      <c r="AD21" s="10">
        <f t="shared" ref="AD21" si="27">AC21*AB21*(1-O21)</f>
        <v>0.33333333333333331</v>
      </c>
      <c r="AE21" s="36">
        <f t="shared" si="8"/>
        <v>0.34166666666666667</v>
      </c>
      <c r="AF21" s="87">
        <f t="shared" si="9"/>
        <v>14</v>
      </c>
    </row>
    <row r="22" spans="1:32" ht="27" customHeight="1" thickBot="1">
      <c r="A22" s="103">
        <v>15</v>
      </c>
      <c r="B22" s="11" t="s">
        <v>57</v>
      </c>
      <c r="C22" s="11" t="s">
        <v>115</v>
      </c>
      <c r="D22" s="52"/>
      <c r="E22" s="53" t="s">
        <v>144</v>
      </c>
      <c r="F22" s="12" t="s">
        <v>116</v>
      </c>
      <c r="G22" s="12">
        <v>3</v>
      </c>
      <c r="H22" s="35">
        <v>20</v>
      </c>
      <c r="I22" s="7">
        <v>200000</v>
      </c>
      <c r="J22" s="14">
        <v>34300</v>
      </c>
      <c r="K22" s="15">
        <f>L22+22050+34300</f>
        <v>56350</v>
      </c>
      <c r="L22" s="15"/>
      <c r="M22" s="15">
        <f t="shared" si="1"/>
        <v>0</v>
      </c>
      <c r="N22" s="15">
        <v>0</v>
      </c>
      <c r="O22" s="58" t="str">
        <f t="shared" si="2"/>
        <v>0</v>
      </c>
      <c r="P22" s="39" t="str">
        <f t="shared" si="3"/>
        <v>0</v>
      </c>
      <c r="Q22" s="40">
        <f t="shared" si="4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5"/>
        <v>0</v>
      </c>
      <c r="AC22" s="9">
        <f t="shared" si="6"/>
        <v>0</v>
      </c>
      <c r="AD22" s="10">
        <f t="shared" si="7"/>
        <v>0</v>
      </c>
      <c r="AE22" s="36">
        <f t="shared" si="8"/>
        <v>0.34166666666666667</v>
      </c>
      <c r="AF22" s="87">
        <f t="shared" si="9"/>
        <v>15</v>
      </c>
    </row>
    <row r="23" spans="1:32" ht="31.5" customHeight="1" thickBot="1">
      <c r="A23" s="431" t="s">
        <v>34</v>
      </c>
      <c r="B23" s="432"/>
      <c r="C23" s="432"/>
      <c r="D23" s="432"/>
      <c r="E23" s="432"/>
      <c r="F23" s="432"/>
      <c r="G23" s="432"/>
      <c r="H23" s="433"/>
      <c r="I23" s="22">
        <f t="shared" ref="I23:N23" si="28">SUM(I6:I22)</f>
        <v>2102920</v>
      </c>
      <c r="J23" s="19">
        <f t="shared" si="28"/>
        <v>114942</v>
      </c>
      <c r="K23" s="20">
        <f t="shared" si="28"/>
        <v>1087452</v>
      </c>
      <c r="L23" s="21">
        <f t="shared" si="28"/>
        <v>72105</v>
      </c>
      <c r="M23" s="20">
        <f t="shared" si="28"/>
        <v>72105</v>
      </c>
      <c r="N23" s="21">
        <f t="shared" si="28"/>
        <v>0</v>
      </c>
      <c r="O23" s="41">
        <f t="shared" si="2"/>
        <v>0</v>
      </c>
      <c r="P23" s="42">
        <f t="shared" ref="P23:AA23" si="29">SUM(P6:P22)</f>
        <v>123</v>
      </c>
      <c r="Q23" s="43">
        <f t="shared" si="29"/>
        <v>285</v>
      </c>
      <c r="R23" s="23">
        <f t="shared" si="29"/>
        <v>24</v>
      </c>
      <c r="S23" s="24">
        <f t="shared" si="29"/>
        <v>50</v>
      </c>
      <c r="T23" s="24">
        <f t="shared" si="29"/>
        <v>10</v>
      </c>
      <c r="U23" s="24">
        <f t="shared" si="29"/>
        <v>0</v>
      </c>
      <c r="V23" s="25">
        <f t="shared" si="29"/>
        <v>24</v>
      </c>
      <c r="W23" s="26">
        <f t="shared" si="29"/>
        <v>177</v>
      </c>
      <c r="X23" s="27">
        <f t="shared" si="29"/>
        <v>0</v>
      </c>
      <c r="Y23" s="27">
        <f t="shared" si="29"/>
        <v>0</v>
      </c>
      <c r="Z23" s="27">
        <f t="shared" si="29"/>
        <v>0</v>
      </c>
      <c r="AA23" s="27">
        <f t="shared" si="29"/>
        <v>0</v>
      </c>
      <c r="AB23" s="28">
        <f>SUM(AB6:AB22)/15</f>
        <v>0.73333333333333328</v>
      </c>
      <c r="AC23" s="4">
        <f>SUM(AC6:AC22)/15</f>
        <v>0.34166666666666667</v>
      </c>
      <c r="AD23" s="4">
        <f>SUM(AD6:AD22)/15</f>
        <v>0.34166666666666667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8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34" t="s">
        <v>45</v>
      </c>
      <c r="B50" s="434"/>
      <c r="C50" s="434"/>
      <c r="D50" s="434"/>
      <c r="E50" s="434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35" t="s">
        <v>506</v>
      </c>
      <c r="B51" s="436"/>
      <c r="C51" s="436"/>
      <c r="D51" s="436"/>
      <c r="E51" s="436"/>
      <c r="F51" s="436"/>
      <c r="G51" s="436"/>
      <c r="H51" s="436"/>
      <c r="I51" s="436"/>
      <c r="J51" s="436"/>
      <c r="K51" s="436"/>
      <c r="L51" s="436"/>
      <c r="M51" s="437"/>
      <c r="N51" s="438" t="s">
        <v>511</v>
      </c>
      <c r="O51" s="439"/>
      <c r="P51" s="439"/>
      <c r="Q51" s="439"/>
      <c r="R51" s="439"/>
      <c r="S51" s="439"/>
      <c r="T51" s="439"/>
      <c r="U51" s="439"/>
      <c r="V51" s="439"/>
      <c r="W51" s="439"/>
      <c r="X51" s="439"/>
      <c r="Y51" s="439"/>
      <c r="Z51" s="439"/>
      <c r="AA51" s="439"/>
      <c r="AB51" s="439"/>
      <c r="AC51" s="439"/>
      <c r="AD51" s="440"/>
    </row>
    <row r="52" spans="1:32" ht="27" customHeight="1">
      <c r="A52" s="441" t="s">
        <v>2</v>
      </c>
      <c r="B52" s="442"/>
      <c r="C52" s="290" t="s">
        <v>46</v>
      </c>
      <c r="D52" s="290" t="s">
        <v>47</v>
      </c>
      <c r="E52" s="290" t="s">
        <v>108</v>
      </c>
      <c r="F52" s="442" t="s">
        <v>107</v>
      </c>
      <c r="G52" s="442"/>
      <c r="H52" s="442"/>
      <c r="I52" s="442"/>
      <c r="J52" s="442"/>
      <c r="K52" s="442"/>
      <c r="L52" s="442"/>
      <c r="M52" s="443"/>
      <c r="N52" s="67" t="s">
        <v>112</v>
      </c>
      <c r="O52" s="290" t="s">
        <v>46</v>
      </c>
      <c r="P52" s="444" t="s">
        <v>47</v>
      </c>
      <c r="Q52" s="445"/>
      <c r="R52" s="444" t="s">
        <v>38</v>
      </c>
      <c r="S52" s="446"/>
      <c r="T52" s="446"/>
      <c r="U52" s="445"/>
      <c r="V52" s="444" t="s">
        <v>48</v>
      </c>
      <c r="W52" s="446"/>
      <c r="X52" s="446"/>
      <c r="Y52" s="446"/>
      <c r="Z52" s="446"/>
      <c r="AA52" s="446"/>
      <c r="AB52" s="446"/>
      <c r="AC52" s="446"/>
      <c r="AD52" s="447"/>
    </row>
    <row r="53" spans="1:32" ht="27" customHeight="1">
      <c r="A53" s="412" t="s">
        <v>131</v>
      </c>
      <c r="B53" s="413"/>
      <c r="C53" s="287" t="s">
        <v>139</v>
      </c>
      <c r="D53" s="287"/>
      <c r="E53" s="287" t="s">
        <v>152</v>
      </c>
      <c r="F53" s="414" t="s">
        <v>507</v>
      </c>
      <c r="G53" s="415"/>
      <c r="H53" s="415"/>
      <c r="I53" s="415"/>
      <c r="J53" s="415"/>
      <c r="K53" s="415"/>
      <c r="L53" s="415"/>
      <c r="M53" s="416"/>
      <c r="N53" s="286" t="s">
        <v>126</v>
      </c>
      <c r="O53" s="284" t="s">
        <v>210</v>
      </c>
      <c r="P53" s="426" t="s">
        <v>117</v>
      </c>
      <c r="Q53" s="427"/>
      <c r="R53" s="426" t="s">
        <v>211</v>
      </c>
      <c r="S53" s="428"/>
      <c r="T53" s="428"/>
      <c r="U53" s="427"/>
      <c r="V53" s="396" t="s">
        <v>252</v>
      </c>
      <c r="W53" s="396"/>
      <c r="X53" s="396"/>
      <c r="Y53" s="396"/>
      <c r="Z53" s="396"/>
      <c r="AA53" s="396"/>
      <c r="AB53" s="396"/>
      <c r="AC53" s="396"/>
      <c r="AD53" s="417"/>
    </row>
    <row r="54" spans="1:32" ht="27" customHeight="1">
      <c r="A54" s="412" t="s">
        <v>131</v>
      </c>
      <c r="B54" s="413"/>
      <c r="C54" s="287" t="s">
        <v>136</v>
      </c>
      <c r="D54" s="287"/>
      <c r="E54" s="287" t="s">
        <v>279</v>
      </c>
      <c r="F54" s="414" t="s">
        <v>120</v>
      </c>
      <c r="G54" s="415"/>
      <c r="H54" s="415"/>
      <c r="I54" s="415"/>
      <c r="J54" s="415"/>
      <c r="K54" s="415"/>
      <c r="L54" s="415"/>
      <c r="M54" s="416"/>
      <c r="N54" s="286" t="s">
        <v>131</v>
      </c>
      <c r="O54" s="284" t="s">
        <v>136</v>
      </c>
      <c r="P54" s="426"/>
      <c r="Q54" s="427"/>
      <c r="R54" s="426" t="s">
        <v>502</v>
      </c>
      <c r="S54" s="428"/>
      <c r="T54" s="428"/>
      <c r="U54" s="427"/>
      <c r="V54" s="396" t="s">
        <v>137</v>
      </c>
      <c r="W54" s="396"/>
      <c r="X54" s="396"/>
      <c r="Y54" s="396"/>
      <c r="Z54" s="396"/>
      <c r="AA54" s="396"/>
      <c r="AB54" s="396"/>
      <c r="AC54" s="396"/>
      <c r="AD54" s="417"/>
    </row>
    <row r="55" spans="1:32" ht="27" customHeight="1">
      <c r="A55" s="412" t="s">
        <v>131</v>
      </c>
      <c r="B55" s="413"/>
      <c r="C55" s="287" t="s">
        <v>136</v>
      </c>
      <c r="D55" s="287"/>
      <c r="E55" s="287" t="s">
        <v>502</v>
      </c>
      <c r="F55" s="414" t="s">
        <v>508</v>
      </c>
      <c r="G55" s="415"/>
      <c r="H55" s="415"/>
      <c r="I55" s="415"/>
      <c r="J55" s="415"/>
      <c r="K55" s="415"/>
      <c r="L55" s="415"/>
      <c r="M55" s="416"/>
      <c r="N55" s="286" t="s">
        <v>131</v>
      </c>
      <c r="O55" s="284" t="s">
        <v>173</v>
      </c>
      <c r="P55" s="426"/>
      <c r="Q55" s="427"/>
      <c r="R55" s="426" t="s">
        <v>512</v>
      </c>
      <c r="S55" s="428"/>
      <c r="T55" s="428"/>
      <c r="U55" s="427"/>
      <c r="V55" s="396" t="s">
        <v>120</v>
      </c>
      <c r="W55" s="396"/>
      <c r="X55" s="396"/>
      <c r="Y55" s="396"/>
      <c r="Z55" s="396"/>
      <c r="AA55" s="396"/>
      <c r="AB55" s="396"/>
      <c r="AC55" s="396"/>
      <c r="AD55" s="417"/>
    </row>
    <row r="56" spans="1:32" ht="27" customHeight="1">
      <c r="A56" s="412" t="s">
        <v>490</v>
      </c>
      <c r="B56" s="413"/>
      <c r="C56" s="287" t="s">
        <v>258</v>
      </c>
      <c r="D56" s="287" t="s">
        <v>492</v>
      </c>
      <c r="E56" s="287" t="s">
        <v>509</v>
      </c>
      <c r="F56" s="414" t="s">
        <v>120</v>
      </c>
      <c r="G56" s="415"/>
      <c r="H56" s="415"/>
      <c r="I56" s="415"/>
      <c r="J56" s="415"/>
      <c r="K56" s="415"/>
      <c r="L56" s="415"/>
      <c r="M56" s="416"/>
      <c r="N56" s="286"/>
      <c r="O56" s="284"/>
      <c r="P56" s="426"/>
      <c r="Q56" s="427"/>
      <c r="R56" s="426"/>
      <c r="S56" s="428"/>
      <c r="T56" s="428"/>
      <c r="U56" s="427"/>
      <c r="V56" s="396"/>
      <c r="W56" s="396"/>
      <c r="X56" s="396"/>
      <c r="Y56" s="396"/>
      <c r="Z56" s="396"/>
      <c r="AA56" s="396"/>
      <c r="AB56" s="396"/>
      <c r="AC56" s="396"/>
      <c r="AD56" s="417"/>
    </row>
    <row r="57" spans="1:32" ht="27" customHeight="1">
      <c r="A57" s="412" t="s">
        <v>490</v>
      </c>
      <c r="B57" s="413"/>
      <c r="C57" s="287" t="s">
        <v>258</v>
      </c>
      <c r="D57" s="287" t="s">
        <v>493</v>
      </c>
      <c r="E57" s="287" t="s">
        <v>510</v>
      </c>
      <c r="F57" s="414" t="s">
        <v>120</v>
      </c>
      <c r="G57" s="415"/>
      <c r="H57" s="415"/>
      <c r="I57" s="415"/>
      <c r="J57" s="415"/>
      <c r="K57" s="415"/>
      <c r="L57" s="415"/>
      <c r="M57" s="416"/>
      <c r="N57" s="286"/>
      <c r="O57" s="284"/>
      <c r="P57" s="426"/>
      <c r="Q57" s="427"/>
      <c r="R57" s="426"/>
      <c r="S57" s="428"/>
      <c r="T57" s="428"/>
      <c r="U57" s="427"/>
      <c r="V57" s="396"/>
      <c r="W57" s="396"/>
      <c r="X57" s="396"/>
      <c r="Y57" s="396"/>
      <c r="Z57" s="396"/>
      <c r="AA57" s="396"/>
      <c r="AB57" s="396"/>
      <c r="AC57" s="396"/>
      <c r="AD57" s="417"/>
    </row>
    <row r="58" spans="1:32" ht="27" customHeight="1">
      <c r="A58" s="412" t="s">
        <v>131</v>
      </c>
      <c r="B58" s="413"/>
      <c r="C58" s="287" t="s">
        <v>237</v>
      </c>
      <c r="D58" s="287"/>
      <c r="E58" s="287" t="s">
        <v>504</v>
      </c>
      <c r="F58" s="414" t="s">
        <v>120</v>
      </c>
      <c r="G58" s="415"/>
      <c r="H58" s="415"/>
      <c r="I58" s="415"/>
      <c r="J58" s="415"/>
      <c r="K58" s="415"/>
      <c r="L58" s="415"/>
      <c r="M58" s="416"/>
      <c r="N58" s="286"/>
      <c r="O58" s="284"/>
      <c r="P58" s="426"/>
      <c r="Q58" s="427"/>
      <c r="R58" s="426"/>
      <c r="S58" s="428"/>
      <c r="T58" s="428"/>
      <c r="U58" s="427"/>
      <c r="V58" s="396"/>
      <c r="W58" s="396"/>
      <c r="X58" s="396"/>
      <c r="Y58" s="396"/>
      <c r="Z58" s="396"/>
      <c r="AA58" s="396"/>
      <c r="AB58" s="396"/>
      <c r="AC58" s="396"/>
      <c r="AD58" s="417"/>
    </row>
    <row r="59" spans="1:32" ht="27" customHeight="1">
      <c r="A59" s="412"/>
      <c r="B59" s="413"/>
      <c r="C59" s="287"/>
      <c r="D59" s="287"/>
      <c r="E59" s="287"/>
      <c r="F59" s="414"/>
      <c r="G59" s="415"/>
      <c r="H59" s="415"/>
      <c r="I59" s="415"/>
      <c r="J59" s="415"/>
      <c r="K59" s="415"/>
      <c r="L59" s="415"/>
      <c r="M59" s="416"/>
      <c r="N59" s="286"/>
      <c r="O59" s="284"/>
      <c r="P59" s="426"/>
      <c r="Q59" s="427"/>
      <c r="R59" s="413"/>
      <c r="S59" s="413"/>
      <c r="T59" s="413"/>
      <c r="U59" s="413"/>
      <c r="V59" s="396"/>
      <c r="W59" s="396"/>
      <c r="X59" s="396"/>
      <c r="Y59" s="396"/>
      <c r="Z59" s="396"/>
      <c r="AA59" s="396"/>
      <c r="AB59" s="396"/>
      <c r="AC59" s="396"/>
      <c r="AD59" s="417"/>
    </row>
    <row r="60" spans="1:32" ht="27" customHeight="1">
      <c r="A60" s="412"/>
      <c r="B60" s="413"/>
      <c r="C60" s="287"/>
      <c r="D60" s="287"/>
      <c r="E60" s="287"/>
      <c r="F60" s="414"/>
      <c r="G60" s="415"/>
      <c r="H60" s="415"/>
      <c r="I60" s="415"/>
      <c r="J60" s="415"/>
      <c r="K60" s="415"/>
      <c r="L60" s="415"/>
      <c r="M60" s="416"/>
      <c r="N60" s="286"/>
      <c r="O60" s="284"/>
      <c r="P60" s="426"/>
      <c r="Q60" s="427"/>
      <c r="R60" s="413"/>
      <c r="S60" s="413"/>
      <c r="T60" s="413"/>
      <c r="U60" s="413"/>
      <c r="V60" s="396"/>
      <c r="W60" s="396"/>
      <c r="X60" s="396"/>
      <c r="Y60" s="396"/>
      <c r="Z60" s="396"/>
      <c r="AA60" s="396"/>
      <c r="AB60" s="396"/>
      <c r="AC60" s="396"/>
      <c r="AD60" s="417"/>
    </row>
    <row r="61" spans="1:32" ht="27" customHeight="1">
      <c r="A61" s="412"/>
      <c r="B61" s="413"/>
      <c r="C61" s="287"/>
      <c r="D61" s="287"/>
      <c r="E61" s="287"/>
      <c r="F61" s="414"/>
      <c r="G61" s="415"/>
      <c r="H61" s="415"/>
      <c r="I61" s="415"/>
      <c r="J61" s="415"/>
      <c r="K61" s="415"/>
      <c r="L61" s="415"/>
      <c r="M61" s="416"/>
      <c r="N61" s="286"/>
      <c r="O61" s="284"/>
      <c r="P61" s="413"/>
      <c r="Q61" s="413"/>
      <c r="R61" s="413"/>
      <c r="S61" s="413"/>
      <c r="T61" s="413"/>
      <c r="U61" s="413"/>
      <c r="V61" s="396"/>
      <c r="W61" s="396"/>
      <c r="X61" s="396"/>
      <c r="Y61" s="396"/>
      <c r="Z61" s="396"/>
      <c r="AA61" s="396"/>
      <c r="AB61" s="396"/>
      <c r="AC61" s="396"/>
      <c r="AD61" s="417"/>
      <c r="AF61" s="87">
        <f>8*3000</f>
        <v>24000</v>
      </c>
    </row>
    <row r="62" spans="1:32" ht="27" customHeight="1" thickBot="1">
      <c r="A62" s="418"/>
      <c r="B62" s="419"/>
      <c r="C62" s="288"/>
      <c r="D62" s="289"/>
      <c r="E62" s="289"/>
      <c r="F62" s="420"/>
      <c r="G62" s="421"/>
      <c r="H62" s="421"/>
      <c r="I62" s="421"/>
      <c r="J62" s="421"/>
      <c r="K62" s="421"/>
      <c r="L62" s="421"/>
      <c r="M62" s="422"/>
      <c r="N62" s="124"/>
      <c r="O62" s="114"/>
      <c r="P62" s="423"/>
      <c r="Q62" s="423"/>
      <c r="R62" s="423"/>
      <c r="S62" s="423"/>
      <c r="T62" s="423"/>
      <c r="U62" s="423"/>
      <c r="V62" s="424"/>
      <c r="W62" s="424"/>
      <c r="X62" s="424"/>
      <c r="Y62" s="424"/>
      <c r="Z62" s="424"/>
      <c r="AA62" s="424"/>
      <c r="AB62" s="424"/>
      <c r="AC62" s="424"/>
      <c r="AD62" s="425"/>
      <c r="AF62" s="87">
        <f>16*3000</f>
        <v>48000</v>
      </c>
    </row>
    <row r="63" spans="1:32" ht="27.75" thickBot="1">
      <c r="A63" s="410" t="s">
        <v>513</v>
      </c>
      <c r="B63" s="410"/>
      <c r="C63" s="410"/>
      <c r="D63" s="410"/>
      <c r="E63" s="410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7">
        <v>24000</v>
      </c>
    </row>
    <row r="64" spans="1:32" ht="29.25" customHeight="1" thickBot="1">
      <c r="A64" s="411" t="s">
        <v>113</v>
      </c>
      <c r="B64" s="406"/>
      <c r="C64" s="285" t="s">
        <v>2</v>
      </c>
      <c r="D64" s="285" t="s">
        <v>37</v>
      </c>
      <c r="E64" s="285" t="s">
        <v>3</v>
      </c>
      <c r="F64" s="406" t="s">
        <v>110</v>
      </c>
      <c r="G64" s="406"/>
      <c r="H64" s="406"/>
      <c r="I64" s="406"/>
      <c r="J64" s="406"/>
      <c r="K64" s="406" t="s">
        <v>39</v>
      </c>
      <c r="L64" s="406"/>
      <c r="M64" s="285" t="s">
        <v>40</v>
      </c>
      <c r="N64" s="406" t="s">
        <v>41</v>
      </c>
      <c r="O64" s="406"/>
      <c r="P64" s="403" t="s">
        <v>42</v>
      </c>
      <c r="Q64" s="405"/>
      <c r="R64" s="403" t="s">
        <v>43</v>
      </c>
      <c r="S64" s="404"/>
      <c r="T64" s="404"/>
      <c r="U64" s="404"/>
      <c r="V64" s="404"/>
      <c r="W64" s="404"/>
      <c r="X64" s="404"/>
      <c r="Y64" s="404"/>
      <c r="Z64" s="404"/>
      <c r="AA64" s="405"/>
      <c r="AB64" s="406" t="s">
        <v>44</v>
      </c>
      <c r="AC64" s="406"/>
      <c r="AD64" s="407"/>
      <c r="AF64" s="87">
        <f>SUM(AF61:AF63)</f>
        <v>96000</v>
      </c>
    </row>
    <row r="65" spans="1:32" ht="25.5" customHeight="1">
      <c r="A65" s="389">
        <v>1</v>
      </c>
      <c r="B65" s="390"/>
      <c r="C65" s="117" t="s">
        <v>114</v>
      </c>
      <c r="D65" s="280"/>
      <c r="E65" s="283" t="s">
        <v>117</v>
      </c>
      <c r="F65" s="391" t="s">
        <v>514</v>
      </c>
      <c r="G65" s="383"/>
      <c r="H65" s="383"/>
      <c r="I65" s="383"/>
      <c r="J65" s="383"/>
      <c r="K65" s="383">
        <v>7301</v>
      </c>
      <c r="L65" s="383"/>
      <c r="M65" s="51" t="s">
        <v>222</v>
      </c>
      <c r="N65" s="401" t="s">
        <v>173</v>
      </c>
      <c r="O65" s="401"/>
      <c r="P65" s="402">
        <v>30</v>
      </c>
      <c r="Q65" s="402"/>
      <c r="R65" s="396"/>
      <c r="S65" s="396"/>
      <c r="T65" s="396"/>
      <c r="U65" s="396"/>
      <c r="V65" s="396"/>
      <c r="W65" s="396"/>
      <c r="X65" s="396"/>
      <c r="Y65" s="396"/>
      <c r="Z65" s="396"/>
      <c r="AA65" s="396"/>
      <c r="AB65" s="400"/>
      <c r="AC65" s="408"/>
      <c r="AD65" s="409"/>
      <c r="AF65" s="50"/>
    </row>
    <row r="66" spans="1:32" ht="25.5" customHeight="1">
      <c r="A66" s="389">
        <v>2</v>
      </c>
      <c r="B66" s="390"/>
      <c r="C66" s="117"/>
      <c r="D66" s="280"/>
      <c r="E66" s="283"/>
      <c r="F66" s="391"/>
      <c r="G66" s="383"/>
      <c r="H66" s="383"/>
      <c r="I66" s="383"/>
      <c r="J66" s="383"/>
      <c r="K66" s="383"/>
      <c r="L66" s="383"/>
      <c r="M66" s="51"/>
      <c r="N66" s="401"/>
      <c r="O66" s="401"/>
      <c r="P66" s="402"/>
      <c r="Q66" s="402"/>
      <c r="R66" s="396"/>
      <c r="S66" s="396"/>
      <c r="T66" s="396"/>
      <c r="U66" s="396"/>
      <c r="V66" s="396"/>
      <c r="W66" s="396"/>
      <c r="X66" s="396"/>
      <c r="Y66" s="396"/>
      <c r="Z66" s="396"/>
      <c r="AA66" s="396"/>
      <c r="AB66" s="383"/>
      <c r="AC66" s="383"/>
      <c r="AD66" s="384"/>
      <c r="AF66" s="50"/>
    </row>
    <row r="67" spans="1:32" ht="25.5" customHeight="1">
      <c r="A67" s="389">
        <v>3</v>
      </c>
      <c r="B67" s="390"/>
      <c r="C67" s="117"/>
      <c r="D67" s="280"/>
      <c r="E67" s="283"/>
      <c r="F67" s="397"/>
      <c r="G67" s="398"/>
      <c r="H67" s="398"/>
      <c r="I67" s="398"/>
      <c r="J67" s="399"/>
      <c r="K67" s="383"/>
      <c r="L67" s="383"/>
      <c r="M67" s="51"/>
      <c r="N67" s="401"/>
      <c r="O67" s="401"/>
      <c r="P67" s="402"/>
      <c r="Q67" s="402"/>
      <c r="R67" s="396"/>
      <c r="S67" s="396"/>
      <c r="T67" s="396"/>
      <c r="U67" s="396"/>
      <c r="V67" s="396"/>
      <c r="W67" s="396"/>
      <c r="X67" s="396"/>
      <c r="Y67" s="396"/>
      <c r="Z67" s="396"/>
      <c r="AA67" s="396"/>
      <c r="AB67" s="383"/>
      <c r="AC67" s="383"/>
      <c r="AD67" s="384"/>
      <c r="AF67" s="50"/>
    </row>
    <row r="68" spans="1:32" ht="25.5" customHeight="1">
      <c r="A68" s="389">
        <v>4</v>
      </c>
      <c r="B68" s="390"/>
      <c r="C68" s="117"/>
      <c r="D68" s="280"/>
      <c r="E68" s="283"/>
      <c r="F68" s="397"/>
      <c r="G68" s="398"/>
      <c r="H68" s="398"/>
      <c r="I68" s="398"/>
      <c r="J68" s="399"/>
      <c r="K68" s="383"/>
      <c r="L68" s="383"/>
      <c r="M68" s="51"/>
      <c r="N68" s="401"/>
      <c r="O68" s="401"/>
      <c r="P68" s="402"/>
      <c r="Q68" s="402"/>
      <c r="R68" s="396"/>
      <c r="S68" s="396"/>
      <c r="T68" s="396"/>
      <c r="U68" s="396"/>
      <c r="V68" s="396"/>
      <c r="W68" s="396"/>
      <c r="X68" s="396"/>
      <c r="Y68" s="396"/>
      <c r="Z68" s="396"/>
      <c r="AA68" s="396"/>
      <c r="AB68" s="383"/>
      <c r="AC68" s="383"/>
      <c r="AD68" s="384"/>
      <c r="AF68" s="50"/>
    </row>
    <row r="69" spans="1:32" ht="25.5" customHeight="1">
      <c r="A69" s="389">
        <v>5</v>
      </c>
      <c r="B69" s="390"/>
      <c r="C69" s="117"/>
      <c r="D69" s="280"/>
      <c r="E69" s="283"/>
      <c r="F69" s="397"/>
      <c r="G69" s="398"/>
      <c r="H69" s="398"/>
      <c r="I69" s="398"/>
      <c r="J69" s="399"/>
      <c r="K69" s="400"/>
      <c r="L69" s="390"/>
      <c r="M69" s="51"/>
      <c r="N69" s="401"/>
      <c r="O69" s="401"/>
      <c r="P69" s="402"/>
      <c r="Q69" s="402"/>
      <c r="R69" s="396"/>
      <c r="S69" s="396"/>
      <c r="T69" s="396"/>
      <c r="U69" s="396"/>
      <c r="V69" s="396"/>
      <c r="W69" s="396"/>
      <c r="X69" s="396"/>
      <c r="Y69" s="396"/>
      <c r="Z69" s="396"/>
      <c r="AA69" s="396"/>
      <c r="AB69" s="383"/>
      <c r="AC69" s="383"/>
      <c r="AD69" s="384"/>
      <c r="AF69" s="50"/>
    </row>
    <row r="70" spans="1:32" ht="25.5" customHeight="1">
      <c r="A70" s="389">
        <v>6</v>
      </c>
      <c r="B70" s="390"/>
      <c r="C70" s="117"/>
      <c r="D70" s="280"/>
      <c r="E70" s="283"/>
      <c r="F70" s="391"/>
      <c r="G70" s="383"/>
      <c r="H70" s="383"/>
      <c r="I70" s="383"/>
      <c r="J70" s="383"/>
      <c r="K70" s="383"/>
      <c r="L70" s="383"/>
      <c r="M70" s="51"/>
      <c r="N70" s="392"/>
      <c r="O70" s="393"/>
      <c r="P70" s="394"/>
      <c r="Q70" s="395"/>
      <c r="R70" s="396"/>
      <c r="S70" s="396"/>
      <c r="T70" s="396"/>
      <c r="U70" s="396"/>
      <c r="V70" s="396"/>
      <c r="W70" s="396"/>
      <c r="X70" s="396"/>
      <c r="Y70" s="396"/>
      <c r="Z70" s="396"/>
      <c r="AA70" s="396"/>
      <c r="AB70" s="383"/>
      <c r="AC70" s="383"/>
      <c r="AD70" s="384"/>
      <c r="AF70" s="50"/>
    </row>
    <row r="71" spans="1:32" ht="25.5" customHeight="1">
      <c r="A71" s="389">
        <v>7</v>
      </c>
      <c r="B71" s="390"/>
      <c r="C71" s="117"/>
      <c r="D71" s="280"/>
      <c r="E71" s="283"/>
      <c r="F71" s="391"/>
      <c r="G71" s="383"/>
      <c r="H71" s="383"/>
      <c r="I71" s="383"/>
      <c r="J71" s="383"/>
      <c r="K71" s="383"/>
      <c r="L71" s="383"/>
      <c r="M71" s="51"/>
      <c r="N71" s="392"/>
      <c r="O71" s="393"/>
      <c r="P71" s="394"/>
      <c r="Q71" s="395"/>
      <c r="R71" s="396"/>
      <c r="S71" s="396"/>
      <c r="T71" s="396"/>
      <c r="U71" s="396"/>
      <c r="V71" s="396"/>
      <c r="W71" s="396"/>
      <c r="X71" s="396"/>
      <c r="Y71" s="396"/>
      <c r="Z71" s="396"/>
      <c r="AA71" s="396"/>
      <c r="AB71" s="383"/>
      <c r="AC71" s="383"/>
      <c r="AD71" s="384"/>
      <c r="AF71" s="50"/>
    </row>
    <row r="72" spans="1:32" ht="25.5" customHeight="1">
      <c r="A72" s="389">
        <v>8</v>
      </c>
      <c r="B72" s="390"/>
      <c r="C72" s="117"/>
      <c r="D72" s="280"/>
      <c r="E72" s="283"/>
      <c r="F72" s="391"/>
      <c r="G72" s="383"/>
      <c r="H72" s="383"/>
      <c r="I72" s="383"/>
      <c r="J72" s="383"/>
      <c r="K72" s="383"/>
      <c r="L72" s="383"/>
      <c r="M72" s="51"/>
      <c r="N72" s="392"/>
      <c r="O72" s="393"/>
      <c r="P72" s="394"/>
      <c r="Q72" s="395"/>
      <c r="R72" s="396"/>
      <c r="S72" s="396"/>
      <c r="T72" s="396"/>
      <c r="U72" s="396"/>
      <c r="V72" s="396"/>
      <c r="W72" s="396"/>
      <c r="X72" s="396"/>
      <c r="Y72" s="396"/>
      <c r="Z72" s="396"/>
      <c r="AA72" s="396"/>
      <c r="AB72" s="383"/>
      <c r="AC72" s="383"/>
      <c r="AD72" s="384"/>
      <c r="AF72" s="50"/>
    </row>
    <row r="73" spans="1:32" ht="26.25" customHeight="1" thickBot="1">
      <c r="A73" s="363" t="s">
        <v>515</v>
      </c>
      <c r="B73" s="363"/>
      <c r="C73" s="363"/>
      <c r="D73" s="363"/>
      <c r="E73" s="363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F73" s="50"/>
    </row>
    <row r="74" spans="1:32" ht="23.25" thickBot="1">
      <c r="A74" s="364" t="s">
        <v>113</v>
      </c>
      <c r="B74" s="365"/>
      <c r="C74" s="282" t="s">
        <v>2</v>
      </c>
      <c r="D74" s="282" t="s">
        <v>37</v>
      </c>
      <c r="E74" s="282" t="s">
        <v>3</v>
      </c>
      <c r="F74" s="365" t="s">
        <v>38</v>
      </c>
      <c r="G74" s="365"/>
      <c r="H74" s="365"/>
      <c r="I74" s="365"/>
      <c r="J74" s="365"/>
      <c r="K74" s="385" t="s">
        <v>58</v>
      </c>
      <c r="L74" s="386"/>
      <c r="M74" s="386"/>
      <c r="N74" s="386"/>
      <c r="O74" s="386"/>
      <c r="P74" s="386"/>
      <c r="Q74" s="386"/>
      <c r="R74" s="386"/>
      <c r="S74" s="387"/>
      <c r="T74" s="365" t="s">
        <v>49</v>
      </c>
      <c r="U74" s="365"/>
      <c r="V74" s="385" t="s">
        <v>50</v>
      </c>
      <c r="W74" s="387"/>
      <c r="X74" s="386" t="s">
        <v>51</v>
      </c>
      <c r="Y74" s="386"/>
      <c r="Z74" s="386"/>
      <c r="AA74" s="386"/>
      <c r="AB74" s="386"/>
      <c r="AC74" s="386"/>
      <c r="AD74" s="388"/>
      <c r="AF74" s="50"/>
    </row>
    <row r="75" spans="1:32" ht="33.75" customHeight="1">
      <c r="A75" s="357">
        <v>1</v>
      </c>
      <c r="B75" s="358"/>
      <c r="C75" s="281" t="s">
        <v>114</v>
      </c>
      <c r="D75" s="281"/>
      <c r="E75" s="65" t="s">
        <v>119</v>
      </c>
      <c r="F75" s="372" t="s">
        <v>118</v>
      </c>
      <c r="G75" s="373"/>
      <c r="H75" s="373"/>
      <c r="I75" s="373"/>
      <c r="J75" s="374"/>
      <c r="K75" s="375" t="s">
        <v>128</v>
      </c>
      <c r="L75" s="376"/>
      <c r="M75" s="376"/>
      <c r="N75" s="376"/>
      <c r="O75" s="376"/>
      <c r="P75" s="376"/>
      <c r="Q75" s="376"/>
      <c r="R75" s="376"/>
      <c r="S75" s="377"/>
      <c r="T75" s="378">
        <v>43675</v>
      </c>
      <c r="U75" s="379"/>
      <c r="V75" s="380"/>
      <c r="W75" s="380"/>
      <c r="X75" s="381"/>
      <c r="Y75" s="381"/>
      <c r="Z75" s="381"/>
      <c r="AA75" s="381"/>
      <c r="AB75" s="381"/>
      <c r="AC75" s="381"/>
      <c r="AD75" s="382"/>
      <c r="AF75" s="50"/>
    </row>
    <row r="76" spans="1:32" ht="30" customHeight="1">
      <c r="A76" s="350">
        <f>A75+1</f>
        <v>2</v>
      </c>
      <c r="B76" s="351"/>
      <c r="C76" s="280"/>
      <c r="D76" s="280"/>
      <c r="E76" s="32"/>
      <c r="F76" s="351"/>
      <c r="G76" s="351"/>
      <c r="H76" s="351"/>
      <c r="I76" s="351"/>
      <c r="J76" s="351"/>
      <c r="K76" s="366"/>
      <c r="L76" s="367"/>
      <c r="M76" s="367"/>
      <c r="N76" s="367"/>
      <c r="O76" s="367"/>
      <c r="P76" s="367"/>
      <c r="Q76" s="367"/>
      <c r="R76" s="367"/>
      <c r="S76" s="368"/>
      <c r="T76" s="369"/>
      <c r="U76" s="369"/>
      <c r="V76" s="369"/>
      <c r="W76" s="369"/>
      <c r="X76" s="370"/>
      <c r="Y76" s="370"/>
      <c r="Z76" s="370"/>
      <c r="AA76" s="370"/>
      <c r="AB76" s="370"/>
      <c r="AC76" s="370"/>
      <c r="AD76" s="371"/>
      <c r="AF76" s="50"/>
    </row>
    <row r="77" spans="1:32" ht="30" customHeight="1">
      <c r="A77" s="350">
        <f t="shared" ref="A77:A83" si="30">A76+1</f>
        <v>3</v>
      </c>
      <c r="B77" s="351"/>
      <c r="C77" s="280"/>
      <c r="D77" s="280"/>
      <c r="E77" s="32"/>
      <c r="F77" s="351"/>
      <c r="G77" s="351"/>
      <c r="H77" s="351"/>
      <c r="I77" s="351"/>
      <c r="J77" s="351"/>
      <c r="K77" s="366"/>
      <c r="L77" s="367"/>
      <c r="M77" s="367"/>
      <c r="N77" s="367"/>
      <c r="O77" s="367"/>
      <c r="P77" s="367"/>
      <c r="Q77" s="367"/>
      <c r="R77" s="367"/>
      <c r="S77" s="368"/>
      <c r="T77" s="369"/>
      <c r="U77" s="369"/>
      <c r="V77" s="369"/>
      <c r="W77" s="369"/>
      <c r="X77" s="370"/>
      <c r="Y77" s="370"/>
      <c r="Z77" s="370"/>
      <c r="AA77" s="370"/>
      <c r="AB77" s="370"/>
      <c r="AC77" s="370"/>
      <c r="AD77" s="371"/>
      <c r="AF77" s="50"/>
    </row>
    <row r="78" spans="1:32" ht="30" customHeight="1">
      <c r="A78" s="350">
        <f t="shared" si="30"/>
        <v>4</v>
      </c>
      <c r="B78" s="351"/>
      <c r="C78" s="280"/>
      <c r="D78" s="280"/>
      <c r="E78" s="32"/>
      <c r="F78" s="351"/>
      <c r="G78" s="351"/>
      <c r="H78" s="351"/>
      <c r="I78" s="351"/>
      <c r="J78" s="351"/>
      <c r="K78" s="366"/>
      <c r="L78" s="367"/>
      <c r="M78" s="367"/>
      <c r="N78" s="367"/>
      <c r="O78" s="367"/>
      <c r="P78" s="367"/>
      <c r="Q78" s="367"/>
      <c r="R78" s="367"/>
      <c r="S78" s="368"/>
      <c r="T78" s="369"/>
      <c r="U78" s="369"/>
      <c r="V78" s="369"/>
      <c r="W78" s="369"/>
      <c r="X78" s="370"/>
      <c r="Y78" s="370"/>
      <c r="Z78" s="370"/>
      <c r="AA78" s="370"/>
      <c r="AB78" s="370"/>
      <c r="AC78" s="370"/>
      <c r="AD78" s="371"/>
      <c r="AF78" s="50"/>
    </row>
    <row r="79" spans="1:32" ht="30" customHeight="1">
      <c r="A79" s="350">
        <f t="shared" si="30"/>
        <v>5</v>
      </c>
      <c r="B79" s="351"/>
      <c r="C79" s="280"/>
      <c r="D79" s="280"/>
      <c r="E79" s="32"/>
      <c r="F79" s="351"/>
      <c r="G79" s="351"/>
      <c r="H79" s="351"/>
      <c r="I79" s="351"/>
      <c r="J79" s="351"/>
      <c r="K79" s="366"/>
      <c r="L79" s="367"/>
      <c r="M79" s="367"/>
      <c r="N79" s="367"/>
      <c r="O79" s="367"/>
      <c r="P79" s="367"/>
      <c r="Q79" s="367"/>
      <c r="R79" s="367"/>
      <c r="S79" s="368"/>
      <c r="T79" s="369"/>
      <c r="U79" s="369"/>
      <c r="V79" s="369"/>
      <c r="W79" s="369"/>
      <c r="X79" s="370"/>
      <c r="Y79" s="370"/>
      <c r="Z79" s="370"/>
      <c r="AA79" s="370"/>
      <c r="AB79" s="370"/>
      <c r="AC79" s="370"/>
      <c r="AD79" s="371"/>
      <c r="AF79" s="50"/>
    </row>
    <row r="80" spans="1:32" ht="30" customHeight="1">
      <c r="A80" s="350">
        <f t="shared" si="30"/>
        <v>6</v>
      </c>
      <c r="B80" s="351"/>
      <c r="C80" s="280"/>
      <c r="D80" s="280"/>
      <c r="E80" s="32"/>
      <c r="F80" s="351"/>
      <c r="G80" s="351"/>
      <c r="H80" s="351"/>
      <c r="I80" s="351"/>
      <c r="J80" s="351"/>
      <c r="K80" s="366"/>
      <c r="L80" s="367"/>
      <c r="M80" s="367"/>
      <c r="N80" s="367"/>
      <c r="O80" s="367"/>
      <c r="P80" s="367"/>
      <c r="Q80" s="367"/>
      <c r="R80" s="367"/>
      <c r="S80" s="368"/>
      <c r="T80" s="369"/>
      <c r="U80" s="369"/>
      <c r="V80" s="369"/>
      <c r="W80" s="369"/>
      <c r="X80" s="370"/>
      <c r="Y80" s="370"/>
      <c r="Z80" s="370"/>
      <c r="AA80" s="370"/>
      <c r="AB80" s="370"/>
      <c r="AC80" s="370"/>
      <c r="AD80" s="371"/>
      <c r="AF80" s="50"/>
    </row>
    <row r="81" spans="1:32" ht="30" customHeight="1">
      <c r="A81" s="350">
        <f t="shared" si="30"/>
        <v>7</v>
      </c>
      <c r="B81" s="351"/>
      <c r="C81" s="280"/>
      <c r="D81" s="280"/>
      <c r="E81" s="32"/>
      <c r="F81" s="351"/>
      <c r="G81" s="351"/>
      <c r="H81" s="351"/>
      <c r="I81" s="351"/>
      <c r="J81" s="351"/>
      <c r="K81" s="366"/>
      <c r="L81" s="367"/>
      <c r="M81" s="367"/>
      <c r="N81" s="367"/>
      <c r="O81" s="367"/>
      <c r="P81" s="367"/>
      <c r="Q81" s="367"/>
      <c r="R81" s="367"/>
      <c r="S81" s="368"/>
      <c r="T81" s="369"/>
      <c r="U81" s="369"/>
      <c r="V81" s="369"/>
      <c r="W81" s="369"/>
      <c r="X81" s="370"/>
      <c r="Y81" s="370"/>
      <c r="Z81" s="370"/>
      <c r="AA81" s="370"/>
      <c r="AB81" s="370"/>
      <c r="AC81" s="370"/>
      <c r="AD81" s="371"/>
      <c r="AF81" s="50"/>
    </row>
    <row r="82" spans="1:32" ht="30" customHeight="1">
      <c r="A82" s="350">
        <f t="shared" si="30"/>
        <v>8</v>
      </c>
      <c r="B82" s="351"/>
      <c r="C82" s="280"/>
      <c r="D82" s="280"/>
      <c r="E82" s="32"/>
      <c r="F82" s="351"/>
      <c r="G82" s="351"/>
      <c r="H82" s="351"/>
      <c r="I82" s="351"/>
      <c r="J82" s="351"/>
      <c r="K82" s="366"/>
      <c r="L82" s="367"/>
      <c r="M82" s="367"/>
      <c r="N82" s="367"/>
      <c r="O82" s="367"/>
      <c r="P82" s="367"/>
      <c r="Q82" s="367"/>
      <c r="R82" s="367"/>
      <c r="S82" s="368"/>
      <c r="T82" s="369"/>
      <c r="U82" s="369"/>
      <c r="V82" s="369"/>
      <c r="W82" s="369"/>
      <c r="X82" s="370"/>
      <c r="Y82" s="370"/>
      <c r="Z82" s="370"/>
      <c r="AA82" s="370"/>
      <c r="AB82" s="370"/>
      <c r="AC82" s="370"/>
      <c r="AD82" s="371"/>
      <c r="AF82" s="50"/>
    </row>
    <row r="83" spans="1:32" ht="30" customHeight="1">
      <c r="A83" s="350">
        <f t="shared" si="30"/>
        <v>9</v>
      </c>
      <c r="B83" s="351"/>
      <c r="C83" s="280"/>
      <c r="D83" s="280"/>
      <c r="E83" s="32"/>
      <c r="F83" s="351"/>
      <c r="G83" s="351"/>
      <c r="H83" s="351"/>
      <c r="I83" s="351"/>
      <c r="J83" s="351"/>
      <c r="K83" s="366"/>
      <c r="L83" s="367"/>
      <c r="M83" s="367"/>
      <c r="N83" s="367"/>
      <c r="O83" s="367"/>
      <c r="P83" s="367"/>
      <c r="Q83" s="367"/>
      <c r="R83" s="367"/>
      <c r="S83" s="368"/>
      <c r="T83" s="369"/>
      <c r="U83" s="369"/>
      <c r="V83" s="369"/>
      <c r="W83" s="369"/>
      <c r="X83" s="370"/>
      <c r="Y83" s="370"/>
      <c r="Z83" s="370"/>
      <c r="AA83" s="370"/>
      <c r="AB83" s="370"/>
      <c r="AC83" s="370"/>
      <c r="AD83" s="371"/>
      <c r="AF83" s="50"/>
    </row>
    <row r="84" spans="1:32" ht="36" thickBot="1">
      <c r="A84" s="363" t="s">
        <v>516</v>
      </c>
      <c r="B84" s="363"/>
      <c r="C84" s="363"/>
      <c r="D84" s="363"/>
      <c r="E84" s="363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364" t="s">
        <v>113</v>
      </c>
      <c r="B85" s="365"/>
      <c r="C85" s="355" t="s">
        <v>52</v>
      </c>
      <c r="D85" s="355"/>
      <c r="E85" s="355" t="s">
        <v>53</v>
      </c>
      <c r="F85" s="355"/>
      <c r="G85" s="355"/>
      <c r="H85" s="355"/>
      <c r="I85" s="355"/>
      <c r="J85" s="355"/>
      <c r="K85" s="355" t="s">
        <v>54</v>
      </c>
      <c r="L85" s="355"/>
      <c r="M85" s="355"/>
      <c r="N85" s="355"/>
      <c r="O85" s="355"/>
      <c r="P85" s="355"/>
      <c r="Q85" s="355"/>
      <c r="R85" s="355"/>
      <c r="S85" s="355"/>
      <c r="T85" s="355" t="s">
        <v>55</v>
      </c>
      <c r="U85" s="355"/>
      <c r="V85" s="355" t="s">
        <v>56</v>
      </c>
      <c r="W85" s="355"/>
      <c r="X85" s="355"/>
      <c r="Y85" s="355" t="s">
        <v>51</v>
      </c>
      <c r="Z85" s="355"/>
      <c r="AA85" s="355"/>
      <c r="AB85" s="355"/>
      <c r="AC85" s="355"/>
      <c r="AD85" s="356"/>
      <c r="AF85" s="50"/>
    </row>
    <row r="86" spans="1:32" ht="30.75" customHeight="1">
      <c r="A86" s="357">
        <v>1</v>
      </c>
      <c r="B86" s="358"/>
      <c r="C86" s="359"/>
      <c r="D86" s="359"/>
      <c r="E86" s="359"/>
      <c r="F86" s="359"/>
      <c r="G86" s="359"/>
      <c r="H86" s="359"/>
      <c r="I86" s="359"/>
      <c r="J86" s="359"/>
      <c r="K86" s="359"/>
      <c r="L86" s="359"/>
      <c r="M86" s="359"/>
      <c r="N86" s="359"/>
      <c r="O86" s="359"/>
      <c r="P86" s="359"/>
      <c r="Q86" s="359"/>
      <c r="R86" s="359"/>
      <c r="S86" s="359"/>
      <c r="T86" s="359"/>
      <c r="U86" s="359"/>
      <c r="V86" s="360"/>
      <c r="W86" s="360"/>
      <c r="X86" s="360"/>
      <c r="Y86" s="361"/>
      <c r="Z86" s="361"/>
      <c r="AA86" s="361"/>
      <c r="AB86" s="361"/>
      <c r="AC86" s="361"/>
      <c r="AD86" s="362"/>
      <c r="AF86" s="50"/>
    </row>
    <row r="87" spans="1:32" ht="30.75" customHeight="1">
      <c r="A87" s="350">
        <v>2</v>
      </c>
      <c r="B87" s="351"/>
      <c r="C87" s="352"/>
      <c r="D87" s="352"/>
      <c r="E87" s="352"/>
      <c r="F87" s="352"/>
      <c r="G87" s="352"/>
      <c r="H87" s="352"/>
      <c r="I87" s="352"/>
      <c r="J87" s="352"/>
      <c r="K87" s="352"/>
      <c r="L87" s="352"/>
      <c r="M87" s="352"/>
      <c r="N87" s="352"/>
      <c r="O87" s="352"/>
      <c r="P87" s="352"/>
      <c r="Q87" s="352"/>
      <c r="R87" s="352"/>
      <c r="S87" s="352"/>
      <c r="T87" s="353"/>
      <c r="U87" s="353"/>
      <c r="V87" s="354"/>
      <c r="W87" s="354"/>
      <c r="X87" s="354"/>
      <c r="Y87" s="343"/>
      <c r="Z87" s="343"/>
      <c r="AA87" s="343"/>
      <c r="AB87" s="343"/>
      <c r="AC87" s="343"/>
      <c r="AD87" s="344"/>
      <c r="AF87" s="50"/>
    </row>
    <row r="88" spans="1:32" ht="30.75" customHeight="1" thickBot="1">
      <c r="A88" s="345">
        <v>3</v>
      </c>
      <c r="B88" s="346"/>
      <c r="C88" s="347"/>
      <c r="D88" s="347"/>
      <c r="E88" s="347"/>
      <c r="F88" s="347"/>
      <c r="G88" s="347"/>
      <c r="H88" s="347"/>
      <c r="I88" s="347"/>
      <c r="J88" s="347"/>
      <c r="K88" s="347"/>
      <c r="L88" s="347"/>
      <c r="M88" s="347"/>
      <c r="N88" s="347"/>
      <c r="O88" s="347"/>
      <c r="P88" s="347"/>
      <c r="Q88" s="347"/>
      <c r="R88" s="347"/>
      <c r="S88" s="347"/>
      <c r="T88" s="347"/>
      <c r="U88" s="347"/>
      <c r="V88" s="347"/>
      <c r="W88" s="347"/>
      <c r="X88" s="347"/>
      <c r="Y88" s="348"/>
      <c r="Z88" s="348"/>
      <c r="AA88" s="348"/>
      <c r="AB88" s="348"/>
      <c r="AC88" s="348"/>
      <c r="AD88" s="349"/>
      <c r="AF88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8" max="29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B62-B0C1-4CB4-9971-C63160CA5C18}"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58" t="s">
        <v>517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8"/>
      <c r="B2" s="458"/>
      <c r="C2" s="458"/>
      <c r="D2" s="458"/>
      <c r="E2" s="458"/>
      <c r="F2" s="458"/>
      <c r="G2" s="458"/>
      <c r="H2" s="458"/>
      <c r="I2" s="458"/>
      <c r="J2" s="458"/>
      <c r="K2" s="458"/>
      <c r="L2" s="458"/>
      <c r="M2" s="458"/>
      <c r="N2" s="458"/>
      <c r="O2" s="45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9"/>
      <c r="B3" s="459"/>
      <c r="C3" s="459"/>
      <c r="D3" s="459"/>
      <c r="E3" s="459"/>
      <c r="F3" s="459"/>
      <c r="G3" s="45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0" t="s">
        <v>0</v>
      </c>
      <c r="B4" s="462" t="s">
        <v>1</v>
      </c>
      <c r="C4" s="462" t="s">
        <v>2</v>
      </c>
      <c r="D4" s="465" t="s">
        <v>3</v>
      </c>
      <c r="E4" s="467" t="s">
        <v>4</v>
      </c>
      <c r="F4" s="465" t="s">
        <v>5</v>
      </c>
      <c r="G4" s="462" t="s">
        <v>6</v>
      </c>
      <c r="H4" s="468" t="s">
        <v>7</v>
      </c>
      <c r="I4" s="448" t="s">
        <v>8</v>
      </c>
      <c r="J4" s="449"/>
      <c r="K4" s="449"/>
      <c r="L4" s="449"/>
      <c r="M4" s="449"/>
      <c r="N4" s="449"/>
      <c r="O4" s="450"/>
      <c r="P4" s="451" t="s">
        <v>9</v>
      </c>
      <c r="Q4" s="452"/>
      <c r="R4" s="453" t="s">
        <v>10</v>
      </c>
      <c r="S4" s="453"/>
      <c r="T4" s="453"/>
      <c r="U4" s="453"/>
      <c r="V4" s="453"/>
      <c r="W4" s="454" t="s">
        <v>11</v>
      </c>
      <c r="X4" s="453"/>
      <c r="Y4" s="453"/>
      <c r="Z4" s="453"/>
      <c r="AA4" s="455"/>
      <c r="AB4" s="456" t="s">
        <v>12</v>
      </c>
      <c r="AC4" s="429" t="s">
        <v>13</v>
      </c>
      <c r="AD4" s="429" t="s">
        <v>14</v>
      </c>
      <c r="AE4" s="54"/>
    </row>
    <row r="5" spans="1:32" ht="51" customHeight="1" thickBot="1">
      <c r="A5" s="461"/>
      <c r="B5" s="463"/>
      <c r="C5" s="464"/>
      <c r="D5" s="466"/>
      <c r="E5" s="466"/>
      <c r="F5" s="466"/>
      <c r="G5" s="463"/>
      <c r="H5" s="469"/>
      <c r="I5" s="55" t="s">
        <v>15</v>
      </c>
      <c r="J5" s="56" t="s">
        <v>16</v>
      </c>
      <c r="K5" s="292" t="s">
        <v>17</v>
      </c>
      <c r="L5" s="292" t="s">
        <v>18</v>
      </c>
      <c r="M5" s="292" t="s">
        <v>19</v>
      </c>
      <c r="N5" s="29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57"/>
      <c r="AC5" s="430"/>
      <c r="AD5" s="43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0.35833333333333334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126</v>
      </c>
      <c r="D7" s="52" t="s">
        <v>127</v>
      </c>
      <c r="E7" s="53" t="s">
        <v>125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0.35833333333333334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126</v>
      </c>
      <c r="D8" s="52" t="s">
        <v>119</v>
      </c>
      <c r="E8" s="53" t="s">
        <v>379</v>
      </c>
      <c r="F8" s="30" t="s">
        <v>138</v>
      </c>
      <c r="G8" s="33">
        <v>1</v>
      </c>
      <c r="H8" s="35">
        <v>24</v>
      </c>
      <c r="I8" s="7">
        <v>2000</v>
      </c>
      <c r="J8" s="14">
        <v>3138</v>
      </c>
      <c r="K8" s="15">
        <f>L8+3138</f>
        <v>3138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0.35833333333333334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275</v>
      </c>
      <c r="E9" s="53" t="s">
        <v>319</v>
      </c>
      <c r="F9" s="30" t="s">
        <v>132</v>
      </c>
      <c r="G9" s="33">
        <v>4</v>
      </c>
      <c r="H9" s="35">
        <v>24</v>
      </c>
      <c r="I9" s="7">
        <v>50000</v>
      </c>
      <c r="J9" s="14">
        <v>9704</v>
      </c>
      <c r="K9" s="15">
        <f>L9+14524+30712+10416+14284+17836+29964+19380</f>
        <v>146820</v>
      </c>
      <c r="L9" s="15">
        <f>2426*4</f>
        <v>9704</v>
      </c>
      <c r="M9" s="15">
        <f t="shared" si="1"/>
        <v>9704</v>
      </c>
      <c r="N9" s="15">
        <v>0</v>
      </c>
      <c r="O9" s="58">
        <f t="shared" si="2"/>
        <v>0</v>
      </c>
      <c r="P9" s="39">
        <f t="shared" si="3"/>
        <v>12</v>
      </c>
      <c r="Q9" s="40">
        <f t="shared" si="4"/>
        <v>12</v>
      </c>
      <c r="R9" s="7"/>
      <c r="S9" s="6">
        <v>12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0.5</v>
      </c>
      <c r="AD9" s="10">
        <f t="shared" si="7"/>
        <v>0.5</v>
      </c>
      <c r="AE9" s="36">
        <f t="shared" si="8"/>
        <v>0.35833333333333334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131</v>
      </c>
      <c r="D10" s="52" t="s">
        <v>150</v>
      </c>
      <c r="E10" s="53" t="s">
        <v>152</v>
      </c>
      <c r="F10" s="30" t="s">
        <v>121</v>
      </c>
      <c r="G10" s="33">
        <v>2</v>
      </c>
      <c r="H10" s="35">
        <v>24</v>
      </c>
      <c r="I10" s="7">
        <v>130000</v>
      </c>
      <c r="J10" s="5">
        <v>14000</v>
      </c>
      <c r="K10" s="15">
        <f>L10+13288+10116+14610+5976+7143+12482+1676+11964+11004+13758+11480+4868+7902+3480+4200+8468+9396+15232+12324</f>
        <v>193367</v>
      </c>
      <c r="L10" s="15">
        <f>3268*2+3732*2</f>
        <v>14000</v>
      </c>
      <c r="M10" s="15">
        <f t="shared" si="1"/>
        <v>14000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0.35833333333333334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126</v>
      </c>
      <c r="D11" s="52" t="s">
        <v>202</v>
      </c>
      <c r="E11" s="53" t="s">
        <v>421</v>
      </c>
      <c r="F11" s="30" t="s">
        <v>138</v>
      </c>
      <c r="G11" s="33">
        <v>2</v>
      </c>
      <c r="H11" s="35">
        <v>24</v>
      </c>
      <c r="I11" s="7">
        <v>20000</v>
      </c>
      <c r="J11" s="5">
        <v>1864</v>
      </c>
      <c r="K11" s="15">
        <f>L11+4520+10494+3986</f>
        <v>19000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>AC11*AB11*(1-O11)</f>
        <v>0</v>
      </c>
      <c r="AE11" s="36">
        <f t="shared" si="8"/>
        <v>0.35833333333333334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131</v>
      </c>
      <c r="D12" s="52" t="s">
        <v>117</v>
      </c>
      <c r="E12" s="53" t="s">
        <v>502</v>
      </c>
      <c r="F12" s="30" t="s">
        <v>280</v>
      </c>
      <c r="G12" s="33">
        <v>1</v>
      </c>
      <c r="H12" s="35">
        <v>24</v>
      </c>
      <c r="I12" s="7">
        <v>2500</v>
      </c>
      <c r="J12" s="14">
        <v>561</v>
      </c>
      <c r="K12" s="15">
        <f>L12+561</f>
        <v>561</v>
      </c>
      <c r="L12" s="15"/>
      <c r="M12" s="15">
        <f t="shared" si="1"/>
        <v>0</v>
      </c>
      <c r="N12" s="15">
        <v>0</v>
      </c>
      <c r="O12" s="58" t="str">
        <f t="shared" si="2"/>
        <v>0</v>
      </c>
      <c r="P12" s="39" t="str">
        <f t="shared" si="3"/>
        <v>0</v>
      </c>
      <c r="Q12" s="40">
        <f t="shared" si="4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0</v>
      </c>
      <c r="AC12" s="9">
        <f t="shared" si="6"/>
        <v>0</v>
      </c>
      <c r="AD12" s="10">
        <f t="shared" ref="AD12:AD14" si="10">AC12*AB12*(1-O12)</f>
        <v>0</v>
      </c>
      <c r="AE12" s="36">
        <f t="shared" si="8"/>
        <v>0.35833333333333334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117</v>
      </c>
      <c r="E13" s="53" t="s">
        <v>143</v>
      </c>
      <c r="F13" s="30" t="s">
        <v>138</v>
      </c>
      <c r="G13" s="33">
        <v>4</v>
      </c>
      <c r="H13" s="35">
        <v>24</v>
      </c>
      <c r="I13" s="7">
        <v>850000</v>
      </c>
      <c r="J13" s="14">
        <v>14500</v>
      </c>
      <c r="K13" s="15">
        <f>L13+20676+20704+882+19912+11748+21560+18812+17048+21840+19920+21784+15116+10164+22344+20496+22064+21048+11316+20640+15348</f>
        <v>367922</v>
      </c>
      <c r="L13" s="15">
        <f>622*4+3003*4</f>
        <v>14500</v>
      </c>
      <c r="M13" s="15">
        <f t="shared" si="1"/>
        <v>14500</v>
      </c>
      <c r="N13" s="15">
        <v>0</v>
      </c>
      <c r="O13" s="58">
        <f t="shared" si="2"/>
        <v>0</v>
      </c>
      <c r="P13" s="39">
        <f t="shared" si="3"/>
        <v>18</v>
      </c>
      <c r="Q13" s="40">
        <f t="shared" si="4"/>
        <v>6</v>
      </c>
      <c r="R13" s="7"/>
      <c r="S13" s="6">
        <v>6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0.75</v>
      </c>
      <c r="AD13" s="10">
        <f t="shared" si="10"/>
        <v>0.75</v>
      </c>
      <c r="AE13" s="36">
        <f t="shared" si="8"/>
        <v>0.35833333333333334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126</v>
      </c>
      <c r="D14" s="52" t="s">
        <v>454</v>
      </c>
      <c r="E14" s="53"/>
      <c r="F14" s="30" t="s">
        <v>138</v>
      </c>
      <c r="G14" s="33" t="s">
        <v>157</v>
      </c>
      <c r="H14" s="35">
        <v>24</v>
      </c>
      <c r="I14" s="7">
        <v>1050</v>
      </c>
      <c r="J14" s="5">
        <v>1474</v>
      </c>
      <c r="K14" s="15">
        <f>L14+1474</f>
        <v>1474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10"/>
        <v>0</v>
      </c>
      <c r="AE14" s="36">
        <f t="shared" si="8"/>
        <v>0.35833333333333334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300</v>
      </c>
      <c r="D15" s="52" t="s">
        <v>438</v>
      </c>
      <c r="E15" s="53" t="s">
        <v>370</v>
      </c>
      <c r="F15" s="12" t="s">
        <v>321</v>
      </c>
      <c r="G15" s="12">
        <v>4</v>
      </c>
      <c r="H15" s="13">
        <v>24</v>
      </c>
      <c r="I15" s="31">
        <v>20000</v>
      </c>
      <c r="J15" s="14">
        <v>20036</v>
      </c>
      <c r="K15" s="15">
        <f>L15+21256+21596+13236+14044</f>
        <v>90168</v>
      </c>
      <c r="L15" s="15">
        <f>2537*4+2472*4</f>
        <v>20036</v>
      </c>
      <c r="M15" s="15">
        <f t="shared" si="1"/>
        <v>20036</v>
      </c>
      <c r="N15" s="15">
        <v>0</v>
      </c>
      <c r="O15" s="58">
        <f t="shared" si="2"/>
        <v>0</v>
      </c>
      <c r="P15" s="39">
        <f t="shared" si="3"/>
        <v>24</v>
      </c>
      <c r="Q15" s="40">
        <f t="shared" si="4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1</v>
      </c>
      <c r="AD15" s="10">
        <f t="shared" si="7"/>
        <v>1</v>
      </c>
      <c r="AE15" s="36">
        <f t="shared" si="8"/>
        <v>0.35833333333333334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490</v>
      </c>
      <c r="D16" s="52"/>
      <c r="E16" s="53" t="s">
        <v>493</v>
      </c>
      <c r="F16" s="30" t="s">
        <v>503</v>
      </c>
      <c r="G16" s="12">
        <v>2</v>
      </c>
      <c r="H16" s="13">
        <v>28</v>
      </c>
      <c r="I16" s="7">
        <v>1000</v>
      </c>
      <c r="J16" s="14">
        <v>1132</v>
      </c>
      <c r="K16" s="15">
        <f>L16+1132</f>
        <v>1132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0.35833333333333334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131</v>
      </c>
      <c r="D17" s="52" t="s">
        <v>141</v>
      </c>
      <c r="E17" s="53" t="s">
        <v>504</v>
      </c>
      <c r="F17" s="30" t="s">
        <v>505</v>
      </c>
      <c r="G17" s="33">
        <v>1</v>
      </c>
      <c r="H17" s="35">
        <v>24</v>
      </c>
      <c r="I17" s="7">
        <v>2500</v>
      </c>
      <c r="J17" s="5">
        <v>1967</v>
      </c>
      <c r="K17" s="15">
        <f>L17+2812</f>
        <v>4779</v>
      </c>
      <c r="L17" s="15">
        <v>1967</v>
      </c>
      <c r="M17" s="15">
        <f t="shared" si="1"/>
        <v>1967</v>
      </c>
      <c r="N17" s="15">
        <v>0</v>
      </c>
      <c r="O17" s="58">
        <f t="shared" si="2"/>
        <v>0</v>
      </c>
      <c r="P17" s="39">
        <f t="shared" si="3"/>
        <v>10</v>
      </c>
      <c r="Q17" s="40">
        <f t="shared" si="4"/>
        <v>14</v>
      </c>
      <c r="R17" s="7"/>
      <c r="S17" s="6"/>
      <c r="T17" s="16"/>
      <c r="U17" s="16"/>
      <c r="V17" s="17"/>
      <c r="W17" s="5">
        <v>14</v>
      </c>
      <c r="X17" s="16"/>
      <c r="Y17" s="16"/>
      <c r="Z17" s="16"/>
      <c r="AA17" s="18"/>
      <c r="AB17" s="8">
        <f t="shared" si="5"/>
        <v>1</v>
      </c>
      <c r="AC17" s="9">
        <f t="shared" si="6"/>
        <v>0.41666666666666669</v>
      </c>
      <c r="AD17" s="10">
        <f t="shared" si="7"/>
        <v>0.41666666666666669</v>
      </c>
      <c r="AE17" s="36">
        <f t="shared" si="8"/>
        <v>0.35833333333333334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131</v>
      </c>
      <c r="D18" s="52" t="s">
        <v>335</v>
      </c>
      <c r="E18" s="53" t="s">
        <v>512</v>
      </c>
      <c r="F18" s="30" t="s">
        <v>132</v>
      </c>
      <c r="G18" s="33">
        <v>1</v>
      </c>
      <c r="H18" s="35">
        <v>24</v>
      </c>
      <c r="I18" s="7">
        <v>2500</v>
      </c>
      <c r="J18" s="5">
        <v>4746</v>
      </c>
      <c r="K18" s="15">
        <f>L18</f>
        <v>4746</v>
      </c>
      <c r="L18" s="15">
        <f>2044+2702</f>
        <v>4746</v>
      </c>
      <c r="M18" s="15">
        <f t="shared" si="1"/>
        <v>4746</v>
      </c>
      <c r="N18" s="15">
        <v>0</v>
      </c>
      <c r="O18" s="58">
        <f t="shared" si="2"/>
        <v>0</v>
      </c>
      <c r="P18" s="39">
        <f t="shared" si="3"/>
        <v>22</v>
      </c>
      <c r="Q18" s="40">
        <f t="shared" si="4"/>
        <v>2</v>
      </c>
      <c r="R18" s="7"/>
      <c r="S18" s="6"/>
      <c r="T18" s="16">
        <v>2</v>
      </c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0.91666666666666663</v>
      </c>
      <c r="AD18" s="10">
        <f>AC18*AB18*(1-O18)</f>
        <v>0.91666666666666663</v>
      </c>
      <c r="AE18" s="36">
        <f t="shared" si="8"/>
        <v>0.35833333333333334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126</v>
      </c>
      <c r="D19" s="52" t="s">
        <v>202</v>
      </c>
      <c r="E19" s="53" t="s">
        <v>205</v>
      </c>
      <c r="F19" s="30" t="s">
        <v>138</v>
      </c>
      <c r="G19" s="33">
        <v>4</v>
      </c>
      <c r="H19" s="35">
        <v>24</v>
      </c>
      <c r="I19" s="7">
        <v>800000</v>
      </c>
      <c r="J19" s="14">
        <v>14220</v>
      </c>
      <c r="K19" s="15">
        <f>L19+12980+20160+21332+21348+21424+21388+19544+8924+20020+20460+20164+15216+19816+4440</f>
        <v>261436</v>
      </c>
      <c r="L19" s="15">
        <f>857*4+2698*4</f>
        <v>14220</v>
      </c>
      <c r="M19" s="15">
        <f t="shared" si="1"/>
        <v>14220</v>
      </c>
      <c r="N19" s="15">
        <v>0</v>
      </c>
      <c r="O19" s="58">
        <f t="shared" si="2"/>
        <v>0</v>
      </c>
      <c r="P19" s="39">
        <f t="shared" si="3"/>
        <v>19</v>
      </c>
      <c r="Q19" s="40">
        <f t="shared" si="4"/>
        <v>5</v>
      </c>
      <c r="R19" s="7"/>
      <c r="S19" s="6">
        <v>5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0.79166666666666663</v>
      </c>
      <c r="AD19" s="10">
        <f t="shared" ref="AD19" si="11">AC19*AB19*(1-O19)</f>
        <v>0.79166666666666663</v>
      </c>
      <c r="AE19" s="36">
        <f t="shared" si="8"/>
        <v>0.35833333333333334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144</v>
      </c>
      <c r="F20" s="12" t="s">
        <v>116</v>
      </c>
      <c r="G20" s="12">
        <v>3</v>
      </c>
      <c r="H20" s="35">
        <v>20</v>
      </c>
      <c r="I20" s="7">
        <v>200000</v>
      </c>
      <c r="J20" s="14">
        <v>34300</v>
      </c>
      <c r="K20" s="15">
        <f>L20+22050+34300</f>
        <v>56350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0.35833333333333334</v>
      </c>
      <c r="AF20" s="87">
        <f t="shared" si="9"/>
        <v>15</v>
      </c>
    </row>
    <row r="21" spans="1:32" ht="31.5" customHeight="1" thickBot="1">
      <c r="A21" s="431" t="s">
        <v>34</v>
      </c>
      <c r="B21" s="432"/>
      <c r="C21" s="432"/>
      <c r="D21" s="432"/>
      <c r="E21" s="432"/>
      <c r="F21" s="432"/>
      <c r="G21" s="432"/>
      <c r="H21" s="433"/>
      <c r="I21" s="22">
        <f t="shared" ref="I21:N21" si="12">SUM(I6:I20)</f>
        <v>2102550</v>
      </c>
      <c r="J21" s="19">
        <f t="shared" si="12"/>
        <v>123703</v>
      </c>
      <c r="K21" s="20">
        <f t="shared" si="12"/>
        <v>1162441</v>
      </c>
      <c r="L21" s="21">
        <f t="shared" si="12"/>
        <v>79173</v>
      </c>
      <c r="M21" s="20">
        <f t="shared" si="12"/>
        <v>79173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129</v>
      </c>
      <c r="Q21" s="43">
        <f t="shared" si="13"/>
        <v>231</v>
      </c>
      <c r="R21" s="23">
        <f t="shared" si="13"/>
        <v>24</v>
      </c>
      <c r="S21" s="24">
        <f t="shared" si="13"/>
        <v>47</v>
      </c>
      <c r="T21" s="24">
        <f t="shared" si="13"/>
        <v>2</v>
      </c>
      <c r="U21" s="24">
        <f t="shared" si="13"/>
        <v>0</v>
      </c>
      <c r="V21" s="25">
        <f t="shared" si="13"/>
        <v>24</v>
      </c>
      <c r="W21" s="26">
        <f t="shared" si="13"/>
        <v>134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0.46666666666666667</v>
      </c>
      <c r="AC21" s="4">
        <f>SUM(AC6:AC20)/15</f>
        <v>0.35833333333333334</v>
      </c>
      <c r="AD21" s="4">
        <f>SUM(AD6:AD20)/15</f>
        <v>0.35833333333333334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34" t="s">
        <v>45</v>
      </c>
      <c r="B48" s="434"/>
      <c r="C48" s="434"/>
      <c r="D48" s="434"/>
      <c r="E48" s="43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35" t="s">
        <v>518</v>
      </c>
      <c r="B49" s="436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7"/>
      <c r="N49" s="438" t="s">
        <v>520</v>
      </c>
      <c r="O49" s="439"/>
      <c r="P49" s="439"/>
      <c r="Q49" s="439"/>
      <c r="R49" s="439"/>
      <c r="S49" s="439"/>
      <c r="T49" s="439"/>
      <c r="U49" s="439"/>
      <c r="V49" s="439"/>
      <c r="W49" s="439"/>
      <c r="X49" s="439"/>
      <c r="Y49" s="439"/>
      <c r="Z49" s="439"/>
      <c r="AA49" s="439"/>
      <c r="AB49" s="439"/>
      <c r="AC49" s="439"/>
      <c r="AD49" s="440"/>
    </row>
    <row r="50" spans="1:32" ht="27" customHeight="1">
      <c r="A50" s="441" t="s">
        <v>2</v>
      </c>
      <c r="B50" s="442"/>
      <c r="C50" s="293" t="s">
        <v>46</v>
      </c>
      <c r="D50" s="293" t="s">
        <v>47</v>
      </c>
      <c r="E50" s="293" t="s">
        <v>108</v>
      </c>
      <c r="F50" s="442" t="s">
        <v>107</v>
      </c>
      <c r="G50" s="442"/>
      <c r="H50" s="442"/>
      <c r="I50" s="442"/>
      <c r="J50" s="442"/>
      <c r="K50" s="442"/>
      <c r="L50" s="442"/>
      <c r="M50" s="443"/>
      <c r="N50" s="67" t="s">
        <v>112</v>
      </c>
      <c r="O50" s="293" t="s">
        <v>46</v>
      </c>
      <c r="P50" s="444" t="s">
        <v>47</v>
      </c>
      <c r="Q50" s="445"/>
      <c r="R50" s="444" t="s">
        <v>38</v>
      </c>
      <c r="S50" s="446"/>
      <c r="T50" s="446"/>
      <c r="U50" s="445"/>
      <c r="V50" s="444" t="s">
        <v>48</v>
      </c>
      <c r="W50" s="446"/>
      <c r="X50" s="446"/>
      <c r="Y50" s="446"/>
      <c r="Z50" s="446"/>
      <c r="AA50" s="446"/>
      <c r="AB50" s="446"/>
      <c r="AC50" s="446"/>
      <c r="AD50" s="447"/>
    </row>
    <row r="51" spans="1:32" ht="27" customHeight="1">
      <c r="A51" s="412" t="s">
        <v>131</v>
      </c>
      <c r="B51" s="413"/>
      <c r="C51" s="295" t="s">
        <v>136</v>
      </c>
      <c r="D51" s="295"/>
      <c r="E51" s="295" t="s">
        <v>502</v>
      </c>
      <c r="F51" s="414" t="s">
        <v>209</v>
      </c>
      <c r="G51" s="415"/>
      <c r="H51" s="415"/>
      <c r="I51" s="415"/>
      <c r="J51" s="415"/>
      <c r="K51" s="415"/>
      <c r="L51" s="415"/>
      <c r="M51" s="416"/>
      <c r="N51" s="294" t="s">
        <v>131</v>
      </c>
      <c r="O51" s="300" t="s">
        <v>136</v>
      </c>
      <c r="P51" s="426"/>
      <c r="Q51" s="427"/>
      <c r="R51" s="426" t="s">
        <v>502</v>
      </c>
      <c r="S51" s="428"/>
      <c r="T51" s="428"/>
      <c r="U51" s="427"/>
      <c r="V51" s="396" t="s">
        <v>137</v>
      </c>
      <c r="W51" s="396"/>
      <c r="X51" s="396"/>
      <c r="Y51" s="396"/>
      <c r="Z51" s="396"/>
      <c r="AA51" s="396"/>
      <c r="AB51" s="396"/>
      <c r="AC51" s="396"/>
      <c r="AD51" s="417"/>
    </row>
    <row r="52" spans="1:32" ht="27" customHeight="1">
      <c r="A52" s="412" t="s">
        <v>126</v>
      </c>
      <c r="B52" s="413"/>
      <c r="C52" s="295" t="s">
        <v>129</v>
      </c>
      <c r="D52" s="295"/>
      <c r="E52" s="295" t="s">
        <v>275</v>
      </c>
      <c r="F52" s="414" t="s">
        <v>519</v>
      </c>
      <c r="G52" s="415"/>
      <c r="H52" s="415"/>
      <c r="I52" s="415"/>
      <c r="J52" s="415"/>
      <c r="K52" s="415"/>
      <c r="L52" s="415"/>
      <c r="M52" s="416"/>
      <c r="N52" s="294" t="s">
        <v>123</v>
      </c>
      <c r="O52" s="300" t="s">
        <v>129</v>
      </c>
      <c r="P52" s="426" t="s">
        <v>218</v>
      </c>
      <c r="Q52" s="427"/>
      <c r="R52" s="426" t="s">
        <v>521</v>
      </c>
      <c r="S52" s="428"/>
      <c r="T52" s="428"/>
      <c r="U52" s="427"/>
      <c r="V52" s="396" t="s">
        <v>120</v>
      </c>
      <c r="W52" s="396"/>
      <c r="X52" s="396"/>
      <c r="Y52" s="396"/>
      <c r="Z52" s="396"/>
      <c r="AA52" s="396"/>
      <c r="AB52" s="396"/>
      <c r="AC52" s="396"/>
      <c r="AD52" s="417"/>
    </row>
    <row r="53" spans="1:32" ht="27" customHeight="1">
      <c r="A53" s="412" t="s">
        <v>131</v>
      </c>
      <c r="B53" s="413"/>
      <c r="C53" s="295" t="s">
        <v>173</v>
      </c>
      <c r="D53" s="295"/>
      <c r="E53" s="295" t="s">
        <v>512</v>
      </c>
      <c r="F53" s="414" t="s">
        <v>120</v>
      </c>
      <c r="G53" s="415"/>
      <c r="H53" s="415"/>
      <c r="I53" s="415"/>
      <c r="J53" s="415"/>
      <c r="K53" s="415"/>
      <c r="L53" s="415"/>
      <c r="M53" s="416"/>
      <c r="N53" s="294" t="s">
        <v>123</v>
      </c>
      <c r="O53" s="300" t="s">
        <v>136</v>
      </c>
      <c r="P53" s="426" t="s">
        <v>117</v>
      </c>
      <c r="Q53" s="427"/>
      <c r="R53" s="426" t="s">
        <v>522</v>
      </c>
      <c r="S53" s="428"/>
      <c r="T53" s="428"/>
      <c r="U53" s="427"/>
      <c r="V53" s="396" t="s">
        <v>120</v>
      </c>
      <c r="W53" s="396"/>
      <c r="X53" s="396"/>
      <c r="Y53" s="396"/>
      <c r="Z53" s="396"/>
      <c r="AA53" s="396"/>
      <c r="AB53" s="396"/>
      <c r="AC53" s="396"/>
      <c r="AD53" s="417"/>
    </row>
    <row r="54" spans="1:32" ht="27" customHeight="1">
      <c r="A54" s="412" t="s">
        <v>126</v>
      </c>
      <c r="B54" s="413"/>
      <c r="C54" s="295" t="s">
        <v>210</v>
      </c>
      <c r="D54" s="295" t="s">
        <v>117</v>
      </c>
      <c r="E54" s="295" t="s">
        <v>211</v>
      </c>
      <c r="F54" s="414" t="s">
        <v>252</v>
      </c>
      <c r="G54" s="415"/>
      <c r="H54" s="415"/>
      <c r="I54" s="415"/>
      <c r="J54" s="415"/>
      <c r="K54" s="415"/>
      <c r="L54" s="415"/>
      <c r="M54" s="416"/>
      <c r="N54" s="294" t="s">
        <v>126</v>
      </c>
      <c r="O54" s="300" t="s">
        <v>171</v>
      </c>
      <c r="P54" s="426"/>
      <c r="Q54" s="427"/>
      <c r="R54" s="426" t="s">
        <v>523</v>
      </c>
      <c r="S54" s="428"/>
      <c r="T54" s="428"/>
      <c r="U54" s="427"/>
      <c r="V54" s="396" t="s">
        <v>120</v>
      </c>
      <c r="W54" s="396"/>
      <c r="X54" s="396"/>
      <c r="Y54" s="396"/>
      <c r="Z54" s="396"/>
      <c r="AA54" s="396"/>
      <c r="AB54" s="396"/>
      <c r="AC54" s="396"/>
      <c r="AD54" s="417"/>
    </row>
    <row r="55" spans="1:32" ht="27" customHeight="1">
      <c r="A55" s="412" t="s">
        <v>126</v>
      </c>
      <c r="B55" s="413"/>
      <c r="C55" s="295" t="s">
        <v>175</v>
      </c>
      <c r="D55" s="295" t="s">
        <v>202</v>
      </c>
      <c r="E55" s="295" t="s">
        <v>213</v>
      </c>
      <c r="F55" s="414" t="s">
        <v>252</v>
      </c>
      <c r="G55" s="415"/>
      <c r="H55" s="415"/>
      <c r="I55" s="415"/>
      <c r="J55" s="415"/>
      <c r="K55" s="415"/>
      <c r="L55" s="415"/>
      <c r="M55" s="416"/>
      <c r="N55" s="294"/>
      <c r="O55" s="300"/>
      <c r="P55" s="426"/>
      <c r="Q55" s="427"/>
      <c r="R55" s="426"/>
      <c r="S55" s="428"/>
      <c r="T55" s="428"/>
      <c r="U55" s="427"/>
      <c r="V55" s="396"/>
      <c r="W55" s="396"/>
      <c r="X55" s="396"/>
      <c r="Y55" s="396"/>
      <c r="Z55" s="396"/>
      <c r="AA55" s="396"/>
      <c r="AB55" s="396"/>
      <c r="AC55" s="396"/>
      <c r="AD55" s="417"/>
    </row>
    <row r="56" spans="1:32" ht="27" customHeight="1">
      <c r="A56" s="412"/>
      <c r="B56" s="413"/>
      <c r="C56" s="295"/>
      <c r="D56" s="295"/>
      <c r="E56" s="295"/>
      <c r="F56" s="414"/>
      <c r="G56" s="415"/>
      <c r="H56" s="415"/>
      <c r="I56" s="415"/>
      <c r="J56" s="415"/>
      <c r="K56" s="415"/>
      <c r="L56" s="415"/>
      <c r="M56" s="416"/>
      <c r="N56" s="294"/>
      <c r="O56" s="300"/>
      <c r="P56" s="426"/>
      <c r="Q56" s="427"/>
      <c r="R56" s="426"/>
      <c r="S56" s="428"/>
      <c r="T56" s="428"/>
      <c r="U56" s="427"/>
      <c r="V56" s="396"/>
      <c r="W56" s="396"/>
      <c r="X56" s="396"/>
      <c r="Y56" s="396"/>
      <c r="Z56" s="396"/>
      <c r="AA56" s="396"/>
      <c r="AB56" s="396"/>
      <c r="AC56" s="396"/>
      <c r="AD56" s="417"/>
    </row>
    <row r="57" spans="1:32" ht="27" customHeight="1">
      <c r="A57" s="412"/>
      <c r="B57" s="413"/>
      <c r="C57" s="295"/>
      <c r="D57" s="295"/>
      <c r="E57" s="295"/>
      <c r="F57" s="414"/>
      <c r="G57" s="415"/>
      <c r="H57" s="415"/>
      <c r="I57" s="415"/>
      <c r="J57" s="415"/>
      <c r="K57" s="415"/>
      <c r="L57" s="415"/>
      <c r="M57" s="416"/>
      <c r="N57" s="294"/>
      <c r="O57" s="300"/>
      <c r="P57" s="426"/>
      <c r="Q57" s="427"/>
      <c r="R57" s="413"/>
      <c r="S57" s="413"/>
      <c r="T57" s="413"/>
      <c r="U57" s="413"/>
      <c r="V57" s="396"/>
      <c r="W57" s="396"/>
      <c r="X57" s="396"/>
      <c r="Y57" s="396"/>
      <c r="Z57" s="396"/>
      <c r="AA57" s="396"/>
      <c r="AB57" s="396"/>
      <c r="AC57" s="396"/>
      <c r="AD57" s="417"/>
    </row>
    <row r="58" spans="1:32" ht="27" customHeight="1">
      <c r="A58" s="412"/>
      <c r="B58" s="413"/>
      <c r="C58" s="295"/>
      <c r="D58" s="295"/>
      <c r="E58" s="295"/>
      <c r="F58" s="414"/>
      <c r="G58" s="415"/>
      <c r="H58" s="415"/>
      <c r="I58" s="415"/>
      <c r="J58" s="415"/>
      <c r="K58" s="415"/>
      <c r="L58" s="415"/>
      <c r="M58" s="416"/>
      <c r="N58" s="294"/>
      <c r="O58" s="300"/>
      <c r="P58" s="426"/>
      <c r="Q58" s="427"/>
      <c r="R58" s="413"/>
      <c r="S58" s="413"/>
      <c r="T58" s="413"/>
      <c r="U58" s="413"/>
      <c r="V58" s="396"/>
      <c r="W58" s="396"/>
      <c r="X58" s="396"/>
      <c r="Y58" s="396"/>
      <c r="Z58" s="396"/>
      <c r="AA58" s="396"/>
      <c r="AB58" s="396"/>
      <c r="AC58" s="396"/>
      <c r="AD58" s="417"/>
    </row>
    <row r="59" spans="1:32" ht="27" customHeight="1">
      <c r="A59" s="412"/>
      <c r="B59" s="413"/>
      <c r="C59" s="295"/>
      <c r="D59" s="295"/>
      <c r="E59" s="295"/>
      <c r="F59" s="414"/>
      <c r="G59" s="415"/>
      <c r="H59" s="415"/>
      <c r="I59" s="415"/>
      <c r="J59" s="415"/>
      <c r="K59" s="415"/>
      <c r="L59" s="415"/>
      <c r="M59" s="416"/>
      <c r="N59" s="294"/>
      <c r="O59" s="300"/>
      <c r="P59" s="413"/>
      <c r="Q59" s="413"/>
      <c r="R59" s="413"/>
      <c r="S59" s="413"/>
      <c r="T59" s="413"/>
      <c r="U59" s="413"/>
      <c r="V59" s="396"/>
      <c r="W59" s="396"/>
      <c r="X59" s="396"/>
      <c r="Y59" s="396"/>
      <c r="Z59" s="396"/>
      <c r="AA59" s="396"/>
      <c r="AB59" s="396"/>
      <c r="AC59" s="396"/>
      <c r="AD59" s="417"/>
      <c r="AF59" s="87">
        <f>8*3000</f>
        <v>24000</v>
      </c>
    </row>
    <row r="60" spans="1:32" ht="27" customHeight="1" thickBot="1">
      <c r="A60" s="418"/>
      <c r="B60" s="419"/>
      <c r="C60" s="296"/>
      <c r="D60" s="297"/>
      <c r="E60" s="297"/>
      <c r="F60" s="420"/>
      <c r="G60" s="421"/>
      <c r="H60" s="421"/>
      <c r="I60" s="421"/>
      <c r="J60" s="421"/>
      <c r="K60" s="421"/>
      <c r="L60" s="421"/>
      <c r="M60" s="422"/>
      <c r="N60" s="124"/>
      <c r="O60" s="114"/>
      <c r="P60" s="423"/>
      <c r="Q60" s="423"/>
      <c r="R60" s="423"/>
      <c r="S60" s="423"/>
      <c r="T60" s="423"/>
      <c r="U60" s="423"/>
      <c r="V60" s="424"/>
      <c r="W60" s="424"/>
      <c r="X60" s="424"/>
      <c r="Y60" s="424"/>
      <c r="Z60" s="424"/>
      <c r="AA60" s="424"/>
      <c r="AB60" s="424"/>
      <c r="AC60" s="424"/>
      <c r="AD60" s="425"/>
      <c r="AF60" s="87">
        <f>16*3000</f>
        <v>48000</v>
      </c>
    </row>
    <row r="61" spans="1:32" ht="27.75" thickBot="1">
      <c r="A61" s="410" t="s">
        <v>524</v>
      </c>
      <c r="B61" s="410"/>
      <c r="C61" s="410"/>
      <c r="D61" s="410"/>
      <c r="E61" s="410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1" t="s">
        <v>113</v>
      </c>
      <c r="B62" s="406"/>
      <c r="C62" s="298" t="s">
        <v>2</v>
      </c>
      <c r="D62" s="298" t="s">
        <v>37</v>
      </c>
      <c r="E62" s="298" t="s">
        <v>3</v>
      </c>
      <c r="F62" s="406" t="s">
        <v>110</v>
      </c>
      <c r="G62" s="406"/>
      <c r="H62" s="406"/>
      <c r="I62" s="406"/>
      <c r="J62" s="406"/>
      <c r="K62" s="406" t="s">
        <v>39</v>
      </c>
      <c r="L62" s="406"/>
      <c r="M62" s="298" t="s">
        <v>40</v>
      </c>
      <c r="N62" s="406" t="s">
        <v>41</v>
      </c>
      <c r="O62" s="406"/>
      <c r="P62" s="403" t="s">
        <v>42</v>
      </c>
      <c r="Q62" s="405"/>
      <c r="R62" s="403" t="s">
        <v>43</v>
      </c>
      <c r="S62" s="404"/>
      <c r="T62" s="404"/>
      <c r="U62" s="404"/>
      <c r="V62" s="404"/>
      <c r="W62" s="404"/>
      <c r="X62" s="404"/>
      <c r="Y62" s="404"/>
      <c r="Z62" s="404"/>
      <c r="AA62" s="405"/>
      <c r="AB62" s="406" t="s">
        <v>44</v>
      </c>
      <c r="AC62" s="406"/>
      <c r="AD62" s="407"/>
      <c r="AF62" s="87">
        <f>SUM(AF59:AF61)</f>
        <v>96000</v>
      </c>
    </row>
    <row r="63" spans="1:32" ht="25.5" customHeight="1">
      <c r="A63" s="389">
        <v>1</v>
      </c>
      <c r="B63" s="390"/>
      <c r="C63" s="117" t="s">
        <v>123</v>
      </c>
      <c r="D63" s="302"/>
      <c r="E63" s="299" t="s">
        <v>141</v>
      </c>
      <c r="F63" s="391" t="s">
        <v>525</v>
      </c>
      <c r="G63" s="383"/>
      <c r="H63" s="383"/>
      <c r="I63" s="383"/>
      <c r="J63" s="383"/>
      <c r="K63" s="383" t="s">
        <v>322</v>
      </c>
      <c r="L63" s="383"/>
      <c r="M63" s="51" t="s">
        <v>526</v>
      </c>
      <c r="N63" s="401" t="s">
        <v>237</v>
      </c>
      <c r="O63" s="401"/>
      <c r="P63" s="402"/>
      <c r="Q63" s="402"/>
      <c r="R63" s="396" t="s">
        <v>527</v>
      </c>
      <c r="S63" s="396"/>
      <c r="T63" s="396"/>
      <c r="U63" s="396"/>
      <c r="V63" s="396"/>
      <c r="W63" s="396"/>
      <c r="X63" s="396"/>
      <c r="Y63" s="396"/>
      <c r="Z63" s="396"/>
      <c r="AA63" s="396"/>
      <c r="AB63" s="400"/>
      <c r="AC63" s="408"/>
      <c r="AD63" s="409"/>
      <c r="AF63" s="50"/>
    </row>
    <row r="64" spans="1:32" ht="25.5" customHeight="1">
      <c r="A64" s="389">
        <v>2</v>
      </c>
      <c r="B64" s="390"/>
      <c r="C64" s="117"/>
      <c r="D64" s="302"/>
      <c r="E64" s="299"/>
      <c r="F64" s="391"/>
      <c r="G64" s="383"/>
      <c r="H64" s="383"/>
      <c r="I64" s="383"/>
      <c r="J64" s="383"/>
      <c r="K64" s="383"/>
      <c r="L64" s="383"/>
      <c r="M64" s="51"/>
      <c r="N64" s="401"/>
      <c r="O64" s="401"/>
      <c r="P64" s="402"/>
      <c r="Q64" s="402"/>
      <c r="R64" s="396"/>
      <c r="S64" s="396"/>
      <c r="T64" s="396"/>
      <c r="U64" s="396"/>
      <c r="V64" s="396"/>
      <c r="W64" s="396"/>
      <c r="X64" s="396"/>
      <c r="Y64" s="396"/>
      <c r="Z64" s="396"/>
      <c r="AA64" s="396"/>
      <c r="AB64" s="383"/>
      <c r="AC64" s="383"/>
      <c r="AD64" s="384"/>
      <c r="AF64" s="50"/>
    </row>
    <row r="65" spans="1:32" ht="25.5" customHeight="1">
      <c r="A65" s="389">
        <v>3</v>
      </c>
      <c r="B65" s="390"/>
      <c r="C65" s="117"/>
      <c r="D65" s="302"/>
      <c r="E65" s="299"/>
      <c r="F65" s="397"/>
      <c r="G65" s="398"/>
      <c r="H65" s="398"/>
      <c r="I65" s="398"/>
      <c r="J65" s="399"/>
      <c r="K65" s="383"/>
      <c r="L65" s="383"/>
      <c r="M65" s="51"/>
      <c r="N65" s="401"/>
      <c r="O65" s="401"/>
      <c r="P65" s="402"/>
      <c r="Q65" s="402"/>
      <c r="R65" s="396"/>
      <c r="S65" s="396"/>
      <c r="T65" s="396"/>
      <c r="U65" s="396"/>
      <c r="V65" s="396"/>
      <c r="W65" s="396"/>
      <c r="X65" s="396"/>
      <c r="Y65" s="396"/>
      <c r="Z65" s="396"/>
      <c r="AA65" s="396"/>
      <c r="AB65" s="383"/>
      <c r="AC65" s="383"/>
      <c r="AD65" s="384"/>
      <c r="AF65" s="50"/>
    </row>
    <row r="66" spans="1:32" ht="25.5" customHeight="1">
      <c r="A66" s="389">
        <v>4</v>
      </c>
      <c r="B66" s="390"/>
      <c r="C66" s="117"/>
      <c r="D66" s="302"/>
      <c r="E66" s="299"/>
      <c r="F66" s="397"/>
      <c r="G66" s="398"/>
      <c r="H66" s="398"/>
      <c r="I66" s="398"/>
      <c r="J66" s="399"/>
      <c r="K66" s="383"/>
      <c r="L66" s="383"/>
      <c r="M66" s="51"/>
      <c r="N66" s="401"/>
      <c r="O66" s="401"/>
      <c r="P66" s="402"/>
      <c r="Q66" s="402"/>
      <c r="R66" s="396"/>
      <c r="S66" s="396"/>
      <c r="T66" s="396"/>
      <c r="U66" s="396"/>
      <c r="V66" s="396"/>
      <c r="W66" s="396"/>
      <c r="X66" s="396"/>
      <c r="Y66" s="396"/>
      <c r="Z66" s="396"/>
      <c r="AA66" s="396"/>
      <c r="AB66" s="383"/>
      <c r="AC66" s="383"/>
      <c r="AD66" s="384"/>
      <c r="AF66" s="50"/>
    </row>
    <row r="67" spans="1:32" ht="25.5" customHeight="1">
      <c r="A67" s="389">
        <v>5</v>
      </c>
      <c r="B67" s="390"/>
      <c r="C67" s="117"/>
      <c r="D67" s="302"/>
      <c r="E67" s="299"/>
      <c r="F67" s="397"/>
      <c r="G67" s="398"/>
      <c r="H67" s="398"/>
      <c r="I67" s="398"/>
      <c r="J67" s="399"/>
      <c r="K67" s="400"/>
      <c r="L67" s="390"/>
      <c r="M67" s="51"/>
      <c r="N67" s="401"/>
      <c r="O67" s="401"/>
      <c r="P67" s="402"/>
      <c r="Q67" s="402"/>
      <c r="R67" s="396"/>
      <c r="S67" s="396"/>
      <c r="T67" s="396"/>
      <c r="U67" s="396"/>
      <c r="V67" s="396"/>
      <c r="W67" s="396"/>
      <c r="X67" s="396"/>
      <c r="Y67" s="396"/>
      <c r="Z67" s="396"/>
      <c r="AA67" s="396"/>
      <c r="AB67" s="383"/>
      <c r="AC67" s="383"/>
      <c r="AD67" s="384"/>
      <c r="AF67" s="50"/>
    </row>
    <row r="68" spans="1:32" ht="25.5" customHeight="1">
      <c r="A68" s="389">
        <v>6</v>
      </c>
      <c r="B68" s="390"/>
      <c r="C68" s="117"/>
      <c r="D68" s="302"/>
      <c r="E68" s="299"/>
      <c r="F68" s="391"/>
      <c r="G68" s="383"/>
      <c r="H68" s="383"/>
      <c r="I68" s="383"/>
      <c r="J68" s="383"/>
      <c r="K68" s="383"/>
      <c r="L68" s="383"/>
      <c r="M68" s="51"/>
      <c r="N68" s="392"/>
      <c r="O68" s="393"/>
      <c r="P68" s="394"/>
      <c r="Q68" s="395"/>
      <c r="R68" s="396"/>
      <c r="S68" s="396"/>
      <c r="T68" s="396"/>
      <c r="U68" s="396"/>
      <c r="V68" s="396"/>
      <c r="W68" s="396"/>
      <c r="X68" s="396"/>
      <c r="Y68" s="396"/>
      <c r="Z68" s="396"/>
      <c r="AA68" s="396"/>
      <c r="AB68" s="383"/>
      <c r="AC68" s="383"/>
      <c r="AD68" s="384"/>
      <c r="AF68" s="50"/>
    </row>
    <row r="69" spans="1:32" ht="25.5" customHeight="1">
      <c r="A69" s="389">
        <v>7</v>
      </c>
      <c r="B69" s="390"/>
      <c r="C69" s="117"/>
      <c r="D69" s="302"/>
      <c r="E69" s="299"/>
      <c r="F69" s="391"/>
      <c r="G69" s="383"/>
      <c r="H69" s="383"/>
      <c r="I69" s="383"/>
      <c r="J69" s="383"/>
      <c r="K69" s="383"/>
      <c r="L69" s="383"/>
      <c r="M69" s="51"/>
      <c r="N69" s="392"/>
      <c r="O69" s="393"/>
      <c r="P69" s="394"/>
      <c r="Q69" s="395"/>
      <c r="R69" s="396"/>
      <c r="S69" s="396"/>
      <c r="T69" s="396"/>
      <c r="U69" s="396"/>
      <c r="V69" s="396"/>
      <c r="W69" s="396"/>
      <c r="X69" s="396"/>
      <c r="Y69" s="396"/>
      <c r="Z69" s="396"/>
      <c r="AA69" s="396"/>
      <c r="AB69" s="383"/>
      <c r="AC69" s="383"/>
      <c r="AD69" s="384"/>
      <c r="AF69" s="50"/>
    </row>
    <row r="70" spans="1:32" ht="25.5" customHeight="1">
      <c r="A70" s="389">
        <v>8</v>
      </c>
      <c r="B70" s="390"/>
      <c r="C70" s="117"/>
      <c r="D70" s="302"/>
      <c r="E70" s="299"/>
      <c r="F70" s="391"/>
      <c r="G70" s="383"/>
      <c r="H70" s="383"/>
      <c r="I70" s="383"/>
      <c r="J70" s="383"/>
      <c r="K70" s="383"/>
      <c r="L70" s="383"/>
      <c r="M70" s="51"/>
      <c r="N70" s="392"/>
      <c r="O70" s="393"/>
      <c r="P70" s="394"/>
      <c r="Q70" s="395"/>
      <c r="R70" s="396"/>
      <c r="S70" s="396"/>
      <c r="T70" s="396"/>
      <c r="U70" s="396"/>
      <c r="V70" s="396"/>
      <c r="W70" s="396"/>
      <c r="X70" s="396"/>
      <c r="Y70" s="396"/>
      <c r="Z70" s="396"/>
      <c r="AA70" s="396"/>
      <c r="AB70" s="383"/>
      <c r="AC70" s="383"/>
      <c r="AD70" s="384"/>
      <c r="AF70" s="50"/>
    </row>
    <row r="71" spans="1:32" ht="26.25" customHeight="1" thickBot="1">
      <c r="A71" s="363" t="s">
        <v>528</v>
      </c>
      <c r="B71" s="363"/>
      <c r="C71" s="363"/>
      <c r="D71" s="363"/>
      <c r="E71" s="363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64" t="s">
        <v>113</v>
      </c>
      <c r="B72" s="365"/>
      <c r="C72" s="301" t="s">
        <v>2</v>
      </c>
      <c r="D72" s="301" t="s">
        <v>37</v>
      </c>
      <c r="E72" s="301" t="s">
        <v>3</v>
      </c>
      <c r="F72" s="365" t="s">
        <v>38</v>
      </c>
      <c r="G72" s="365"/>
      <c r="H72" s="365"/>
      <c r="I72" s="365"/>
      <c r="J72" s="365"/>
      <c r="K72" s="385" t="s">
        <v>58</v>
      </c>
      <c r="L72" s="386"/>
      <c r="M72" s="386"/>
      <c r="N72" s="386"/>
      <c r="O72" s="386"/>
      <c r="P72" s="386"/>
      <c r="Q72" s="386"/>
      <c r="R72" s="386"/>
      <c r="S72" s="387"/>
      <c r="T72" s="365" t="s">
        <v>49</v>
      </c>
      <c r="U72" s="365"/>
      <c r="V72" s="385" t="s">
        <v>50</v>
      </c>
      <c r="W72" s="387"/>
      <c r="X72" s="386" t="s">
        <v>51</v>
      </c>
      <c r="Y72" s="386"/>
      <c r="Z72" s="386"/>
      <c r="AA72" s="386"/>
      <c r="AB72" s="386"/>
      <c r="AC72" s="386"/>
      <c r="AD72" s="388"/>
      <c r="AF72" s="50"/>
    </row>
    <row r="73" spans="1:32" ht="33.75" customHeight="1">
      <c r="A73" s="357">
        <v>1</v>
      </c>
      <c r="B73" s="358"/>
      <c r="C73" s="303" t="s">
        <v>114</v>
      </c>
      <c r="D73" s="303"/>
      <c r="E73" s="65" t="s">
        <v>119</v>
      </c>
      <c r="F73" s="372" t="s">
        <v>118</v>
      </c>
      <c r="G73" s="373"/>
      <c r="H73" s="373"/>
      <c r="I73" s="373"/>
      <c r="J73" s="374"/>
      <c r="K73" s="375" t="s">
        <v>128</v>
      </c>
      <c r="L73" s="376"/>
      <c r="M73" s="376"/>
      <c r="N73" s="376"/>
      <c r="O73" s="376"/>
      <c r="P73" s="376"/>
      <c r="Q73" s="376"/>
      <c r="R73" s="376"/>
      <c r="S73" s="377"/>
      <c r="T73" s="378">
        <v>43675</v>
      </c>
      <c r="U73" s="379"/>
      <c r="V73" s="380"/>
      <c r="W73" s="380"/>
      <c r="X73" s="381"/>
      <c r="Y73" s="381"/>
      <c r="Z73" s="381"/>
      <c r="AA73" s="381"/>
      <c r="AB73" s="381"/>
      <c r="AC73" s="381"/>
      <c r="AD73" s="382"/>
      <c r="AF73" s="50"/>
    </row>
    <row r="74" spans="1:32" ht="30" customHeight="1">
      <c r="A74" s="350">
        <f>A73+1</f>
        <v>2</v>
      </c>
      <c r="B74" s="351"/>
      <c r="C74" s="302"/>
      <c r="D74" s="302"/>
      <c r="E74" s="32"/>
      <c r="F74" s="351"/>
      <c r="G74" s="351"/>
      <c r="H74" s="351"/>
      <c r="I74" s="351"/>
      <c r="J74" s="351"/>
      <c r="K74" s="366"/>
      <c r="L74" s="367"/>
      <c r="M74" s="367"/>
      <c r="N74" s="367"/>
      <c r="O74" s="367"/>
      <c r="P74" s="367"/>
      <c r="Q74" s="367"/>
      <c r="R74" s="367"/>
      <c r="S74" s="368"/>
      <c r="T74" s="369"/>
      <c r="U74" s="369"/>
      <c r="V74" s="369"/>
      <c r="W74" s="369"/>
      <c r="X74" s="370"/>
      <c r="Y74" s="370"/>
      <c r="Z74" s="370"/>
      <c r="AA74" s="370"/>
      <c r="AB74" s="370"/>
      <c r="AC74" s="370"/>
      <c r="AD74" s="371"/>
      <c r="AF74" s="50"/>
    </row>
    <row r="75" spans="1:32" ht="30" customHeight="1">
      <c r="A75" s="350">
        <f t="shared" ref="A75:A81" si="14">A74+1</f>
        <v>3</v>
      </c>
      <c r="B75" s="351"/>
      <c r="C75" s="302"/>
      <c r="D75" s="302"/>
      <c r="E75" s="32"/>
      <c r="F75" s="351"/>
      <c r="G75" s="351"/>
      <c r="H75" s="351"/>
      <c r="I75" s="351"/>
      <c r="J75" s="351"/>
      <c r="K75" s="366"/>
      <c r="L75" s="367"/>
      <c r="M75" s="367"/>
      <c r="N75" s="367"/>
      <c r="O75" s="367"/>
      <c r="P75" s="367"/>
      <c r="Q75" s="367"/>
      <c r="R75" s="367"/>
      <c r="S75" s="368"/>
      <c r="T75" s="369"/>
      <c r="U75" s="369"/>
      <c r="V75" s="369"/>
      <c r="W75" s="369"/>
      <c r="X75" s="370"/>
      <c r="Y75" s="370"/>
      <c r="Z75" s="370"/>
      <c r="AA75" s="370"/>
      <c r="AB75" s="370"/>
      <c r="AC75" s="370"/>
      <c r="AD75" s="371"/>
      <c r="AF75" s="50"/>
    </row>
    <row r="76" spans="1:32" ht="30" customHeight="1">
      <c r="A76" s="350">
        <f t="shared" si="14"/>
        <v>4</v>
      </c>
      <c r="B76" s="351"/>
      <c r="C76" s="302"/>
      <c r="D76" s="302"/>
      <c r="E76" s="32"/>
      <c r="F76" s="351"/>
      <c r="G76" s="351"/>
      <c r="H76" s="351"/>
      <c r="I76" s="351"/>
      <c r="J76" s="351"/>
      <c r="K76" s="366"/>
      <c r="L76" s="367"/>
      <c r="M76" s="367"/>
      <c r="N76" s="367"/>
      <c r="O76" s="367"/>
      <c r="P76" s="367"/>
      <c r="Q76" s="367"/>
      <c r="R76" s="367"/>
      <c r="S76" s="368"/>
      <c r="T76" s="369"/>
      <c r="U76" s="369"/>
      <c r="V76" s="369"/>
      <c r="W76" s="369"/>
      <c r="X76" s="370"/>
      <c r="Y76" s="370"/>
      <c r="Z76" s="370"/>
      <c r="AA76" s="370"/>
      <c r="AB76" s="370"/>
      <c r="AC76" s="370"/>
      <c r="AD76" s="371"/>
      <c r="AF76" s="50"/>
    </row>
    <row r="77" spans="1:32" ht="30" customHeight="1">
      <c r="A77" s="350">
        <f t="shared" si="14"/>
        <v>5</v>
      </c>
      <c r="B77" s="351"/>
      <c r="C77" s="302"/>
      <c r="D77" s="302"/>
      <c r="E77" s="32"/>
      <c r="F77" s="351"/>
      <c r="G77" s="351"/>
      <c r="H77" s="351"/>
      <c r="I77" s="351"/>
      <c r="J77" s="351"/>
      <c r="K77" s="366"/>
      <c r="L77" s="367"/>
      <c r="M77" s="367"/>
      <c r="N77" s="367"/>
      <c r="O77" s="367"/>
      <c r="P77" s="367"/>
      <c r="Q77" s="367"/>
      <c r="R77" s="367"/>
      <c r="S77" s="368"/>
      <c r="T77" s="369"/>
      <c r="U77" s="369"/>
      <c r="V77" s="369"/>
      <c r="W77" s="369"/>
      <c r="X77" s="370"/>
      <c r="Y77" s="370"/>
      <c r="Z77" s="370"/>
      <c r="AA77" s="370"/>
      <c r="AB77" s="370"/>
      <c r="AC77" s="370"/>
      <c r="AD77" s="371"/>
      <c r="AF77" s="50"/>
    </row>
    <row r="78" spans="1:32" ht="30" customHeight="1">
      <c r="A78" s="350">
        <f t="shared" si="14"/>
        <v>6</v>
      </c>
      <c r="B78" s="351"/>
      <c r="C78" s="302"/>
      <c r="D78" s="302"/>
      <c r="E78" s="32"/>
      <c r="F78" s="351"/>
      <c r="G78" s="351"/>
      <c r="H78" s="351"/>
      <c r="I78" s="351"/>
      <c r="J78" s="351"/>
      <c r="K78" s="366"/>
      <c r="L78" s="367"/>
      <c r="M78" s="367"/>
      <c r="N78" s="367"/>
      <c r="O78" s="367"/>
      <c r="P78" s="367"/>
      <c r="Q78" s="367"/>
      <c r="R78" s="367"/>
      <c r="S78" s="368"/>
      <c r="T78" s="369"/>
      <c r="U78" s="369"/>
      <c r="V78" s="369"/>
      <c r="W78" s="369"/>
      <c r="X78" s="370"/>
      <c r="Y78" s="370"/>
      <c r="Z78" s="370"/>
      <c r="AA78" s="370"/>
      <c r="AB78" s="370"/>
      <c r="AC78" s="370"/>
      <c r="AD78" s="371"/>
      <c r="AF78" s="50"/>
    </row>
    <row r="79" spans="1:32" ht="30" customHeight="1">
      <c r="A79" s="350">
        <f t="shared" si="14"/>
        <v>7</v>
      </c>
      <c r="B79" s="351"/>
      <c r="C79" s="302"/>
      <c r="D79" s="302"/>
      <c r="E79" s="32"/>
      <c r="F79" s="351"/>
      <c r="G79" s="351"/>
      <c r="H79" s="351"/>
      <c r="I79" s="351"/>
      <c r="J79" s="351"/>
      <c r="K79" s="366"/>
      <c r="L79" s="367"/>
      <c r="M79" s="367"/>
      <c r="N79" s="367"/>
      <c r="O79" s="367"/>
      <c r="P79" s="367"/>
      <c r="Q79" s="367"/>
      <c r="R79" s="367"/>
      <c r="S79" s="368"/>
      <c r="T79" s="369"/>
      <c r="U79" s="369"/>
      <c r="V79" s="369"/>
      <c r="W79" s="369"/>
      <c r="X79" s="370"/>
      <c r="Y79" s="370"/>
      <c r="Z79" s="370"/>
      <c r="AA79" s="370"/>
      <c r="AB79" s="370"/>
      <c r="AC79" s="370"/>
      <c r="AD79" s="371"/>
      <c r="AF79" s="50"/>
    </row>
    <row r="80" spans="1:32" ht="30" customHeight="1">
      <c r="A80" s="350">
        <f t="shared" si="14"/>
        <v>8</v>
      </c>
      <c r="B80" s="351"/>
      <c r="C80" s="302"/>
      <c r="D80" s="302"/>
      <c r="E80" s="32"/>
      <c r="F80" s="351"/>
      <c r="G80" s="351"/>
      <c r="H80" s="351"/>
      <c r="I80" s="351"/>
      <c r="J80" s="351"/>
      <c r="K80" s="366"/>
      <c r="L80" s="367"/>
      <c r="M80" s="367"/>
      <c r="N80" s="367"/>
      <c r="O80" s="367"/>
      <c r="P80" s="367"/>
      <c r="Q80" s="367"/>
      <c r="R80" s="367"/>
      <c r="S80" s="368"/>
      <c r="T80" s="369"/>
      <c r="U80" s="369"/>
      <c r="V80" s="369"/>
      <c r="W80" s="369"/>
      <c r="X80" s="370"/>
      <c r="Y80" s="370"/>
      <c r="Z80" s="370"/>
      <c r="AA80" s="370"/>
      <c r="AB80" s="370"/>
      <c r="AC80" s="370"/>
      <c r="AD80" s="371"/>
      <c r="AF80" s="50"/>
    </row>
    <row r="81" spans="1:32" ht="30" customHeight="1">
      <c r="A81" s="350">
        <f t="shared" si="14"/>
        <v>9</v>
      </c>
      <c r="B81" s="351"/>
      <c r="C81" s="302"/>
      <c r="D81" s="302"/>
      <c r="E81" s="32"/>
      <c r="F81" s="351"/>
      <c r="G81" s="351"/>
      <c r="H81" s="351"/>
      <c r="I81" s="351"/>
      <c r="J81" s="351"/>
      <c r="K81" s="366"/>
      <c r="L81" s="367"/>
      <c r="M81" s="367"/>
      <c r="N81" s="367"/>
      <c r="O81" s="367"/>
      <c r="P81" s="367"/>
      <c r="Q81" s="367"/>
      <c r="R81" s="367"/>
      <c r="S81" s="368"/>
      <c r="T81" s="369"/>
      <c r="U81" s="369"/>
      <c r="V81" s="369"/>
      <c r="W81" s="369"/>
      <c r="X81" s="370"/>
      <c r="Y81" s="370"/>
      <c r="Z81" s="370"/>
      <c r="AA81" s="370"/>
      <c r="AB81" s="370"/>
      <c r="AC81" s="370"/>
      <c r="AD81" s="371"/>
      <c r="AF81" s="50"/>
    </row>
    <row r="82" spans="1:32" ht="36" thickBot="1">
      <c r="A82" s="363" t="s">
        <v>529</v>
      </c>
      <c r="B82" s="363"/>
      <c r="C82" s="363"/>
      <c r="D82" s="363"/>
      <c r="E82" s="363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64" t="s">
        <v>113</v>
      </c>
      <c r="B83" s="365"/>
      <c r="C83" s="355" t="s">
        <v>52</v>
      </c>
      <c r="D83" s="355"/>
      <c r="E83" s="355" t="s">
        <v>53</v>
      </c>
      <c r="F83" s="355"/>
      <c r="G83" s="355"/>
      <c r="H83" s="355"/>
      <c r="I83" s="355"/>
      <c r="J83" s="355"/>
      <c r="K83" s="355" t="s">
        <v>54</v>
      </c>
      <c r="L83" s="355"/>
      <c r="M83" s="355"/>
      <c r="N83" s="355"/>
      <c r="O83" s="355"/>
      <c r="P83" s="355"/>
      <c r="Q83" s="355"/>
      <c r="R83" s="355"/>
      <c r="S83" s="355"/>
      <c r="T83" s="355" t="s">
        <v>55</v>
      </c>
      <c r="U83" s="355"/>
      <c r="V83" s="355" t="s">
        <v>56</v>
      </c>
      <c r="W83" s="355"/>
      <c r="X83" s="355"/>
      <c r="Y83" s="355" t="s">
        <v>51</v>
      </c>
      <c r="Z83" s="355"/>
      <c r="AA83" s="355"/>
      <c r="AB83" s="355"/>
      <c r="AC83" s="355"/>
      <c r="AD83" s="356"/>
      <c r="AF83" s="50"/>
    </row>
    <row r="84" spans="1:32" ht="30.75" customHeight="1">
      <c r="A84" s="357">
        <v>1</v>
      </c>
      <c r="B84" s="358"/>
      <c r="C84" s="359"/>
      <c r="D84" s="359"/>
      <c r="E84" s="359"/>
      <c r="F84" s="359"/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/>
      <c r="R84" s="359"/>
      <c r="S84" s="359"/>
      <c r="T84" s="359"/>
      <c r="U84" s="359"/>
      <c r="V84" s="360"/>
      <c r="W84" s="360"/>
      <c r="X84" s="360"/>
      <c r="Y84" s="361"/>
      <c r="Z84" s="361"/>
      <c r="AA84" s="361"/>
      <c r="AB84" s="361"/>
      <c r="AC84" s="361"/>
      <c r="AD84" s="362"/>
      <c r="AF84" s="50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0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EA30-0322-4B4A-985E-8B27425CC042}">
  <dimension ref="A1:AF86"/>
  <sheetViews>
    <sheetView zoomScale="72" zoomScaleNormal="72" zoomScaleSheetLayoutView="70" workbookViewId="0">
      <selection activeCell="F56" sqref="F56:M5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58" t="s">
        <v>530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8"/>
      <c r="B2" s="458"/>
      <c r="C2" s="458"/>
      <c r="D2" s="458"/>
      <c r="E2" s="458"/>
      <c r="F2" s="458"/>
      <c r="G2" s="458"/>
      <c r="H2" s="458"/>
      <c r="I2" s="458"/>
      <c r="J2" s="458"/>
      <c r="K2" s="458"/>
      <c r="L2" s="458"/>
      <c r="M2" s="458"/>
      <c r="N2" s="458"/>
      <c r="O2" s="45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9"/>
      <c r="B3" s="459"/>
      <c r="C3" s="459"/>
      <c r="D3" s="459"/>
      <c r="E3" s="459"/>
      <c r="F3" s="459"/>
      <c r="G3" s="45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0" t="s">
        <v>0</v>
      </c>
      <c r="B4" s="462" t="s">
        <v>1</v>
      </c>
      <c r="C4" s="462" t="s">
        <v>2</v>
      </c>
      <c r="D4" s="465" t="s">
        <v>3</v>
      </c>
      <c r="E4" s="467" t="s">
        <v>4</v>
      </c>
      <c r="F4" s="465" t="s">
        <v>5</v>
      </c>
      <c r="G4" s="462" t="s">
        <v>6</v>
      </c>
      <c r="H4" s="468" t="s">
        <v>7</v>
      </c>
      <c r="I4" s="448" t="s">
        <v>8</v>
      </c>
      <c r="J4" s="449"/>
      <c r="K4" s="449"/>
      <c r="L4" s="449"/>
      <c r="M4" s="449"/>
      <c r="N4" s="449"/>
      <c r="O4" s="450"/>
      <c r="P4" s="451" t="s">
        <v>9</v>
      </c>
      <c r="Q4" s="452"/>
      <c r="R4" s="453" t="s">
        <v>10</v>
      </c>
      <c r="S4" s="453"/>
      <c r="T4" s="453"/>
      <c r="U4" s="453"/>
      <c r="V4" s="453"/>
      <c r="W4" s="454" t="s">
        <v>11</v>
      </c>
      <c r="X4" s="453"/>
      <c r="Y4" s="453"/>
      <c r="Z4" s="453"/>
      <c r="AA4" s="455"/>
      <c r="AB4" s="456" t="s">
        <v>12</v>
      </c>
      <c r="AC4" s="429" t="s">
        <v>13</v>
      </c>
      <c r="AD4" s="429" t="s">
        <v>14</v>
      </c>
      <c r="AE4" s="54"/>
    </row>
    <row r="5" spans="1:32" ht="51" customHeight="1" thickBot="1">
      <c r="A5" s="461"/>
      <c r="B5" s="463"/>
      <c r="C5" s="464"/>
      <c r="D5" s="466"/>
      <c r="E5" s="466"/>
      <c r="F5" s="466"/>
      <c r="G5" s="463"/>
      <c r="H5" s="469"/>
      <c r="I5" s="55" t="s">
        <v>15</v>
      </c>
      <c r="J5" s="56" t="s">
        <v>16</v>
      </c>
      <c r="K5" s="315" t="s">
        <v>17</v>
      </c>
      <c r="L5" s="315" t="s">
        <v>18</v>
      </c>
      <c r="M5" s="315" t="s">
        <v>19</v>
      </c>
      <c r="N5" s="31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57"/>
      <c r="AC5" s="430"/>
      <c r="AD5" s="43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0.28888888888888892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126</v>
      </c>
      <c r="D7" s="52" t="s">
        <v>127</v>
      </c>
      <c r="E7" s="53" t="s">
        <v>125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0.28888888888888892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126</v>
      </c>
      <c r="D8" s="52" t="s">
        <v>119</v>
      </c>
      <c r="E8" s="53" t="s">
        <v>379</v>
      </c>
      <c r="F8" s="30" t="s">
        <v>138</v>
      </c>
      <c r="G8" s="33">
        <v>1</v>
      </c>
      <c r="H8" s="35">
        <v>24</v>
      </c>
      <c r="I8" s="7">
        <v>2000</v>
      </c>
      <c r="J8" s="14">
        <v>3138</v>
      </c>
      <c r="K8" s="15">
        <f>L8+3138</f>
        <v>3138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0.28888888888888892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275</v>
      </c>
      <c r="E9" s="53" t="s">
        <v>319</v>
      </c>
      <c r="F9" s="30" t="s">
        <v>132</v>
      </c>
      <c r="G9" s="33">
        <v>4</v>
      </c>
      <c r="H9" s="35">
        <v>24</v>
      </c>
      <c r="I9" s="7">
        <v>50000</v>
      </c>
      <c r="J9" s="14">
        <v>9704</v>
      </c>
      <c r="K9" s="15">
        <f>L9+14524+30712+10416+14284+17836+29964+19380+9704</f>
        <v>146820</v>
      </c>
      <c r="L9" s="15"/>
      <c r="M9" s="15">
        <f t="shared" si="1"/>
        <v>0</v>
      </c>
      <c r="N9" s="15">
        <v>0</v>
      </c>
      <c r="O9" s="58" t="str">
        <f t="shared" si="2"/>
        <v>0</v>
      </c>
      <c r="P9" s="39" t="str">
        <f t="shared" si="3"/>
        <v>0</v>
      </c>
      <c r="Q9" s="40">
        <f t="shared" si="4"/>
        <v>24</v>
      </c>
      <c r="R9" s="7"/>
      <c r="S9" s="6">
        <v>24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0</v>
      </c>
      <c r="AC9" s="9">
        <f t="shared" si="6"/>
        <v>0</v>
      </c>
      <c r="AD9" s="10">
        <f t="shared" si="7"/>
        <v>0</v>
      </c>
      <c r="AE9" s="36">
        <f t="shared" si="8"/>
        <v>0.28888888888888892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131</v>
      </c>
      <c r="D10" s="52" t="s">
        <v>150</v>
      </c>
      <c r="E10" s="53" t="s">
        <v>152</v>
      </c>
      <c r="F10" s="30" t="s">
        <v>121</v>
      </c>
      <c r="G10" s="33">
        <v>2</v>
      </c>
      <c r="H10" s="35">
        <v>24</v>
      </c>
      <c r="I10" s="7">
        <v>130000</v>
      </c>
      <c r="J10" s="5">
        <v>13762</v>
      </c>
      <c r="K10" s="15">
        <f>L10+13288+10116+14610+5976+7143+12482+1676+11964+11004+13758+11480+4868+7902+3480+4200+8468+9396+15232+12324+14000</f>
        <v>207129</v>
      </c>
      <c r="L10" s="15">
        <f>3896*2+2985*2</f>
        <v>13762</v>
      </c>
      <c r="M10" s="15">
        <f t="shared" si="1"/>
        <v>13762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0.28888888888888892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126</v>
      </c>
      <c r="D11" s="52" t="s">
        <v>202</v>
      </c>
      <c r="E11" s="53" t="s">
        <v>421</v>
      </c>
      <c r="F11" s="30" t="s">
        <v>138</v>
      </c>
      <c r="G11" s="33">
        <v>2</v>
      </c>
      <c r="H11" s="35">
        <v>24</v>
      </c>
      <c r="I11" s="7">
        <v>20000</v>
      </c>
      <c r="J11" s="5">
        <v>1864</v>
      </c>
      <c r="K11" s="15">
        <f>L11+4520+10494+3986</f>
        <v>19000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>AC11*AB11*(1-O11)</f>
        <v>0</v>
      </c>
      <c r="AE11" s="36">
        <f t="shared" si="8"/>
        <v>0.28888888888888892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131</v>
      </c>
      <c r="D12" s="52" t="s">
        <v>117</v>
      </c>
      <c r="E12" s="53" t="s">
        <v>502</v>
      </c>
      <c r="F12" s="30" t="s">
        <v>280</v>
      </c>
      <c r="G12" s="33">
        <v>1</v>
      </c>
      <c r="H12" s="35">
        <v>24</v>
      </c>
      <c r="I12" s="7">
        <v>2500</v>
      </c>
      <c r="J12" s="14">
        <v>561</v>
      </c>
      <c r="K12" s="15">
        <f>L12+561</f>
        <v>561</v>
      </c>
      <c r="L12" s="15"/>
      <c r="M12" s="15">
        <f t="shared" si="1"/>
        <v>0</v>
      </c>
      <c r="N12" s="15">
        <v>0</v>
      </c>
      <c r="O12" s="58" t="str">
        <f t="shared" si="2"/>
        <v>0</v>
      </c>
      <c r="P12" s="39" t="str">
        <f t="shared" si="3"/>
        <v>0</v>
      </c>
      <c r="Q12" s="40">
        <f t="shared" si="4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0</v>
      </c>
      <c r="AC12" s="9">
        <f t="shared" si="6"/>
        <v>0</v>
      </c>
      <c r="AD12" s="10">
        <f t="shared" ref="AD12:AD14" si="10">AC12*AB12*(1-O12)</f>
        <v>0</v>
      </c>
      <c r="AE12" s="36">
        <f t="shared" si="8"/>
        <v>0.28888888888888892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117</v>
      </c>
      <c r="E13" s="53" t="s">
        <v>143</v>
      </c>
      <c r="F13" s="30" t="s">
        <v>138</v>
      </c>
      <c r="G13" s="33">
        <v>4</v>
      </c>
      <c r="H13" s="35">
        <v>24</v>
      </c>
      <c r="I13" s="7">
        <v>850000</v>
      </c>
      <c r="J13" s="14">
        <v>19708</v>
      </c>
      <c r="K13" s="15">
        <f>L13+20676+20704+882+19912+11748+21560+18812+17048+21840+19920+21784+15116+10164+22344+20496+22064+21048+11316+20640+15348+14500</f>
        <v>387630</v>
      </c>
      <c r="L13" s="15">
        <f>2778*4+2149*4</f>
        <v>19708</v>
      </c>
      <c r="M13" s="15">
        <f t="shared" si="1"/>
        <v>19708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10"/>
        <v>1</v>
      </c>
      <c r="AE13" s="36">
        <f t="shared" si="8"/>
        <v>0.28888888888888892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126</v>
      </c>
      <c r="D14" s="52" t="s">
        <v>454</v>
      </c>
      <c r="E14" s="53"/>
      <c r="F14" s="30" t="s">
        <v>138</v>
      </c>
      <c r="G14" s="33" t="s">
        <v>157</v>
      </c>
      <c r="H14" s="35">
        <v>24</v>
      </c>
      <c r="I14" s="7">
        <v>1050</v>
      </c>
      <c r="J14" s="5">
        <v>2132</v>
      </c>
      <c r="K14" s="15">
        <f>L14</f>
        <v>2132</v>
      </c>
      <c r="L14" s="15">
        <f>1066*2</f>
        <v>2132</v>
      </c>
      <c r="M14" s="15">
        <f t="shared" si="1"/>
        <v>2132</v>
      </c>
      <c r="N14" s="15">
        <v>0</v>
      </c>
      <c r="O14" s="58">
        <f t="shared" si="2"/>
        <v>0</v>
      </c>
      <c r="P14" s="39">
        <f t="shared" si="3"/>
        <v>11</v>
      </c>
      <c r="Q14" s="40">
        <f t="shared" si="4"/>
        <v>13</v>
      </c>
      <c r="R14" s="7"/>
      <c r="S14" s="6"/>
      <c r="T14" s="16"/>
      <c r="U14" s="16"/>
      <c r="V14" s="17"/>
      <c r="W14" s="5">
        <v>13</v>
      </c>
      <c r="X14" s="16"/>
      <c r="Y14" s="16"/>
      <c r="Z14" s="16"/>
      <c r="AA14" s="18"/>
      <c r="AB14" s="8">
        <f t="shared" si="5"/>
        <v>1</v>
      </c>
      <c r="AC14" s="9">
        <f t="shared" si="6"/>
        <v>0.45833333333333331</v>
      </c>
      <c r="AD14" s="10">
        <f t="shared" si="10"/>
        <v>0.45833333333333331</v>
      </c>
      <c r="AE14" s="36">
        <f t="shared" si="8"/>
        <v>0.28888888888888892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126</v>
      </c>
      <c r="D15" s="52"/>
      <c r="E15" s="53" t="s">
        <v>531</v>
      </c>
      <c r="F15" s="12" t="s">
        <v>532</v>
      </c>
      <c r="G15" s="12">
        <v>4</v>
      </c>
      <c r="H15" s="13">
        <v>24</v>
      </c>
      <c r="I15" s="31">
        <v>50000</v>
      </c>
      <c r="J15" s="14">
        <v>16532</v>
      </c>
      <c r="K15" s="15">
        <f>L15</f>
        <v>16532</v>
      </c>
      <c r="L15" s="15">
        <f>468*4+3665*4</f>
        <v>16532</v>
      </c>
      <c r="M15" s="15">
        <f t="shared" si="1"/>
        <v>16532</v>
      </c>
      <c r="N15" s="15">
        <v>0</v>
      </c>
      <c r="O15" s="58">
        <f t="shared" si="2"/>
        <v>0</v>
      </c>
      <c r="P15" s="39">
        <f t="shared" si="3"/>
        <v>17</v>
      </c>
      <c r="Q15" s="40">
        <f t="shared" si="4"/>
        <v>7</v>
      </c>
      <c r="R15" s="7"/>
      <c r="S15" s="6"/>
      <c r="T15" s="16">
        <v>7</v>
      </c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0.70833333333333337</v>
      </c>
      <c r="AD15" s="10">
        <f t="shared" si="7"/>
        <v>0.70833333333333337</v>
      </c>
      <c r="AE15" s="36">
        <f t="shared" si="8"/>
        <v>0.28888888888888892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490</v>
      </c>
      <c r="D16" s="52"/>
      <c r="E16" s="53" t="s">
        <v>493</v>
      </c>
      <c r="F16" s="30" t="s">
        <v>503</v>
      </c>
      <c r="G16" s="12">
        <v>2</v>
      </c>
      <c r="H16" s="13">
        <v>28</v>
      </c>
      <c r="I16" s="7">
        <v>1000</v>
      </c>
      <c r="J16" s="14">
        <v>1132</v>
      </c>
      <c r="K16" s="15">
        <f>L16+1132</f>
        <v>1132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0.28888888888888892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131</v>
      </c>
      <c r="D17" s="52" t="s">
        <v>141</v>
      </c>
      <c r="E17" s="53" t="s">
        <v>504</v>
      </c>
      <c r="F17" s="30" t="s">
        <v>505</v>
      </c>
      <c r="G17" s="33">
        <v>1</v>
      </c>
      <c r="H17" s="35">
        <v>24</v>
      </c>
      <c r="I17" s="7">
        <v>2500</v>
      </c>
      <c r="J17" s="5">
        <v>1967</v>
      </c>
      <c r="K17" s="15">
        <f>L17+2812+1967</f>
        <v>4779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0.28888888888888892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117</v>
      </c>
      <c r="E18" s="53" t="s">
        <v>533</v>
      </c>
      <c r="F18" s="30" t="s">
        <v>132</v>
      </c>
      <c r="G18" s="33">
        <v>1</v>
      </c>
      <c r="H18" s="35">
        <v>24</v>
      </c>
      <c r="I18" s="7">
        <v>150</v>
      </c>
      <c r="J18" s="5">
        <v>253</v>
      </c>
      <c r="K18" s="15">
        <f>L18</f>
        <v>253</v>
      </c>
      <c r="L18" s="15">
        <v>253</v>
      </c>
      <c r="M18" s="15">
        <f t="shared" si="1"/>
        <v>253</v>
      </c>
      <c r="N18" s="15">
        <v>0</v>
      </c>
      <c r="O18" s="58">
        <f t="shared" si="2"/>
        <v>0</v>
      </c>
      <c r="P18" s="39">
        <f t="shared" si="3"/>
        <v>4</v>
      </c>
      <c r="Q18" s="40">
        <f t="shared" si="4"/>
        <v>20</v>
      </c>
      <c r="R18" s="7"/>
      <c r="S18" s="6"/>
      <c r="T18" s="16"/>
      <c r="U18" s="16"/>
      <c r="V18" s="17"/>
      <c r="W18" s="5">
        <v>20</v>
      </c>
      <c r="X18" s="16"/>
      <c r="Y18" s="16"/>
      <c r="Z18" s="16"/>
      <c r="AA18" s="18"/>
      <c r="AB18" s="8">
        <f t="shared" si="5"/>
        <v>1</v>
      </c>
      <c r="AC18" s="9">
        <f t="shared" si="6"/>
        <v>0.16666666666666666</v>
      </c>
      <c r="AD18" s="10">
        <f>AC18*AB18*(1-O18)</f>
        <v>0.16666666666666666</v>
      </c>
      <c r="AE18" s="36">
        <f t="shared" si="8"/>
        <v>0.28888888888888892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126</v>
      </c>
      <c r="D19" s="52" t="s">
        <v>202</v>
      </c>
      <c r="E19" s="53" t="s">
        <v>205</v>
      </c>
      <c r="F19" s="30" t="s">
        <v>138</v>
      </c>
      <c r="G19" s="33">
        <v>4</v>
      </c>
      <c r="H19" s="35">
        <v>24</v>
      </c>
      <c r="I19" s="7">
        <v>800000</v>
      </c>
      <c r="J19" s="14">
        <v>18092</v>
      </c>
      <c r="K19" s="15">
        <f>L19+12980+20160+21332+21348+21424+21388+19544+8924+20020+20460+20164+15216+19816+4440+14220</f>
        <v>279528</v>
      </c>
      <c r="L19" s="15">
        <f>1919*4+2604*4</f>
        <v>18092</v>
      </c>
      <c r="M19" s="15">
        <f t="shared" si="1"/>
        <v>18092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ref="AD19" si="11">AC19*AB19*(1-O19)</f>
        <v>1</v>
      </c>
      <c r="AE19" s="36">
        <f t="shared" si="8"/>
        <v>0.28888888888888892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144</v>
      </c>
      <c r="F20" s="12" t="s">
        <v>116</v>
      </c>
      <c r="G20" s="12">
        <v>3</v>
      </c>
      <c r="H20" s="35">
        <v>20</v>
      </c>
      <c r="I20" s="7">
        <v>200000</v>
      </c>
      <c r="J20" s="14">
        <v>34300</v>
      </c>
      <c r="K20" s="15">
        <f>L20+22050+34300</f>
        <v>56350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0.28888888888888892</v>
      </c>
      <c r="AF20" s="87">
        <f t="shared" si="9"/>
        <v>15</v>
      </c>
    </row>
    <row r="21" spans="1:32" ht="31.5" customHeight="1" thickBot="1">
      <c r="A21" s="431" t="s">
        <v>34</v>
      </c>
      <c r="B21" s="432"/>
      <c r="C21" s="432"/>
      <c r="D21" s="432"/>
      <c r="E21" s="432"/>
      <c r="F21" s="432"/>
      <c r="G21" s="432"/>
      <c r="H21" s="433"/>
      <c r="I21" s="22">
        <f t="shared" ref="I21:N21" si="12">SUM(I6:I20)</f>
        <v>2130200</v>
      </c>
      <c r="J21" s="19">
        <f t="shared" si="12"/>
        <v>125206</v>
      </c>
      <c r="K21" s="20">
        <f t="shared" si="12"/>
        <v>1136532</v>
      </c>
      <c r="L21" s="21">
        <f t="shared" si="12"/>
        <v>70479</v>
      </c>
      <c r="M21" s="20">
        <f t="shared" si="12"/>
        <v>70479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104</v>
      </c>
      <c r="Q21" s="43">
        <f t="shared" si="13"/>
        <v>256</v>
      </c>
      <c r="R21" s="23">
        <f t="shared" si="13"/>
        <v>24</v>
      </c>
      <c r="S21" s="24">
        <f t="shared" si="13"/>
        <v>48</v>
      </c>
      <c r="T21" s="24">
        <f t="shared" si="13"/>
        <v>7</v>
      </c>
      <c r="U21" s="24">
        <f t="shared" si="13"/>
        <v>0</v>
      </c>
      <c r="V21" s="25">
        <f t="shared" si="13"/>
        <v>24</v>
      </c>
      <c r="W21" s="26">
        <f t="shared" si="13"/>
        <v>153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0.4</v>
      </c>
      <c r="AC21" s="4">
        <f>SUM(AC6:AC20)/15</f>
        <v>0.28888888888888892</v>
      </c>
      <c r="AD21" s="4">
        <f>SUM(AD6:AD20)/15</f>
        <v>0.28888888888888892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34" t="s">
        <v>45</v>
      </c>
      <c r="B48" s="434"/>
      <c r="C48" s="434"/>
      <c r="D48" s="434"/>
      <c r="E48" s="43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35" t="s">
        <v>534</v>
      </c>
      <c r="B49" s="436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7"/>
      <c r="N49" s="438" t="s">
        <v>535</v>
      </c>
      <c r="O49" s="439"/>
      <c r="P49" s="439"/>
      <c r="Q49" s="439"/>
      <c r="R49" s="439"/>
      <c r="S49" s="439"/>
      <c r="T49" s="439"/>
      <c r="U49" s="439"/>
      <c r="V49" s="439"/>
      <c r="W49" s="439"/>
      <c r="X49" s="439"/>
      <c r="Y49" s="439"/>
      <c r="Z49" s="439"/>
      <c r="AA49" s="439"/>
      <c r="AB49" s="439"/>
      <c r="AC49" s="439"/>
      <c r="AD49" s="440"/>
    </row>
    <row r="50" spans="1:32" ht="27" customHeight="1">
      <c r="A50" s="441" t="s">
        <v>2</v>
      </c>
      <c r="B50" s="442"/>
      <c r="C50" s="314" t="s">
        <v>46</v>
      </c>
      <c r="D50" s="314" t="s">
        <v>47</v>
      </c>
      <c r="E50" s="314" t="s">
        <v>108</v>
      </c>
      <c r="F50" s="442" t="s">
        <v>107</v>
      </c>
      <c r="G50" s="442"/>
      <c r="H50" s="442"/>
      <c r="I50" s="442"/>
      <c r="J50" s="442"/>
      <c r="K50" s="442"/>
      <c r="L50" s="442"/>
      <c r="M50" s="443"/>
      <c r="N50" s="67" t="s">
        <v>112</v>
      </c>
      <c r="O50" s="314" t="s">
        <v>46</v>
      </c>
      <c r="P50" s="444" t="s">
        <v>47</v>
      </c>
      <c r="Q50" s="445"/>
      <c r="R50" s="444" t="s">
        <v>38</v>
      </c>
      <c r="S50" s="446"/>
      <c r="T50" s="446"/>
      <c r="U50" s="445"/>
      <c r="V50" s="444" t="s">
        <v>48</v>
      </c>
      <c r="W50" s="446"/>
      <c r="X50" s="446"/>
      <c r="Y50" s="446"/>
      <c r="Z50" s="446"/>
      <c r="AA50" s="446"/>
      <c r="AB50" s="446"/>
      <c r="AC50" s="446"/>
      <c r="AD50" s="447"/>
    </row>
    <row r="51" spans="1:32" ht="27" customHeight="1">
      <c r="A51" s="412" t="s">
        <v>126</v>
      </c>
      <c r="B51" s="413"/>
      <c r="C51" s="311" t="s">
        <v>169</v>
      </c>
      <c r="D51" s="311"/>
      <c r="E51" s="311" t="s">
        <v>454</v>
      </c>
      <c r="F51" s="414" t="s">
        <v>120</v>
      </c>
      <c r="G51" s="415"/>
      <c r="H51" s="415"/>
      <c r="I51" s="415"/>
      <c r="J51" s="415"/>
      <c r="K51" s="415"/>
      <c r="L51" s="415"/>
      <c r="M51" s="416"/>
      <c r="N51" s="310" t="s">
        <v>131</v>
      </c>
      <c r="O51" s="308" t="s">
        <v>173</v>
      </c>
      <c r="P51" s="426"/>
      <c r="Q51" s="427"/>
      <c r="R51" s="426" t="s">
        <v>502</v>
      </c>
      <c r="S51" s="428"/>
      <c r="T51" s="428"/>
      <c r="U51" s="427"/>
      <c r="V51" s="396" t="s">
        <v>137</v>
      </c>
      <c r="W51" s="396"/>
      <c r="X51" s="396"/>
      <c r="Y51" s="396"/>
      <c r="Z51" s="396"/>
      <c r="AA51" s="396"/>
      <c r="AB51" s="396"/>
      <c r="AC51" s="396"/>
      <c r="AD51" s="417"/>
    </row>
    <row r="52" spans="1:32" ht="27" customHeight="1">
      <c r="A52" s="412" t="s">
        <v>126</v>
      </c>
      <c r="B52" s="413"/>
      <c r="C52" s="311" t="s">
        <v>171</v>
      </c>
      <c r="D52" s="311"/>
      <c r="E52" s="311" t="s">
        <v>531</v>
      </c>
      <c r="F52" s="414" t="s">
        <v>120</v>
      </c>
      <c r="G52" s="415"/>
      <c r="H52" s="415"/>
      <c r="I52" s="415"/>
      <c r="J52" s="415"/>
      <c r="K52" s="415"/>
      <c r="L52" s="415"/>
      <c r="M52" s="416"/>
      <c r="N52" s="310" t="s">
        <v>123</v>
      </c>
      <c r="O52" s="308" t="s">
        <v>129</v>
      </c>
      <c r="P52" s="426" t="s">
        <v>218</v>
      </c>
      <c r="Q52" s="427"/>
      <c r="R52" s="426" t="s">
        <v>521</v>
      </c>
      <c r="S52" s="428"/>
      <c r="T52" s="428"/>
      <c r="U52" s="427"/>
      <c r="V52" s="396" t="s">
        <v>120</v>
      </c>
      <c r="W52" s="396"/>
      <c r="X52" s="396"/>
      <c r="Y52" s="396"/>
      <c r="Z52" s="396"/>
      <c r="AA52" s="396"/>
      <c r="AB52" s="396"/>
      <c r="AC52" s="396"/>
      <c r="AD52" s="417"/>
    </row>
    <row r="53" spans="1:32" ht="27" customHeight="1">
      <c r="A53" s="412" t="s">
        <v>114</v>
      </c>
      <c r="B53" s="413"/>
      <c r="C53" s="311" t="s">
        <v>173</v>
      </c>
      <c r="D53" s="311" t="s">
        <v>117</v>
      </c>
      <c r="E53" s="311" t="s">
        <v>533</v>
      </c>
      <c r="F53" s="414" t="s">
        <v>120</v>
      </c>
      <c r="G53" s="415"/>
      <c r="H53" s="415"/>
      <c r="I53" s="415"/>
      <c r="J53" s="415"/>
      <c r="K53" s="415"/>
      <c r="L53" s="415"/>
      <c r="M53" s="416"/>
      <c r="N53" s="310" t="s">
        <v>123</v>
      </c>
      <c r="O53" s="308" t="s">
        <v>136</v>
      </c>
      <c r="P53" s="426" t="s">
        <v>117</v>
      </c>
      <c r="Q53" s="427"/>
      <c r="R53" s="426" t="s">
        <v>522</v>
      </c>
      <c r="S53" s="428"/>
      <c r="T53" s="428"/>
      <c r="U53" s="427"/>
      <c r="V53" s="396" t="s">
        <v>120</v>
      </c>
      <c r="W53" s="396"/>
      <c r="X53" s="396"/>
      <c r="Y53" s="396"/>
      <c r="Z53" s="396"/>
      <c r="AA53" s="396"/>
      <c r="AB53" s="396"/>
      <c r="AC53" s="396"/>
      <c r="AD53" s="417"/>
    </row>
    <row r="54" spans="1:32" ht="27" customHeight="1">
      <c r="A54" s="412"/>
      <c r="B54" s="413"/>
      <c r="C54" s="311"/>
      <c r="D54" s="311"/>
      <c r="E54" s="311"/>
      <c r="F54" s="414"/>
      <c r="G54" s="415"/>
      <c r="H54" s="415"/>
      <c r="I54" s="415"/>
      <c r="J54" s="415"/>
      <c r="K54" s="415"/>
      <c r="L54" s="415"/>
      <c r="M54" s="416"/>
      <c r="N54" s="310" t="s">
        <v>123</v>
      </c>
      <c r="O54" s="308" t="s">
        <v>130</v>
      </c>
      <c r="P54" s="426" t="s">
        <v>537</v>
      </c>
      <c r="Q54" s="427"/>
      <c r="R54" s="426" t="s">
        <v>536</v>
      </c>
      <c r="S54" s="428"/>
      <c r="T54" s="428"/>
      <c r="U54" s="427"/>
      <c r="V54" s="396" t="s">
        <v>120</v>
      </c>
      <c r="W54" s="396"/>
      <c r="X54" s="396"/>
      <c r="Y54" s="396"/>
      <c r="Z54" s="396"/>
      <c r="AA54" s="396"/>
      <c r="AB54" s="396"/>
      <c r="AC54" s="396"/>
      <c r="AD54" s="417"/>
    </row>
    <row r="55" spans="1:32" ht="27" customHeight="1">
      <c r="A55" s="412"/>
      <c r="B55" s="413"/>
      <c r="C55" s="311"/>
      <c r="D55" s="311"/>
      <c r="E55" s="311"/>
      <c r="F55" s="414"/>
      <c r="G55" s="415"/>
      <c r="H55" s="415"/>
      <c r="I55" s="415"/>
      <c r="J55" s="415"/>
      <c r="K55" s="415"/>
      <c r="L55" s="415"/>
      <c r="M55" s="416"/>
      <c r="N55" s="310"/>
      <c r="O55" s="308"/>
      <c r="P55" s="426"/>
      <c r="Q55" s="427"/>
      <c r="R55" s="426"/>
      <c r="S55" s="428"/>
      <c r="T55" s="428"/>
      <c r="U55" s="427"/>
      <c r="V55" s="396"/>
      <c r="W55" s="396"/>
      <c r="X55" s="396"/>
      <c r="Y55" s="396"/>
      <c r="Z55" s="396"/>
      <c r="AA55" s="396"/>
      <c r="AB55" s="396"/>
      <c r="AC55" s="396"/>
      <c r="AD55" s="417"/>
    </row>
    <row r="56" spans="1:32" ht="27" customHeight="1">
      <c r="A56" s="412"/>
      <c r="B56" s="413"/>
      <c r="C56" s="311"/>
      <c r="D56" s="311"/>
      <c r="E56" s="311"/>
      <c r="F56" s="414"/>
      <c r="G56" s="415"/>
      <c r="H56" s="415"/>
      <c r="I56" s="415"/>
      <c r="J56" s="415"/>
      <c r="K56" s="415"/>
      <c r="L56" s="415"/>
      <c r="M56" s="416"/>
      <c r="N56" s="310"/>
      <c r="O56" s="308"/>
      <c r="P56" s="426"/>
      <c r="Q56" s="427"/>
      <c r="R56" s="426"/>
      <c r="S56" s="428"/>
      <c r="T56" s="428"/>
      <c r="U56" s="427"/>
      <c r="V56" s="396"/>
      <c r="W56" s="396"/>
      <c r="X56" s="396"/>
      <c r="Y56" s="396"/>
      <c r="Z56" s="396"/>
      <c r="AA56" s="396"/>
      <c r="AB56" s="396"/>
      <c r="AC56" s="396"/>
      <c r="AD56" s="417"/>
    </row>
    <row r="57" spans="1:32" ht="27" customHeight="1">
      <c r="A57" s="412"/>
      <c r="B57" s="413"/>
      <c r="C57" s="311"/>
      <c r="D57" s="311"/>
      <c r="E57" s="311"/>
      <c r="F57" s="414"/>
      <c r="G57" s="415"/>
      <c r="H57" s="415"/>
      <c r="I57" s="415"/>
      <c r="J57" s="415"/>
      <c r="K57" s="415"/>
      <c r="L57" s="415"/>
      <c r="M57" s="416"/>
      <c r="N57" s="310"/>
      <c r="O57" s="308"/>
      <c r="P57" s="426"/>
      <c r="Q57" s="427"/>
      <c r="R57" s="413"/>
      <c r="S57" s="413"/>
      <c r="T57" s="413"/>
      <c r="U57" s="413"/>
      <c r="V57" s="396"/>
      <c r="W57" s="396"/>
      <c r="X57" s="396"/>
      <c r="Y57" s="396"/>
      <c r="Z57" s="396"/>
      <c r="AA57" s="396"/>
      <c r="AB57" s="396"/>
      <c r="AC57" s="396"/>
      <c r="AD57" s="417"/>
    </row>
    <row r="58" spans="1:32" ht="27" customHeight="1">
      <c r="A58" s="412"/>
      <c r="B58" s="413"/>
      <c r="C58" s="311"/>
      <c r="D58" s="311"/>
      <c r="E58" s="311"/>
      <c r="F58" s="414"/>
      <c r="G58" s="415"/>
      <c r="H58" s="415"/>
      <c r="I58" s="415"/>
      <c r="J58" s="415"/>
      <c r="K58" s="415"/>
      <c r="L58" s="415"/>
      <c r="M58" s="416"/>
      <c r="N58" s="310"/>
      <c r="O58" s="308"/>
      <c r="P58" s="426"/>
      <c r="Q58" s="427"/>
      <c r="R58" s="413"/>
      <c r="S58" s="413"/>
      <c r="T58" s="413"/>
      <c r="U58" s="413"/>
      <c r="V58" s="396"/>
      <c r="W58" s="396"/>
      <c r="X58" s="396"/>
      <c r="Y58" s="396"/>
      <c r="Z58" s="396"/>
      <c r="AA58" s="396"/>
      <c r="AB58" s="396"/>
      <c r="AC58" s="396"/>
      <c r="AD58" s="417"/>
    </row>
    <row r="59" spans="1:32" ht="27" customHeight="1">
      <c r="A59" s="412"/>
      <c r="B59" s="413"/>
      <c r="C59" s="311"/>
      <c r="D59" s="311"/>
      <c r="E59" s="311"/>
      <c r="F59" s="414"/>
      <c r="G59" s="415"/>
      <c r="H59" s="415"/>
      <c r="I59" s="415"/>
      <c r="J59" s="415"/>
      <c r="K59" s="415"/>
      <c r="L59" s="415"/>
      <c r="M59" s="416"/>
      <c r="N59" s="310"/>
      <c r="O59" s="308"/>
      <c r="P59" s="413"/>
      <c r="Q59" s="413"/>
      <c r="R59" s="413"/>
      <c r="S59" s="413"/>
      <c r="T59" s="413"/>
      <c r="U59" s="413"/>
      <c r="V59" s="396"/>
      <c r="W59" s="396"/>
      <c r="X59" s="396"/>
      <c r="Y59" s="396"/>
      <c r="Z59" s="396"/>
      <c r="AA59" s="396"/>
      <c r="AB59" s="396"/>
      <c r="AC59" s="396"/>
      <c r="AD59" s="417"/>
      <c r="AF59" s="87">
        <f>8*3000</f>
        <v>24000</v>
      </c>
    </row>
    <row r="60" spans="1:32" ht="27" customHeight="1" thickBot="1">
      <c r="A60" s="418"/>
      <c r="B60" s="419"/>
      <c r="C60" s="312"/>
      <c r="D60" s="313"/>
      <c r="E60" s="313"/>
      <c r="F60" s="420"/>
      <c r="G60" s="421"/>
      <c r="H60" s="421"/>
      <c r="I60" s="421"/>
      <c r="J60" s="421"/>
      <c r="K60" s="421"/>
      <c r="L60" s="421"/>
      <c r="M60" s="422"/>
      <c r="N60" s="124"/>
      <c r="O60" s="114"/>
      <c r="P60" s="423"/>
      <c r="Q60" s="423"/>
      <c r="R60" s="423"/>
      <c r="S60" s="423"/>
      <c r="T60" s="423"/>
      <c r="U60" s="423"/>
      <c r="V60" s="424"/>
      <c r="W60" s="424"/>
      <c r="X60" s="424"/>
      <c r="Y60" s="424"/>
      <c r="Z60" s="424"/>
      <c r="AA60" s="424"/>
      <c r="AB60" s="424"/>
      <c r="AC60" s="424"/>
      <c r="AD60" s="425"/>
      <c r="AF60" s="87">
        <f>16*3000</f>
        <v>48000</v>
      </c>
    </row>
    <row r="61" spans="1:32" ht="27.75" thickBot="1">
      <c r="A61" s="410" t="s">
        <v>538</v>
      </c>
      <c r="B61" s="410"/>
      <c r="C61" s="410"/>
      <c r="D61" s="410"/>
      <c r="E61" s="410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1" t="s">
        <v>113</v>
      </c>
      <c r="B62" s="406"/>
      <c r="C62" s="309" t="s">
        <v>2</v>
      </c>
      <c r="D62" s="309" t="s">
        <v>37</v>
      </c>
      <c r="E62" s="309" t="s">
        <v>3</v>
      </c>
      <c r="F62" s="406" t="s">
        <v>110</v>
      </c>
      <c r="G62" s="406"/>
      <c r="H62" s="406"/>
      <c r="I62" s="406"/>
      <c r="J62" s="406"/>
      <c r="K62" s="406" t="s">
        <v>39</v>
      </c>
      <c r="L62" s="406"/>
      <c r="M62" s="309" t="s">
        <v>40</v>
      </c>
      <c r="N62" s="406" t="s">
        <v>41</v>
      </c>
      <c r="O62" s="406"/>
      <c r="P62" s="403" t="s">
        <v>42</v>
      </c>
      <c r="Q62" s="405"/>
      <c r="R62" s="403" t="s">
        <v>43</v>
      </c>
      <c r="S62" s="404"/>
      <c r="T62" s="404"/>
      <c r="U62" s="404"/>
      <c r="V62" s="404"/>
      <c r="W62" s="404"/>
      <c r="X62" s="404"/>
      <c r="Y62" s="404"/>
      <c r="Z62" s="404"/>
      <c r="AA62" s="405"/>
      <c r="AB62" s="406" t="s">
        <v>44</v>
      </c>
      <c r="AC62" s="406"/>
      <c r="AD62" s="407"/>
      <c r="AF62" s="87">
        <f>SUM(AF59:AF61)</f>
        <v>96000</v>
      </c>
    </row>
    <row r="63" spans="1:32" ht="25.5" customHeight="1">
      <c r="A63" s="389">
        <v>1</v>
      </c>
      <c r="B63" s="390"/>
      <c r="C63" s="117" t="s">
        <v>123</v>
      </c>
      <c r="D63" s="304"/>
      <c r="E63" s="307" t="s">
        <v>141</v>
      </c>
      <c r="F63" s="391" t="s">
        <v>539</v>
      </c>
      <c r="G63" s="383"/>
      <c r="H63" s="383"/>
      <c r="I63" s="383"/>
      <c r="J63" s="383"/>
      <c r="K63" s="383" t="s">
        <v>322</v>
      </c>
      <c r="L63" s="383"/>
      <c r="M63" s="51" t="s">
        <v>192</v>
      </c>
      <c r="N63" s="401" t="s">
        <v>237</v>
      </c>
      <c r="O63" s="401"/>
      <c r="P63" s="402">
        <v>50</v>
      </c>
      <c r="Q63" s="402"/>
      <c r="R63" s="396"/>
      <c r="S63" s="396"/>
      <c r="T63" s="396"/>
      <c r="U63" s="396"/>
      <c r="V63" s="396"/>
      <c r="W63" s="396"/>
      <c r="X63" s="396"/>
      <c r="Y63" s="396"/>
      <c r="Z63" s="396"/>
      <c r="AA63" s="396"/>
      <c r="AB63" s="400"/>
      <c r="AC63" s="408"/>
      <c r="AD63" s="409"/>
      <c r="AF63" s="50"/>
    </row>
    <row r="64" spans="1:32" ht="25.5" customHeight="1">
      <c r="A64" s="389">
        <v>2</v>
      </c>
      <c r="B64" s="390"/>
      <c r="C64" s="117" t="s">
        <v>123</v>
      </c>
      <c r="D64" s="304"/>
      <c r="E64" s="307" t="s">
        <v>218</v>
      </c>
      <c r="F64" s="391" t="s">
        <v>540</v>
      </c>
      <c r="G64" s="383"/>
      <c r="H64" s="383"/>
      <c r="I64" s="383"/>
      <c r="J64" s="383"/>
      <c r="K64" s="383" t="s">
        <v>124</v>
      </c>
      <c r="L64" s="383"/>
      <c r="M64" s="51" t="s">
        <v>192</v>
      </c>
      <c r="N64" s="401" t="s">
        <v>130</v>
      </c>
      <c r="O64" s="401"/>
      <c r="P64" s="402">
        <v>50</v>
      </c>
      <c r="Q64" s="402"/>
      <c r="R64" s="396"/>
      <c r="S64" s="396"/>
      <c r="T64" s="396"/>
      <c r="U64" s="396"/>
      <c r="V64" s="396"/>
      <c r="W64" s="396"/>
      <c r="X64" s="396"/>
      <c r="Y64" s="396"/>
      <c r="Z64" s="396"/>
      <c r="AA64" s="396"/>
      <c r="AB64" s="383"/>
      <c r="AC64" s="383"/>
      <c r="AD64" s="384"/>
      <c r="AF64" s="50"/>
    </row>
    <row r="65" spans="1:32" ht="25.5" customHeight="1">
      <c r="A65" s="389">
        <v>3</v>
      </c>
      <c r="B65" s="390"/>
      <c r="C65" s="117" t="s">
        <v>123</v>
      </c>
      <c r="D65" s="304"/>
      <c r="E65" s="307" t="s">
        <v>202</v>
      </c>
      <c r="F65" s="397" t="s">
        <v>541</v>
      </c>
      <c r="G65" s="398"/>
      <c r="H65" s="398"/>
      <c r="I65" s="398"/>
      <c r="J65" s="399"/>
      <c r="K65" s="383" t="s">
        <v>542</v>
      </c>
      <c r="L65" s="383"/>
      <c r="M65" s="51" t="s">
        <v>192</v>
      </c>
      <c r="N65" s="401" t="s">
        <v>310</v>
      </c>
      <c r="O65" s="401"/>
      <c r="P65" s="402">
        <v>100</v>
      </c>
      <c r="Q65" s="402"/>
      <c r="R65" s="396"/>
      <c r="S65" s="396"/>
      <c r="T65" s="396"/>
      <c r="U65" s="396"/>
      <c r="V65" s="396"/>
      <c r="W65" s="396"/>
      <c r="X65" s="396"/>
      <c r="Y65" s="396"/>
      <c r="Z65" s="396"/>
      <c r="AA65" s="396"/>
      <c r="AB65" s="383"/>
      <c r="AC65" s="383"/>
      <c r="AD65" s="384"/>
      <c r="AF65" s="50"/>
    </row>
    <row r="66" spans="1:32" ht="25.5" customHeight="1">
      <c r="A66" s="389">
        <v>4</v>
      </c>
      <c r="B66" s="390"/>
      <c r="C66" s="117"/>
      <c r="D66" s="304"/>
      <c r="E66" s="307"/>
      <c r="F66" s="397"/>
      <c r="G66" s="398"/>
      <c r="H66" s="398"/>
      <c r="I66" s="398"/>
      <c r="J66" s="399"/>
      <c r="K66" s="383"/>
      <c r="L66" s="383"/>
      <c r="M66" s="51"/>
      <c r="N66" s="401"/>
      <c r="O66" s="401"/>
      <c r="P66" s="402"/>
      <c r="Q66" s="402"/>
      <c r="R66" s="396"/>
      <c r="S66" s="396"/>
      <c r="T66" s="396"/>
      <c r="U66" s="396"/>
      <c r="V66" s="396"/>
      <c r="W66" s="396"/>
      <c r="X66" s="396"/>
      <c r="Y66" s="396"/>
      <c r="Z66" s="396"/>
      <c r="AA66" s="396"/>
      <c r="AB66" s="383"/>
      <c r="AC66" s="383"/>
      <c r="AD66" s="384"/>
      <c r="AF66" s="50"/>
    </row>
    <row r="67" spans="1:32" ht="25.5" customHeight="1">
      <c r="A67" s="389">
        <v>5</v>
      </c>
      <c r="B67" s="390"/>
      <c r="C67" s="117"/>
      <c r="D67" s="304"/>
      <c r="E67" s="307"/>
      <c r="F67" s="397"/>
      <c r="G67" s="398"/>
      <c r="H67" s="398"/>
      <c r="I67" s="398"/>
      <c r="J67" s="399"/>
      <c r="K67" s="400"/>
      <c r="L67" s="390"/>
      <c r="M67" s="51"/>
      <c r="N67" s="401"/>
      <c r="O67" s="401"/>
      <c r="P67" s="402"/>
      <c r="Q67" s="402"/>
      <c r="R67" s="396"/>
      <c r="S67" s="396"/>
      <c r="T67" s="396"/>
      <c r="U67" s="396"/>
      <c r="V67" s="396"/>
      <c r="W67" s="396"/>
      <c r="X67" s="396"/>
      <c r="Y67" s="396"/>
      <c r="Z67" s="396"/>
      <c r="AA67" s="396"/>
      <c r="AB67" s="383"/>
      <c r="AC67" s="383"/>
      <c r="AD67" s="384"/>
      <c r="AF67" s="50"/>
    </row>
    <row r="68" spans="1:32" ht="25.5" customHeight="1">
      <c r="A68" s="389">
        <v>6</v>
      </c>
      <c r="B68" s="390"/>
      <c r="C68" s="117"/>
      <c r="D68" s="304"/>
      <c r="E68" s="307"/>
      <c r="F68" s="391"/>
      <c r="G68" s="383"/>
      <c r="H68" s="383"/>
      <c r="I68" s="383"/>
      <c r="J68" s="383"/>
      <c r="K68" s="383"/>
      <c r="L68" s="383"/>
      <c r="M68" s="51"/>
      <c r="N68" s="392"/>
      <c r="O68" s="393"/>
      <c r="P68" s="394"/>
      <c r="Q68" s="395"/>
      <c r="R68" s="396"/>
      <c r="S68" s="396"/>
      <c r="T68" s="396"/>
      <c r="U68" s="396"/>
      <c r="V68" s="396"/>
      <c r="W68" s="396"/>
      <c r="X68" s="396"/>
      <c r="Y68" s="396"/>
      <c r="Z68" s="396"/>
      <c r="AA68" s="396"/>
      <c r="AB68" s="383"/>
      <c r="AC68" s="383"/>
      <c r="AD68" s="384"/>
      <c r="AF68" s="50"/>
    </row>
    <row r="69" spans="1:32" ht="25.5" customHeight="1">
      <c r="A69" s="389">
        <v>7</v>
      </c>
      <c r="B69" s="390"/>
      <c r="C69" s="117"/>
      <c r="D69" s="304"/>
      <c r="E69" s="307"/>
      <c r="F69" s="391"/>
      <c r="G69" s="383"/>
      <c r="H69" s="383"/>
      <c r="I69" s="383"/>
      <c r="J69" s="383"/>
      <c r="K69" s="383"/>
      <c r="L69" s="383"/>
      <c r="M69" s="51"/>
      <c r="N69" s="392"/>
      <c r="O69" s="393"/>
      <c r="P69" s="394"/>
      <c r="Q69" s="395"/>
      <c r="R69" s="396"/>
      <c r="S69" s="396"/>
      <c r="T69" s="396"/>
      <c r="U69" s="396"/>
      <c r="V69" s="396"/>
      <c r="W69" s="396"/>
      <c r="X69" s="396"/>
      <c r="Y69" s="396"/>
      <c r="Z69" s="396"/>
      <c r="AA69" s="396"/>
      <c r="AB69" s="383"/>
      <c r="AC69" s="383"/>
      <c r="AD69" s="384"/>
      <c r="AF69" s="50"/>
    </row>
    <row r="70" spans="1:32" ht="25.5" customHeight="1">
      <c r="A70" s="389">
        <v>8</v>
      </c>
      <c r="B70" s="390"/>
      <c r="C70" s="117"/>
      <c r="D70" s="304"/>
      <c r="E70" s="307"/>
      <c r="F70" s="391"/>
      <c r="G70" s="383"/>
      <c r="H70" s="383"/>
      <c r="I70" s="383"/>
      <c r="J70" s="383"/>
      <c r="K70" s="383"/>
      <c r="L70" s="383"/>
      <c r="M70" s="51"/>
      <c r="N70" s="392"/>
      <c r="O70" s="393"/>
      <c r="P70" s="394"/>
      <c r="Q70" s="395"/>
      <c r="R70" s="396"/>
      <c r="S70" s="396"/>
      <c r="T70" s="396"/>
      <c r="U70" s="396"/>
      <c r="V70" s="396"/>
      <c r="W70" s="396"/>
      <c r="X70" s="396"/>
      <c r="Y70" s="396"/>
      <c r="Z70" s="396"/>
      <c r="AA70" s="396"/>
      <c r="AB70" s="383"/>
      <c r="AC70" s="383"/>
      <c r="AD70" s="384"/>
      <c r="AF70" s="50"/>
    </row>
    <row r="71" spans="1:32" ht="26.25" customHeight="1" thickBot="1">
      <c r="A71" s="363" t="s">
        <v>543</v>
      </c>
      <c r="B71" s="363"/>
      <c r="C71" s="363"/>
      <c r="D71" s="363"/>
      <c r="E71" s="363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64" t="s">
        <v>113</v>
      </c>
      <c r="B72" s="365"/>
      <c r="C72" s="306" t="s">
        <v>2</v>
      </c>
      <c r="D72" s="306" t="s">
        <v>37</v>
      </c>
      <c r="E72" s="306" t="s">
        <v>3</v>
      </c>
      <c r="F72" s="365" t="s">
        <v>38</v>
      </c>
      <c r="G72" s="365"/>
      <c r="H72" s="365"/>
      <c r="I72" s="365"/>
      <c r="J72" s="365"/>
      <c r="K72" s="385" t="s">
        <v>58</v>
      </c>
      <c r="L72" s="386"/>
      <c r="M72" s="386"/>
      <c r="N72" s="386"/>
      <c r="O72" s="386"/>
      <c r="P72" s="386"/>
      <c r="Q72" s="386"/>
      <c r="R72" s="386"/>
      <c r="S72" s="387"/>
      <c r="T72" s="365" t="s">
        <v>49</v>
      </c>
      <c r="U72" s="365"/>
      <c r="V72" s="385" t="s">
        <v>50</v>
      </c>
      <c r="W72" s="387"/>
      <c r="X72" s="386" t="s">
        <v>51</v>
      </c>
      <c r="Y72" s="386"/>
      <c r="Z72" s="386"/>
      <c r="AA72" s="386"/>
      <c r="AB72" s="386"/>
      <c r="AC72" s="386"/>
      <c r="AD72" s="388"/>
      <c r="AF72" s="50"/>
    </row>
    <row r="73" spans="1:32" ht="33.75" customHeight="1">
      <c r="A73" s="357">
        <v>1</v>
      </c>
      <c r="B73" s="358"/>
      <c r="C73" s="305" t="s">
        <v>114</v>
      </c>
      <c r="D73" s="305"/>
      <c r="E73" s="65" t="s">
        <v>119</v>
      </c>
      <c r="F73" s="372" t="s">
        <v>118</v>
      </c>
      <c r="G73" s="373"/>
      <c r="H73" s="373"/>
      <c r="I73" s="373"/>
      <c r="J73" s="374"/>
      <c r="K73" s="375" t="s">
        <v>128</v>
      </c>
      <c r="L73" s="376"/>
      <c r="M73" s="376"/>
      <c r="N73" s="376"/>
      <c r="O73" s="376"/>
      <c r="P73" s="376"/>
      <c r="Q73" s="376"/>
      <c r="R73" s="376"/>
      <c r="S73" s="377"/>
      <c r="T73" s="378">
        <v>43675</v>
      </c>
      <c r="U73" s="379"/>
      <c r="V73" s="380"/>
      <c r="W73" s="380"/>
      <c r="X73" s="381"/>
      <c r="Y73" s="381"/>
      <c r="Z73" s="381"/>
      <c r="AA73" s="381"/>
      <c r="AB73" s="381"/>
      <c r="AC73" s="381"/>
      <c r="AD73" s="382"/>
      <c r="AF73" s="50"/>
    </row>
    <row r="74" spans="1:32" ht="30" customHeight="1">
      <c r="A74" s="350">
        <f>A73+1</f>
        <v>2</v>
      </c>
      <c r="B74" s="351"/>
      <c r="C74" s="304"/>
      <c r="D74" s="304"/>
      <c r="E74" s="32"/>
      <c r="F74" s="351"/>
      <c r="G74" s="351"/>
      <c r="H74" s="351"/>
      <c r="I74" s="351"/>
      <c r="J74" s="351"/>
      <c r="K74" s="366"/>
      <c r="L74" s="367"/>
      <c r="M74" s="367"/>
      <c r="N74" s="367"/>
      <c r="O74" s="367"/>
      <c r="P74" s="367"/>
      <c r="Q74" s="367"/>
      <c r="R74" s="367"/>
      <c r="S74" s="368"/>
      <c r="T74" s="369"/>
      <c r="U74" s="369"/>
      <c r="V74" s="369"/>
      <c r="W74" s="369"/>
      <c r="X74" s="370"/>
      <c r="Y74" s="370"/>
      <c r="Z74" s="370"/>
      <c r="AA74" s="370"/>
      <c r="AB74" s="370"/>
      <c r="AC74" s="370"/>
      <c r="AD74" s="371"/>
      <c r="AF74" s="50"/>
    </row>
    <row r="75" spans="1:32" ht="30" customHeight="1">
      <c r="A75" s="350">
        <f t="shared" ref="A75:A81" si="14">A74+1</f>
        <v>3</v>
      </c>
      <c r="B75" s="351"/>
      <c r="C75" s="304"/>
      <c r="D75" s="304"/>
      <c r="E75" s="32"/>
      <c r="F75" s="351"/>
      <c r="G75" s="351"/>
      <c r="H75" s="351"/>
      <c r="I75" s="351"/>
      <c r="J75" s="351"/>
      <c r="K75" s="366"/>
      <c r="L75" s="367"/>
      <c r="M75" s="367"/>
      <c r="N75" s="367"/>
      <c r="O75" s="367"/>
      <c r="P75" s="367"/>
      <c r="Q75" s="367"/>
      <c r="R75" s="367"/>
      <c r="S75" s="368"/>
      <c r="T75" s="369"/>
      <c r="U75" s="369"/>
      <c r="V75" s="369"/>
      <c r="W75" s="369"/>
      <c r="X75" s="370"/>
      <c r="Y75" s="370"/>
      <c r="Z75" s="370"/>
      <c r="AA75" s="370"/>
      <c r="AB75" s="370"/>
      <c r="AC75" s="370"/>
      <c r="AD75" s="371"/>
      <c r="AF75" s="50"/>
    </row>
    <row r="76" spans="1:32" ht="30" customHeight="1">
      <c r="A76" s="350">
        <f t="shared" si="14"/>
        <v>4</v>
      </c>
      <c r="B76" s="351"/>
      <c r="C76" s="304"/>
      <c r="D76" s="304"/>
      <c r="E76" s="32"/>
      <c r="F76" s="351"/>
      <c r="G76" s="351"/>
      <c r="H76" s="351"/>
      <c r="I76" s="351"/>
      <c r="J76" s="351"/>
      <c r="K76" s="366"/>
      <c r="L76" s="367"/>
      <c r="M76" s="367"/>
      <c r="N76" s="367"/>
      <c r="O76" s="367"/>
      <c r="P76" s="367"/>
      <c r="Q76" s="367"/>
      <c r="R76" s="367"/>
      <c r="S76" s="368"/>
      <c r="T76" s="369"/>
      <c r="U76" s="369"/>
      <c r="V76" s="369"/>
      <c r="W76" s="369"/>
      <c r="X76" s="370"/>
      <c r="Y76" s="370"/>
      <c r="Z76" s="370"/>
      <c r="AA76" s="370"/>
      <c r="AB76" s="370"/>
      <c r="AC76" s="370"/>
      <c r="AD76" s="371"/>
      <c r="AF76" s="50"/>
    </row>
    <row r="77" spans="1:32" ht="30" customHeight="1">
      <c r="A77" s="350">
        <f t="shared" si="14"/>
        <v>5</v>
      </c>
      <c r="B77" s="351"/>
      <c r="C77" s="304"/>
      <c r="D77" s="304"/>
      <c r="E77" s="32"/>
      <c r="F77" s="351"/>
      <c r="G77" s="351"/>
      <c r="H77" s="351"/>
      <c r="I77" s="351"/>
      <c r="J77" s="351"/>
      <c r="K77" s="366"/>
      <c r="L77" s="367"/>
      <c r="M77" s="367"/>
      <c r="N77" s="367"/>
      <c r="O77" s="367"/>
      <c r="P77" s="367"/>
      <c r="Q77" s="367"/>
      <c r="R77" s="367"/>
      <c r="S77" s="368"/>
      <c r="T77" s="369"/>
      <c r="U77" s="369"/>
      <c r="V77" s="369"/>
      <c r="W77" s="369"/>
      <c r="X77" s="370"/>
      <c r="Y77" s="370"/>
      <c r="Z77" s="370"/>
      <c r="AA77" s="370"/>
      <c r="AB77" s="370"/>
      <c r="AC77" s="370"/>
      <c r="AD77" s="371"/>
      <c r="AF77" s="50"/>
    </row>
    <row r="78" spans="1:32" ht="30" customHeight="1">
      <c r="A78" s="350">
        <f t="shared" si="14"/>
        <v>6</v>
      </c>
      <c r="B78" s="351"/>
      <c r="C78" s="304"/>
      <c r="D78" s="304"/>
      <c r="E78" s="32"/>
      <c r="F78" s="351"/>
      <c r="G78" s="351"/>
      <c r="H78" s="351"/>
      <c r="I78" s="351"/>
      <c r="J78" s="351"/>
      <c r="K78" s="366"/>
      <c r="L78" s="367"/>
      <c r="M78" s="367"/>
      <c r="N78" s="367"/>
      <c r="O78" s="367"/>
      <c r="P78" s="367"/>
      <c r="Q78" s="367"/>
      <c r="R78" s="367"/>
      <c r="S78" s="368"/>
      <c r="T78" s="369"/>
      <c r="U78" s="369"/>
      <c r="V78" s="369"/>
      <c r="W78" s="369"/>
      <c r="X78" s="370"/>
      <c r="Y78" s="370"/>
      <c r="Z78" s="370"/>
      <c r="AA78" s="370"/>
      <c r="AB78" s="370"/>
      <c r="AC78" s="370"/>
      <c r="AD78" s="371"/>
      <c r="AF78" s="50"/>
    </row>
    <row r="79" spans="1:32" ht="30" customHeight="1">
      <c r="A79" s="350">
        <f t="shared" si="14"/>
        <v>7</v>
      </c>
      <c r="B79" s="351"/>
      <c r="C79" s="304"/>
      <c r="D79" s="304"/>
      <c r="E79" s="32"/>
      <c r="F79" s="351"/>
      <c r="G79" s="351"/>
      <c r="H79" s="351"/>
      <c r="I79" s="351"/>
      <c r="J79" s="351"/>
      <c r="K79" s="366"/>
      <c r="L79" s="367"/>
      <c r="M79" s="367"/>
      <c r="N79" s="367"/>
      <c r="O79" s="367"/>
      <c r="P79" s="367"/>
      <c r="Q79" s="367"/>
      <c r="R79" s="367"/>
      <c r="S79" s="368"/>
      <c r="T79" s="369"/>
      <c r="U79" s="369"/>
      <c r="V79" s="369"/>
      <c r="W79" s="369"/>
      <c r="X79" s="370"/>
      <c r="Y79" s="370"/>
      <c r="Z79" s="370"/>
      <c r="AA79" s="370"/>
      <c r="AB79" s="370"/>
      <c r="AC79" s="370"/>
      <c r="AD79" s="371"/>
      <c r="AF79" s="50"/>
    </row>
    <row r="80" spans="1:32" ht="30" customHeight="1">
      <c r="A80" s="350">
        <f t="shared" si="14"/>
        <v>8</v>
      </c>
      <c r="B80" s="351"/>
      <c r="C80" s="304"/>
      <c r="D80" s="304"/>
      <c r="E80" s="32"/>
      <c r="F80" s="351"/>
      <c r="G80" s="351"/>
      <c r="H80" s="351"/>
      <c r="I80" s="351"/>
      <c r="J80" s="351"/>
      <c r="K80" s="366"/>
      <c r="L80" s="367"/>
      <c r="M80" s="367"/>
      <c r="N80" s="367"/>
      <c r="O80" s="367"/>
      <c r="P80" s="367"/>
      <c r="Q80" s="367"/>
      <c r="R80" s="367"/>
      <c r="S80" s="368"/>
      <c r="T80" s="369"/>
      <c r="U80" s="369"/>
      <c r="V80" s="369"/>
      <c r="W80" s="369"/>
      <c r="X80" s="370"/>
      <c r="Y80" s="370"/>
      <c r="Z80" s="370"/>
      <c r="AA80" s="370"/>
      <c r="AB80" s="370"/>
      <c r="AC80" s="370"/>
      <c r="AD80" s="371"/>
      <c r="AF80" s="50"/>
    </row>
    <row r="81" spans="1:32" ht="30" customHeight="1">
      <c r="A81" s="350">
        <f t="shared" si="14"/>
        <v>9</v>
      </c>
      <c r="B81" s="351"/>
      <c r="C81" s="304"/>
      <c r="D81" s="304"/>
      <c r="E81" s="32"/>
      <c r="F81" s="351"/>
      <c r="G81" s="351"/>
      <c r="H81" s="351"/>
      <c r="I81" s="351"/>
      <c r="J81" s="351"/>
      <c r="K81" s="366"/>
      <c r="L81" s="367"/>
      <c r="M81" s="367"/>
      <c r="N81" s="367"/>
      <c r="O81" s="367"/>
      <c r="P81" s="367"/>
      <c r="Q81" s="367"/>
      <c r="R81" s="367"/>
      <c r="S81" s="368"/>
      <c r="T81" s="369"/>
      <c r="U81" s="369"/>
      <c r="V81" s="369"/>
      <c r="W81" s="369"/>
      <c r="X81" s="370"/>
      <c r="Y81" s="370"/>
      <c r="Z81" s="370"/>
      <c r="AA81" s="370"/>
      <c r="AB81" s="370"/>
      <c r="AC81" s="370"/>
      <c r="AD81" s="371"/>
      <c r="AF81" s="50"/>
    </row>
    <row r="82" spans="1:32" ht="36" thickBot="1">
      <c r="A82" s="363" t="s">
        <v>544</v>
      </c>
      <c r="B82" s="363"/>
      <c r="C82" s="363"/>
      <c r="D82" s="363"/>
      <c r="E82" s="363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64" t="s">
        <v>113</v>
      </c>
      <c r="B83" s="365"/>
      <c r="C83" s="355" t="s">
        <v>52</v>
      </c>
      <c r="D83" s="355"/>
      <c r="E83" s="355" t="s">
        <v>53</v>
      </c>
      <c r="F83" s="355"/>
      <c r="G83" s="355"/>
      <c r="H83" s="355"/>
      <c r="I83" s="355"/>
      <c r="J83" s="355"/>
      <c r="K83" s="355" t="s">
        <v>54</v>
      </c>
      <c r="L83" s="355"/>
      <c r="M83" s="355"/>
      <c r="N83" s="355"/>
      <c r="O83" s="355"/>
      <c r="P83" s="355"/>
      <c r="Q83" s="355"/>
      <c r="R83" s="355"/>
      <c r="S83" s="355"/>
      <c r="T83" s="355" t="s">
        <v>55</v>
      </c>
      <c r="U83" s="355"/>
      <c r="V83" s="355" t="s">
        <v>56</v>
      </c>
      <c r="W83" s="355"/>
      <c r="X83" s="355"/>
      <c r="Y83" s="355" t="s">
        <v>51</v>
      </c>
      <c r="Z83" s="355"/>
      <c r="AA83" s="355"/>
      <c r="AB83" s="355"/>
      <c r="AC83" s="355"/>
      <c r="AD83" s="356"/>
      <c r="AF83" s="50"/>
    </row>
    <row r="84" spans="1:32" ht="30.75" customHeight="1">
      <c r="A84" s="357">
        <v>1</v>
      </c>
      <c r="B84" s="358"/>
      <c r="C84" s="359"/>
      <c r="D84" s="359"/>
      <c r="E84" s="359"/>
      <c r="F84" s="359"/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/>
      <c r="R84" s="359"/>
      <c r="S84" s="359"/>
      <c r="T84" s="359"/>
      <c r="U84" s="359"/>
      <c r="V84" s="360"/>
      <c r="W84" s="360"/>
      <c r="X84" s="360"/>
      <c r="Y84" s="361"/>
      <c r="Z84" s="361"/>
      <c r="AA84" s="361"/>
      <c r="AB84" s="361"/>
      <c r="AC84" s="361"/>
      <c r="AD84" s="362"/>
      <c r="AF84" s="50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0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C67E-44F8-49F4-9B40-E6D0D70DCE16}"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58" t="s">
        <v>545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8"/>
      <c r="B2" s="458"/>
      <c r="C2" s="458"/>
      <c r="D2" s="458"/>
      <c r="E2" s="458"/>
      <c r="F2" s="458"/>
      <c r="G2" s="458"/>
      <c r="H2" s="458"/>
      <c r="I2" s="458"/>
      <c r="J2" s="458"/>
      <c r="K2" s="458"/>
      <c r="L2" s="458"/>
      <c r="M2" s="458"/>
      <c r="N2" s="458"/>
      <c r="O2" s="45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9"/>
      <c r="B3" s="459"/>
      <c r="C3" s="459"/>
      <c r="D3" s="459"/>
      <c r="E3" s="459"/>
      <c r="F3" s="459"/>
      <c r="G3" s="45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0" t="s">
        <v>0</v>
      </c>
      <c r="B4" s="462" t="s">
        <v>1</v>
      </c>
      <c r="C4" s="462" t="s">
        <v>2</v>
      </c>
      <c r="D4" s="465" t="s">
        <v>3</v>
      </c>
      <c r="E4" s="467" t="s">
        <v>4</v>
      </c>
      <c r="F4" s="465" t="s">
        <v>5</v>
      </c>
      <c r="G4" s="462" t="s">
        <v>6</v>
      </c>
      <c r="H4" s="468" t="s">
        <v>7</v>
      </c>
      <c r="I4" s="448" t="s">
        <v>8</v>
      </c>
      <c r="J4" s="449"/>
      <c r="K4" s="449"/>
      <c r="L4" s="449"/>
      <c r="M4" s="449"/>
      <c r="N4" s="449"/>
      <c r="O4" s="450"/>
      <c r="P4" s="451" t="s">
        <v>9</v>
      </c>
      <c r="Q4" s="452"/>
      <c r="R4" s="453" t="s">
        <v>10</v>
      </c>
      <c r="S4" s="453"/>
      <c r="T4" s="453"/>
      <c r="U4" s="453"/>
      <c r="V4" s="453"/>
      <c r="W4" s="454" t="s">
        <v>11</v>
      </c>
      <c r="X4" s="453"/>
      <c r="Y4" s="453"/>
      <c r="Z4" s="453"/>
      <c r="AA4" s="455"/>
      <c r="AB4" s="456" t="s">
        <v>12</v>
      </c>
      <c r="AC4" s="429" t="s">
        <v>13</v>
      </c>
      <c r="AD4" s="429" t="s">
        <v>14</v>
      </c>
      <c r="AE4" s="54"/>
    </row>
    <row r="5" spans="1:32" ht="51" customHeight="1" thickBot="1">
      <c r="A5" s="461"/>
      <c r="B5" s="463"/>
      <c r="C5" s="464"/>
      <c r="D5" s="466"/>
      <c r="E5" s="466"/>
      <c r="F5" s="466"/>
      <c r="G5" s="463"/>
      <c r="H5" s="469"/>
      <c r="I5" s="55" t="s">
        <v>15</v>
      </c>
      <c r="J5" s="56" t="s">
        <v>16</v>
      </c>
      <c r="K5" s="315" t="s">
        <v>17</v>
      </c>
      <c r="L5" s="315" t="s">
        <v>18</v>
      </c>
      <c r="M5" s="315" t="s">
        <v>19</v>
      </c>
      <c r="N5" s="31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57"/>
      <c r="AC5" s="430"/>
      <c r="AD5" s="43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0.28611111111111109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126</v>
      </c>
      <c r="D7" s="52" t="s">
        <v>127</v>
      </c>
      <c r="E7" s="53" t="s">
        <v>125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0.28611111111111109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126</v>
      </c>
      <c r="D8" s="52" t="s">
        <v>119</v>
      </c>
      <c r="E8" s="53" t="s">
        <v>379</v>
      </c>
      <c r="F8" s="30" t="s">
        <v>138</v>
      </c>
      <c r="G8" s="33">
        <v>1</v>
      </c>
      <c r="H8" s="35">
        <v>24</v>
      </c>
      <c r="I8" s="7">
        <v>2000</v>
      </c>
      <c r="J8" s="14">
        <v>3138</v>
      </c>
      <c r="K8" s="15">
        <f>L8+3138</f>
        <v>3138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0.28611111111111109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123</v>
      </c>
      <c r="D9" s="52" t="s">
        <v>218</v>
      </c>
      <c r="E9" s="53" t="s">
        <v>521</v>
      </c>
      <c r="F9" s="30" t="s">
        <v>124</v>
      </c>
      <c r="G9" s="33">
        <v>1</v>
      </c>
      <c r="H9" s="35">
        <v>24</v>
      </c>
      <c r="I9" s="7">
        <v>2300</v>
      </c>
      <c r="J9" s="14">
        <v>788</v>
      </c>
      <c r="K9" s="15">
        <f>L9</f>
        <v>788</v>
      </c>
      <c r="L9" s="15">
        <f>343+445</f>
        <v>788</v>
      </c>
      <c r="M9" s="15">
        <f t="shared" si="1"/>
        <v>788</v>
      </c>
      <c r="N9" s="15">
        <v>0</v>
      </c>
      <c r="O9" s="58">
        <f t="shared" si="2"/>
        <v>0</v>
      </c>
      <c r="P9" s="39">
        <f t="shared" si="3"/>
        <v>5</v>
      </c>
      <c r="Q9" s="40">
        <f t="shared" si="4"/>
        <v>19</v>
      </c>
      <c r="R9" s="7"/>
      <c r="S9" s="6">
        <v>19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0.20833333333333334</v>
      </c>
      <c r="AD9" s="10">
        <f t="shared" si="7"/>
        <v>0.20833333333333334</v>
      </c>
      <c r="AE9" s="36">
        <f t="shared" si="8"/>
        <v>0.28611111111111109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131</v>
      </c>
      <c r="D10" s="52" t="s">
        <v>150</v>
      </c>
      <c r="E10" s="53" t="s">
        <v>152</v>
      </c>
      <c r="F10" s="30" t="s">
        <v>121</v>
      </c>
      <c r="G10" s="33">
        <v>2</v>
      </c>
      <c r="H10" s="35">
        <v>24</v>
      </c>
      <c r="I10" s="7">
        <v>130000</v>
      </c>
      <c r="J10" s="5">
        <v>12464</v>
      </c>
      <c r="K10" s="15">
        <f>L10+13288+10116+14610+5976+7143+12482+1676+11964+11004+13758+11480+4868+7902+3480+4200+8468+9396+15232+12324+14000+13762</f>
        <v>219593</v>
      </c>
      <c r="L10" s="15">
        <f>3206*2+3026*2</f>
        <v>12464</v>
      </c>
      <c r="M10" s="15">
        <f t="shared" si="1"/>
        <v>12464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0.28611111111111109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123</v>
      </c>
      <c r="D11" s="52" t="s">
        <v>537</v>
      </c>
      <c r="E11" s="53" t="s">
        <v>536</v>
      </c>
      <c r="F11" s="30" t="s">
        <v>250</v>
      </c>
      <c r="G11" s="33">
        <v>1</v>
      </c>
      <c r="H11" s="35">
        <v>24</v>
      </c>
      <c r="I11" s="7">
        <v>200</v>
      </c>
      <c r="J11" s="5">
        <v>569</v>
      </c>
      <c r="K11" s="15">
        <f>L11</f>
        <v>569</v>
      </c>
      <c r="L11" s="15">
        <f>569</f>
        <v>569</v>
      </c>
      <c r="M11" s="15">
        <f t="shared" si="1"/>
        <v>569</v>
      </c>
      <c r="N11" s="15">
        <v>0</v>
      </c>
      <c r="O11" s="58">
        <f t="shared" si="2"/>
        <v>0</v>
      </c>
      <c r="P11" s="39">
        <f t="shared" si="3"/>
        <v>4</v>
      </c>
      <c r="Q11" s="40">
        <f t="shared" si="4"/>
        <v>20</v>
      </c>
      <c r="R11" s="7"/>
      <c r="S11" s="6"/>
      <c r="T11" s="16"/>
      <c r="U11" s="16"/>
      <c r="V11" s="17"/>
      <c r="W11" s="5">
        <v>20</v>
      </c>
      <c r="X11" s="16"/>
      <c r="Y11" s="16"/>
      <c r="Z11" s="16"/>
      <c r="AA11" s="18"/>
      <c r="AB11" s="8">
        <f t="shared" si="5"/>
        <v>1</v>
      </c>
      <c r="AC11" s="9">
        <f t="shared" si="6"/>
        <v>0.16666666666666666</v>
      </c>
      <c r="AD11" s="10">
        <f>AC11*AB11*(1-O11)</f>
        <v>0.16666666666666666</v>
      </c>
      <c r="AE11" s="36">
        <f t="shared" si="8"/>
        <v>0.28611111111111109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131</v>
      </c>
      <c r="D12" s="52" t="s">
        <v>117</v>
      </c>
      <c r="E12" s="53" t="s">
        <v>502</v>
      </c>
      <c r="F12" s="30" t="s">
        <v>280</v>
      </c>
      <c r="G12" s="33">
        <v>1</v>
      </c>
      <c r="H12" s="35">
        <v>24</v>
      </c>
      <c r="I12" s="7">
        <v>2500</v>
      </c>
      <c r="J12" s="14">
        <v>561</v>
      </c>
      <c r="K12" s="15">
        <f>L12+561</f>
        <v>561</v>
      </c>
      <c r="L12" s="15"/>
      <c r="M12" s="15">
        <f t="shared" si="1"/>
        <v>0</v>
      </c>
      <c r="N12" s="15">
        <v>0</v>
      </c>
      <c r="O12" s="58" t="str">
        <f t="shared" si="2"/>
        <v>0</v>
      </c>
      <c r="P12" s="39" t="str">
        <f t="shared" si="3"/>
        <v>0</v>
      </c>
      <c r="Q12" s="40">
        <f t="shared" si="4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0</v>
      </c>
      <c r="AC12" s="9">
        <f t="shared" si="6"/>
        <v>0</v>
      </c>
      <c r="AD12" s="10">
        <f t="shared" ref="AD12:AD14" si="10">AC12*AB12*(1-O12)</f>
        <v>0</v>
      </c>
      <c r="AE12" s="36">
        <f t="shared" si="8"/>
        <v>0.28611111111111109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117</v>
      </c>
      <c r="E13" s="53" t="s">
        <v>143</v>
      </c>
      <c r="F13" s="30" t="s">
        <v>138</v>
      </c>
      <c r="G13" s="33">
        <v>4</v>
      </c>
      <c r="H13" s="35">
        <v>24</v>
      </c>
      <c r="I13" s="7">
        <v>850000</v>
      </c>
      <c r="J13" s="14">
        <v>20564</v>
      </c>
      <c r="K13" s="15">
        <f>L13+20676+20704+882+19912+11748+21560+18812+17048+21840+19920+21784+15116+10164+22344+20496+22064+21048+11316+20640+15348+14500+19708</f>
        <v>408194</v>
      </c>
      <c r="L13" s="15">
        <f>2236*4+2905*4</f>
        <v>20564</v>
      </c>
      <c r="M13" s="15">
        <f t="shared" si="1"/>
        <v>20564</v>
      </c>
      <c r="N13" s="15">
        <v>0</v>
      </c>
      <c r="O13" s="58">
        <f t="shared" si="2"/>
        <v>0</v>
      </c>
      <c r="P13" s="39">
        <f t="shared" si="3"/>
        <v>22</v>
      </c>
      <c r="Q13" s="40">
        <f t="shared" si="4"/>
        <v>2</v>
      </c>
      <c r="R13" s="7"/>
      <c r="S13" s="6">
        <v>2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0.91666666666666663</v>
      </c>
      <c r="AD13" s="10">
        <f t="shared" si="10"/>
        <v>0.91666666666666663</v>
      </c>
      <c r="AE13" s="36">
        <f t="shared" si="8"/>
        <v>0.28611111111111109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126</v>
      </c>
      <c r="D14" s="52" t="s">
        <v>454</v>
      </c>
      <c r="E14" s="53"/>
      <c r="F14" s="30" t="s">
        <v>138</v>
      </c>
      <c r="G14" s="33" t="s">
        <v>157</v>
      </c>
      <c r="H14" s="35">
        <v>24</v>
      </c>
      <c r="I14" s="7">
        <v>1050</v>
      </c>
      <c r="J14" s="5">
        <v>2132</v>
      </c>
      <c r="K14" s="15">
        <f>L14+2132</f>
        <v>2132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10"/>
        <v>0</v>
      </c>
      <c r="AE14" s="36">
        <f t="shared" si="8"/>
        <v>0.28611111111111109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126</v>
      </c>
      <c r="D15" s="52"/>
      <c r="E15" s="53" t="s">
        <v>531</v>
      </c>
      <c r="F15" s="12" t="s">
        <v>532</v>
      </c>
      <c r="G15" s="12">
        <v>4</v>
      </c>
      <c r="H15" s="13">
        <v>24</v>
      </c>
      <c r="I15" s="31">
        <v>50000</v>
      </c>
      <c r="J15" s="14">
        <v>27888</v>
      </c>
      <c r="K15" s="15">
        <f>L15+16532</f>
        <v>44420</v>
      </c>
      <c r="L15" s="15">
        <f>3694*4+3278*4</f>
        <v>27888</v>
      </c>
      <c r="M15" s="15">
        <f t="shared" si="1"/>
        <v>27888</v>
      </c>
      <c r="N15" s="15">
        <v>0</v>
      </c>
      <c r="O15" s="58">
        <f t="shared" si="2"/>
        <v>0</v>
      </c>
      <c r="P15" s="39">
        <f t="shared" si="3"/>
        <v>24</v>
      </c>
      <c r="Q15" s="40">
        <f t="shared" si="4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1</v>
      </c>
      <c r="AD15" s="10">
        <f t="shared" si="7"/>
        <v>1</v>
      </c>
      <c r="AE15" s="36">
        <f t="shared" si="8"/>
        <v>0.28611111111111109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490</v>
      </c>
      <c r="D16" s="52"/>
      <c r="E16" s="53" t="s">
        <v>493</v>
      </c>
      <c r="F16" s="30" t="s">
        <v>503</v>
      </c>
      <c r="G16" s="12">
        <v>2</v>
      </c>
      <c r="H16" s="13">
        <v>28</v>
      </c>
      <c r="I16" s="7">
        <v>1000</v>
      </c>
      <c r="J16" s="14">
        <v>1132</v>
      </c>
      <c r="K16" s="15">
        <f>L16+1132</f>
        <v>1132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0.28611111111111109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131</v>
      </c>
      <c r="D17" s="52" t="s">
        <v>141</v>
      </c>
      <c r="E17" s="53" t="s">
        <v>504</v>
      </c>
      <c r="F17" s="30" t="s">
        <v>505</v>
      </c>
      <c r="G17" s="33">
        <v>1</v>
      </c>
      <c r="H17" s="35">
        <v>24</v>
      </c>
      <c r="I17" s="7">
        <v>2500</v>
      </c>
      <c r="J17" s="5">
        <v>1967</v>
      </c>
      <c r="K17" s="15">
        <f>L17+2812+1967</f>
        <v>4779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0.28611111111111109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117</v>
      </c>
      <c r="E18" s="53" t="s">
        <v>533</v>
      </c>
      <c r="F18" s="30" t="s">
        <v>132</v>
      </c>
      <c r="G18" s="33">
        <v>1</v>
      </c>
      <c r="H18" s="35">
        <v>24</v>
      </c>
      <c r="I18" s="7">
        <v>150</v>
      </c>
      <c r="J18" s="5">
        <v>253</v>
      </c>
      <c r="K18" s="15">
        <f>L18+253</f>
        <v>253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>AC18*AB18*(1-O18)</f>
        <v>0</v>
      </c>
      <c r="AE18" s="36">
        <f t="shared" si="8"/>
        <v>0.28611111111111109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126</v>
      </c>
      <c r="D19" s="52" t="s">
        <v>202</v>
      </c>
      <c r="E19" s="53" t="s">
        <v>205</v>
      </c>
      <c r="F19" s="30" t="s">
        <v>138</v>
      </c>
      <c r="G19" s="33">
        <v>4</v>
      </c>
      <c r="H19" s="35">
        <v>24</v>
      </c>
      <c r="I19" s="7">
        <v>800000</v>
      </c>
      <c r="J19" s="14">
        <v>19996</v>
      </c>
      <c r="K19" s="15">
        <f>L19+12980+20160+21332+21348+21424+21388+19544+8924+20020+20460+20164+15216+19816+4440+14220+18092</f>
        <v>299524</v>
      </c>
      <c r="L19" s="15">
        <f>2638*4+2361*4</f>
        <v>19996</v>
      </c>
      <c r="M19" s="15">
        <f t="shared" si="1"/>
        <v>19996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ref="AD19" si="11">AC19*AB19*(1-O19)</f>
        <v>1</v>
      </c>
      <c r="AE19" s="36">
        <f t="shared" si="8"/>
        <v>0.28611111111111109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144</v>
      </c>
      <c r="F20" s="12" t="s">
        <v>116</v>
      </c>
      <c r="G20" s="12">
        <v>3</v>
      </c>
      <c r="H20" s="35">
        <v>20</v>
      </c>
      <c r="I20" s="7">
        <v>200000</v>
      </c>
      <c r="J20" s="14">
        <v>34300</v>
      </c>
      <c r="K20" s="15">
        <f>L20+22050+34300</f>
        <v>56350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0.28611111111111109</v>
      </c>
      <c r="AF20" s="87">
        <f t="shared" si="9"/>
        <v>15</v>
      </c>
    </row>
    <row r="21" spans="1:32" ht="31.5" customHeight="1" thickBot="1">
      <c r="A21" s="431" t="s">
        <v>34</v>
      </c>
      <c r="B21" s="432"/>
      <c r="C21" s="432"/>
      <c r="D21" s="432"/>
      <c r="E21" s="432"/>
      <c r="F21" s="432"/>
      <c r="G21" s="432"/>
      <c r="H21" s="433"/>
      <c r="I21" s="22">
        <f t="shared" ref="I21:N21" si="12">SUM(I6:I20)</f>
        <v>2062700</v>
      </c>
      <c r="J21" s="19">
        <f t="shared" si="12"/>
        <v>127813</v>
      </c>
      <c r="K21" s="20">
        <f t="shared" si="12"/>
        <v>1052981</v>
      </c>
      <c r="L21" s="21">
        <f t="shared" si="12"/>
        <v>82269</v>
      </c>
      <c r="M21" s="20">
        <f t="shared" si="12"/>
        <v>82269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103</v>
      </c>
      <c r="Q21" s="43">
        <f t="shared" si="13"/>
        <v>257</v>
      </c>
      <c r="R21" s="23">
        <f t="shared" si="13"/>
        <v>24</v>
      </c>
      <c r="S21" s="24">
        <f t="shared" si="13"/>
        <v>45</v>
      </c>
      <c r="T21" s="24">
        <f t="shared" si="13"/>
        <v>0</v>
      </c>
      <c r="U21" s="24">
        <f t="shared" si="13"/>
        <v>0</v>
      </c>
      <c r="V21" s="25">
        <f t="shared" si="13"/>
        <v>24</v>
      </c>
      <c r="W21" s="26">
        <f t="shared" si="13"/>
        <v>164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0.4</v>
      </c>
      <c r="AC21" s="4">
        <f>SUM(AC6:AC20)/15</f>
        <v>0.28611111111111109</v>
      </c>
      <c r="AD21" s="4">
        <f>SUM(AD6:AD20)/15</f>
        <v>0.28611111111111109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34" t="s">
        <v>45</v>
      </c>
      <c r="B48" s="434"/>
      <c r="C48" s="434"/>
      <c r="D48" s="434"/>
      <c r="E48" s="43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35" t="s">
        <v>546</v>
      </c>
      <c r="B49" s="436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7"/>
      <c r="N49" s="438" t="s">
        <v>551</v>
      </c>
      <c r="O49" s="439"/>
      <c r="P49" s="439"/>
      <c r="Q49" s="439"/>
      <c r="R49" s="439"/>
      <c r="S49" s="439"/>
      <c r="T49" s="439"/>
      <c r="U49" s="439"/>
      <c r="V49" s="439"/>
      <c r="W49" s="439"/>
      <c r="X49" s="439"/>
      <c r="Y49" s="439"/>
      <c r="Z49" s="439"/>
      <c r="AA49" s="439"/>
      <c r="AB49" s="439"/>
      <c r="AC49" s="439"/>
      <c r="AD49" s="440"/>
    </row>
    <row r="50" spans="1:32" ht="27" customHeight="1">
      <c r="A50" s="441" t="s">
        <v>2</v>
      </c>
      <c r="B50" s="442"/>
      <c r="C50" s="314" t="s">
        <v>46</v>
      </c>
      <c r="D50" s="314" t="s">
        <v>47</v>
      </c>
      <c r="E50" s="314" t="s">
        <v>108</v>
      </c>
      <c r="F50" s="442" t="s">
        <v>107</v>
      </c>
      <c r="G50" s="442"/>
      <c r="H50" s="442"/>
      <c r="I50" s="442"/>
      <c r="J50" s="442"/>
      <c r="K50" s="442"/>
      <c r="L50" s="442"/>
      <c r="M50" s="443"/>
      <c r="N50" s="67" t="s">
        <v>112</v>
      </c>
      <c r="O50" s="314" t="s">
        <v>46</v>
      </c>
      <c r="P50" s="444" t="s">
        <v>47</v>
      </c>
      <c r="Q50" s="445"/>
      <c r="R50" s="444" t="s">
        <v>38</v>
      </c>
      <c r="S50" s="446"/>
      <c r="T50" s="446"/>
      <c r="U50" s="445"/>
      <c r="V50" s="444" t="s">
        <v>48</v>
      </c>
      <c r="W50" s="446"/>
      <c r="X50" s="446"/>
      <c r="Y50" s="446"/>
      <c r="Z50" s="446"/>
      <c r="AA50" s="446"/>
      <c r="AB50" s="446"/>
      <c r="AC50" s="446"/>
      <c r="AD50" s="447"/>
    </row>
    <row r="51" spans="1:32" ht="27" customHeight="1">
      <c r="A51" s="412" t="s">
        <v>123</v>
      </c>
      <c r="B51" s="413"/>
      <c r="C51" s="311" t="s">
        <v>129</v>
      </c>
      <c r="D51" s="311" t="s">
        <v>547</v>
      </c>
      <c r="E51" s="311" t="s">
        <v>521</v>
      </c>
      <c r="F51" s="414" t="s">
        <v>178</v>
      </c>
      <c r="G51" s="415"/>
      <c r="H51" s="415"/>
      <c r="I51" s="415"/>
      <c r="J51" s="415"/>
      <c r="K51" s="415"/>
      <c r="L51" s="415"/>
      <c r="M51" s="416"/>
      <c r="N51" s="310" t="s">
        <v>131</v>
      </c>
      <c r="O51" s="308" t="s">
        <v>130</v>
      </c>
      <c r="P51" s="426"/>
      <c r="Q51" s="427"/>
      <c r="R51" s="426" t="s">
        <v>502</v>
      </c>
      <c r="S51" s="428"/>
      <c r="T51" s="428"/>
      <c r="U51" s="427"/>
      <c r="V51" s="396" t="s">
        <v>137</v>
      </c>
      <c r="W51" s="396"/>
      <c r="X51" s="396"/>
      <c r="Y51" s="396"/>
      <c r="Z51" s="396"/>
      <c r="AA51" s="396"/>
      <c r="AB51" s="396"/>
      <c r="AC51" s="396"/>
      <c r="AD51" s="417"/>
    </row>
    <row r="52" spans="1:32" ht="27" customHeight="1">
      <c r="A52" s="412" t="s">
        <v>126</v>
      </c>
      <c r="B52" s="413"/>
      <c r="C52" s="311" t="s">
        <v>210</v>
      </c>
      <c r="D52" s="311" t="s">
        <v>117</v>
      </c>
      <c r="E52" s="311" t="s">
        <v>211</v>
      </c>
      <c r="F52" s="414" t="s">
        <v>252</v>
      </c>
      <c r="G52" s="415"/>
      <c r="H52" s="415"/>
      <c r="I52" s="415"/>
      <c r="J52" s="415"/>
      <c r="K52" s="415"/>
      <c r="L52" s="415"/>
      <c r="M52" s="416"/>
      <c r="N52" s="310" t="s">
        <v>123</v>
      </c>
      <c r="O52" s="308" t="s">
        <v>129</v>
      </c>
      <c r="P52" s="426" t="s">
        <v>218</v>
      </c>
      <c r="Q52" s="427"/>
      <c r="R52" s="426" t="s">
        <v>521</v>
      </c>
      <c r="S52" s="428"/>
      <c r="T52" s="428"/>
      <c r="U52" s="427"/>
      <c r="V52" s="396" t="s">
        <v>137</v>
      </c>
      <c r="W52" s="396"/>
      <c r="X52" s="396"/>
      <c r="Y52" s="396"/>
      <c r="Z52" s="396"/>
      <c r="AA52" s="396"/>
      <c r="AB52" s="396"/>
      <c r="AC52" s="396"/>
      <c r="AD52" s="417"/>
    </row>
    <row r="53" spans="1:32" ht="27" customHeight="1">
      <c r="A53" s="412" t="s">
        <v>123</v>
      </c>
      <c r="B53" s="413"/>
      <c r="C53" s="311" t="s">
        <v>549</v>
      </c>
      <c r="D53" s="311" t="s">
        <v>550</v>
      </c>
      <c r="E53" s="311" t="s">
        <v>548</v>
      </c>
      <c r="F53" s="414" t="s">
        <v>120</v>
      </c>
      <c r="G53" s="415"/>
      <c r="H53" s="415"/>
      <c r="I53" s="415"/>
      <c r="J53" s="415"/>
      <c r="K53" s="415"/>
      <c r="L53" s="415"/>
      <c r="M53" s="416"/>
      <c r="N53" s="310" t="s">
        <v>123</v>
      </c>
      <c r="O53" s="308" t="s">
        <v>136</v>
      </c>
      <c r="P53" s="426" t="s">
        <v>117</v>
      </c>
      <c r="Q53" s="427"/>
      <c r="R53" s="426" t="s">
        <v>522</v>
      </c>
      <c r="S53" s="428"/>
      <c r="T53" s="428"/>
      <c r="U53" s="427"/>
      <c r="V53" s="396" t="s">
        <v>120</v>
      </c>
      <c r="W53" s="396"/>
      <c r="X53" s="396"/>
      <c r="Y53" s="396"/>
      <c r="Z53" s="396"/>
      <c r="AA53" s="396"/>
      <c r="AB53" s="396"/>
      <c r="AC53" s="396"/>
      <c r="AD53" s="417"/>
    </row>
    <row r="54" spans="1:32" ht="27" customHeight="1">
      <c r="A54" s="412"/>
      <c r="B54" s="413"/>
      <c r="C54" s="311"/>
      <c r="D54" s="311"/>
      <c r="E54" s="311"/>
      <c r="F54" s="414"/>
      <c r="G54" s="415"/>
      <c r="H54" s="415"/>
      <c r="I54" s="415"/>
      <c r="J54" s="415"/>
      <c r="K54" s="415"/>
      <c r="L54" s="415"/>
      <c r="M54" s="416"/>
      <c r="N54" s="310"/>
      <c r="O54" s="308"/>
      <c r="P54" s="426"/>
      <c r="Q54" s="427"/>
      <c r="R54" s="426"/>
      <c r="S54" s="428"/>
      <c r="T54" s="428"/>
      <c r="U54" s="427"/>
      <c r="V54" s="396"/>
      <c r="W54" s="396"/>
      <c r="X54" s="396"/>
      <c r="Y54" s="396"/>
      <c r="Z54" s="396"/>
      <c r="AA54" s="396"/>
      <c r="AB54" s="396"/>
      <c r="AC54" s="396"/>
      <c r="AD54" s="417"/>
    </row>
    <row r="55" spans="1:32" ht="27" customHeight="1">
      <c r="A55" s="412"/>
      <c r="B55" s="413"/>
      <c r="C55" s="311"/>
      <c r="D55" s="311"/>
      <c r="E55" s="311"/>
      <c r="F55" s="414"/>
      <c r="G55" s="415"/>
      <c r="H55" s="415"/>
      <c r="I55" s="415"/>
      <c r="J55" s="415"/>
      <c r="K55" s="415"/>
      <c r="L55" s="415"/>
      <c r="M55" s="416"/>
      <c r="N55" s="310"/>
      <c r="O55" s="308"/>
      <c r="P55" s="426"/>
      <c r="Q55" s="427"/>
      <c r="R55" s="426"/>
      <c r="S55" s="428"/>
      <c r="T55" s="428"/>
      <c r="U55" s="427"/>
      <c r="V55" s="396"/>
      <c r="W55" s="396"/>
      <c r="X55" s="396"/>
      <c r="Y55" s="396"/>
      <c r="Z55" s="396"/>
      <c r="AA55" s="396"/>
      <c r="AB55" s="396"/>
      <c r="AC55" s="396"/>
      <c r="AD55" s="417"/>
    </row>
    <row r="56" spans="1:32" ht="27" customHeight="1">
      <c r="A56" s="412"/>
      <c r="B56" s="413"/>
      <c r="C56" s="311"/>
      <c r="D56" s="311"/>
      <c r="E56" s="311"/>
      <c r="F56" s="414"/>
      <c r="G56" s="415"/>
      <c r="H56" s="415"/>
      <c r="I56" s="415"/>
      <c r="J56" s="415"/>
      <c r="K56" s="415"/>
      <c r="L56" s="415"/>
      <c r="M56" s="416"/>
      <c r="N56" s="310"/>
      <c r="O56" s="308"/>
      <c r="P56" s="426"/>
      <c r="Q56" s="427"/>
      <c r="R56" s="426"/>
      <c r="S56" s="428"/>
      <c r="T56" s="428"/>
      <c r="U56" s="427"/>
      <c r="V56" s="396"/>
      <c r="W56" s="396"/>
      <c r="X56" s="396"/>
      <c r="Y56" s="396"/>
      <c r="Z56" s="396"/>
      <c r="AA56" s="396"/>
      <c r="AB56" s="396"/>
      <c r="AC56" s="396"/>
      <c r="AD56" s="417"/>
    </row>
    <row r="57" spans="1:32" ht="27" customHeight="1">
      <c r="A57" s="412"/>
      <c r="B57" s="413"/>
      <c r="C57" s="311"/>
      <c r="D57" s="311"/>
      <c r="E57" s="311"/>
      <c r="F57" s="414"/>
      <c r="G57" s="415"/>
      <c r="H57" s="415"/>
      <c r="I57" s="415"/>
      <c r="J57" s="415"/>
      <c r="K57" s="415"/>
      <c r="L57" s="415"/>
      <c r="M57" s="416"/>
      <c r="N57" s="310"/>
      <c r="O57" s="308"/>
      <c r="P57" s="426"/>
      <c r="Q57" s="427"/>
      <c r="R57" s="413"/>
      <c r="S57" s="413"/>
      <c r="T57" s="413"/>
      <c r="U57" s="413"/>
      <c r="V57" s="396"/>
      <c r="W57" s="396"/>
      <c r="X57" s="396"/>
      <c r="Y57" s="396"/>
      <c r="Z57" s="396"/>
      <c r="AA57" s="396"/>
      <c r="AB57" s="396"/>
      <c r="AC57" s="396"/>
      <c r="AD57" s="417"/>
    </row>
    <row r="58" spans="1:32" ht="27" customHeight="1">
      <c r="A58" s="412"/>
      <c r="B58" s="413"/>
      <c r="C58" s="311"/>
      <c r="D58" s="311"/>
      <c r="E58" s="311"/>
      <c r="F58" s="414"/>
      <c r="G58" s="415"/>
      <c r="H58" s="415"/>
      <c r="I58" s="415"/>
      <c r="J58" s="415"/>
      <c r="K58" s="415"/>
      <c r="L58" s="415"/>
      <c r="M58" s="416"/>
      <c r="N58" s="310"/>
      <c r="O58" s="308"/>
      <c r="P58" s="426"/>
      <c r="Q58" s="427"/>
      <c r="R58" s="413"/>
      <c r="S58" s="413"/>
      <c r="T58" s="413"/>
      <c r="U58" s="413"/>
      <c r="V58" s="396"/>
      <c r="W58" s="396"/>
      <c r="X58" s="396"/>
      <c r="Y58" s="396"/>
      <c r="Z58" s="396"/>
      <c r="AA58" s="396"/>
      <c r="AB58" s="396"/>
      <c r="AC58" s="396"/>
      <c r="AD58" s="417"/>
    </row>
    <row r="59" spans="1:32" ht="27" customHeight="1">
      <c r="A59" s="412"/>
      <c r="B59" s="413"/>
      <c r="C59" s="311"/>
      <c r="D59" s="311"/>
      <c r="E59" s="311"/>
      <c r="F59" s="414"/>
      <c r="G59" s="415"/>
      <c r="H59" s="415"/>
      <c r="I59" s="415"/>
      <c r="J59" s="415"/>
      <c r="K59" s="415"/>
      <c r="L59" s="415"/>
      <c r="M59" s="416"/>
      <c r="N59" s="310"/>
      <c r="O59" s="308"/>
      <c r="P59" s="413"/>
      <c r="Q59" s="413"/>
      <c r="R59" s="413"/>
      <c r="S59" s="413"/>
      <c r="T59" s="413"/>
      <c r="U59" s="413"/>
      <c r="V59" s="396"/>
      <c r="W59" s="396"/>
      <c r="X59" s="396"/>
      <c r="Y59" s="396"/>
      <c r="Z59" s="396"/>
      <c r="AA59" s="396"/>
      <c r="AB59" s="396"/>
      <c r="AC59" s="396"/>
      <c r="AD59" s="417"/>
      <c r="AF59" s="87">
        <f>8*3000</f>
        <v>24000</v>
      </c>
    </row>
    <row r="60" spans="1:32" ht="27" customHeight="1" thickBot="1">
      <c r="A60" s="418"/>
      <c r="B60" s="419"/>
      <c r="C60" s="312"/>
      <c r="D60" s="313"/>
      <c r="E60" s="313"/>
      <c r="F60" s="420"/>
      <c r="G60" s="421"/>
      <c r="H60" s="421"/>
      <c r="I60" s="421"/>
      <c r="J60" s="421"/>
      <c r="K60" s="421"/>
      <c r="L60" s="421"/>
      <c r="M60" s="422"/>
      <c r="N60" s="124"/>
      <c r="O60" s="114"/>
      <c r="P60" s="423"/>
      <c r="Q60" s="423"/>
      <c r="R60" s="423"/>
      <c r="S60" s="423"/>
      <c r="T60" s="423"/>
      <c r="U60" s="423"/>
      <c r="V60" s="424"/>
      <c r="W60" s="424"/>
      <c r="X60" s="424"/>
      <c r="Y60" s="424"/>
      <c r="Z60" s="424"/>
      <c r="AA60" s="424"/>
      <c r="AB60" s="424"/>
      <c r="AC60" s="424"/>
      <c r="AD60" s="425"/>
      <c r="AF60" s="87">
        <f>16*3000</f>
        <v>48000</v>
      </c>
    </row>
    <row r="61" spans="1:32" ht="27.75" thickBot="1">
      <c r="A61" s="410" t="s">
        <v>552</v>
      </c>
      <c r="B61" s="410"/>
      <c r="C61" s="410"/>
      <c r="D61" s="410"/>
      <c r="E61" s="410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1" t="s">
        <v>113</v>
      </c>
      <c r="B62" s="406"/>
      <c r="C62" s="309" t="s">
        <v>2</v>
      </c>
      <c r="D62" s="309" t="s">
        <v>37</v>
      </c>
      <c r="E62" s="309" t="s">
        <v>3</v>
      </c>
      <c r="F62" s="406" t="s">
        <v>110</v>
      </c>
      <c r="G62" s="406"/>
      <c r="H62" s="406"/>
      <c r="I62" s="406"/>
      <c r="J62" s="406"/>
      <c r="K62" s="406" t="s">
        <v>39</v>
      </c>
      <c r="L62" s="406"/>
      <c r="M62" s="309" t="s">
        <v>40</v>
      </c>
      <c r="N62" s="406" t="s">
        <v>41</v>
      </c>
      <c r="O62" s="406"/>
      <c r="P62" s="403" t="s">
        <v>42</v>
      </c>
      <c r="Q62" s="405"/>
      <c r="R62" s="403" t="s">
        <v>43</v>
      </c>
      <c r="S62" s="404"/>
      <c r="T62" s="404"/>
      <c r="U62" s="404"/>
      <c r="V62" s="404"/>
      <c r="W62" s="404"/>
      <c r="X62" s="404"/>
      <c r="Y62" s="404"/>
      <c r="Z62" s="404"/>
      <c r="AA62" s="405"/>
      <c r="AB62" s="406" t="s">
        <v>44</v>
      </c>
      <c r="AC62" s="406"/>
      <c r="AD62" s="407"/>
      <c r="AF62" s="87">
        <f>SUM(AF59:AF61)</f>
        <v>96000</v>
      </c>
    </row>
    <row r="63" spans="1:32" ht="25.5" customHeight="1">
      <c r="A63" s="389">
        <v>1</v>
      </c>
      <c r="B63" s="390"/>
      <c r="C63" s="117" t="s">
        <v>123</v>
      </c>
      <c r="D63" s="304"/>
      <c r="E63" s="307" t="s">
        <v>554</v>
      </c>
      <c r="F63" s="391" t="s">
        <v>553</v>
      </c>
      <c r="G63" s="383"/>
      <c r="H63" s="383"/>
      <c r="I63" s="383"/>
      <c r="J63" s="383"/>
      <c r="K63" s="383" t="s">
        <v>555</v>
      </c>
      <c r="L63" s="383"/>
      <c r="M63" s="51" t="s">
        <v>427</v>
      </c>
      <c r="N63" s="401" t="s">
        <v>310</v>
      </c>
      <c r="O63" s="401"/>
      <c r="P63" s="402">
        <v>50</v>
      </c>
      <c r="Q63" s="402"/>
      <c r="R63" s="396"/>
      <c r="S63" s="396"/>
      <c r="T63" s="396"/>
      <c r="U63" s="396"/>
      <c r="V63" s="396"/>
      <c r="W63" s="396"/>
      <c r="X63" s="396"/>
      <c r="Y63" s="396"/>
      <c r="Z63" s="396"/>
      <c r="AA63" s="396"/>
      <c r="AB63" s="400"/>
      <c r="AC63" s="408"/>
      <c r="AD63" s="409"/>
      <c r="AF63" s="50"/>
    </row>
    <row r="64" spans="1:32" ht="25.5" customHeight="1">
      <c r="A64" s="389">
        <v>2</v>
      </c>
      <c r="B64" s="390"/>
      <c r="C64" s="117" t="s">
        <v>123</v>
      </c>
      <c r="D64" s="304"/>
      <c r="E64" s="307" t="s">
        <v>557</v>
      </c>
      <c r="F64" s="391" t="s">
        <v>556</v>
      </c>
      <c r="G64" s="383"/>
      <c r="H64" s="383"/>
      <c r="I64" s="383"/>
      <c r="J64" s="383"/>
      <c r="K64" s="383" t="s">
        <v>140</v>
      </c>
      <c r="L64" s="383"/>
      <c r="M64" s="51" t="s">
        <v>192</v>
      </c>
      <c r="N64" s="401" t="s">
        <v>258</v>
      </c>
      <c r="O64" s="401"/>
      <c r="P64" s="402">
        <v>50</v>
      </c>
      <c r="Q64" s="402"/>
      <c r="R64" s="396"/>
      <c r="S64" s="396"/>
      <c r="T64" s="396"/>
      <c r="U64" s="396"/>
      <c r="V64" s="396"/>
      <c r="W64" s="396"/>
      <c r="X64" s="396"/>
      <c r="Y64" s="396"/>
      <c r="Z64" s="396"/>
      <c r="AA64" s="396"/>
      <c r="AB64" s="383"/>
      <c r="AC64" s="383"/>
      <c r="AD64" s="384"/>
      <c r="AF64" s="50"/>
    </row>
    <row r="65" spans="1:32" ht="25.5" customHeight="1">
      <c r="A65" s="389">
        <v>3</v>
      </c>
      <c r="B65" s="390"/>
      <c r="C65" s="117" t="s">
        <v>131</v>
      </c>
      <c r="D65" s="304"/>
      <c r="E65" s="307"/>
      <c r="F65" s="397" t="s">
        <v>558</v>
      </c>
      <c r="G65" s="398"/>
      <c r="H65" s="398"/>
      <c r="I65" s="398"/>
      <c r="J65" s="399"/>
      <c r="K65" s="383" t="s">
        <v>505</v>
      </c>
      <c r="L65" s="383"/>
      <c r="M65" s="51" t="s">
        <v>192</v>
      </c>
      <c r="N65" s="401" t="s">
        <v>237</v>
      </c>
      <c r="O65" s="401"/>
      <c r="P65" s="402">
        <v>50</v>
      </c>
      <c r="Q65" s="402"/>
      <c r="R65" s="396"/>
      <c r="S65" s="396"/>
      <c r="T65" s="396"/>
      <c r="U65" s="396"/>
      <c r="V65" s="396"/>
      <c r="W65" s="396"/>
      <c r="X65" s="396"/>
      <c r="Y65" s="396"/>
      <c r="Z65" s="396"/>
      <c r="AA65" s="396"/>
      <c r="AB65" s="383"/>
      <c r="AC65" s="383"/>
      <c r="AD65" s="384"/>
      <c r="AF65" s="50"/>
    </row>
    <row r="66" spans="1:32" ht="25.5" customHeight="1">
      <c r="A66" s="389">
        <v>4</v>
      </c>
      <c r="B66" s="390"/>
      <c r="C66" s="117" t="s">
        <v>123</v>
      </c>
      <c r="D66" s="304"/>
      <c r="E66" s="307" t="s">
        <v>561</v>
      </c>
      <c r="F66" s="397" t="s">
        <v>559</v>
      </c>
      <c r="G66" s="398"/>
      <c r="H66" s="398"/>
      <c r="I66" s="398"/>
      <c r="J66" s="399"/>
      <c r="K66" s="383" t="s">
        <v>555</v>
      </c>
      <c r="L66" s="383"/>
      <c r="M66" s="51" t="s">
        <v>192</v>
      </c>
      <c r="N66" s="401" t="s">
        <v>560</v>
      </c>
      <c r="O66" s="401"/>
      <c r="P66" s="402">
        <v>50</v>
      </c>
      <c r="Q66" s="402"/>
      <c r="R66" s="396"/>
      <c r="S66" s="396"/>
      <c r="T66" s="396"/>
      <c r="U66" s="396"/>
      <c r="V66" s="396"/>
      <c r="W66" s="396"/>
      <c r="X66" s="396"/>
      <c r="Y66" s="396"/>
      <c r="Z66" s="396"/>
      <c r="AA66" s="396"/>
      <c r="AB66" s="383"/>
      <c r="AC66" s="383"/>
      <c r="AD66" s="384"/>
      <c r="AF66" s="50"/>
    </row>
    <row r="67" spans="1:32" ht="25.5" customHeight="1">
      <c r="A67" s="389">
        <v>5</v>
      </c>
      <c r="B67" s="390"/>
      <c r="C67" s="117"/>
      <c r="D67" s="304"/>
      <c r="E67" s="307"/>
      <c r="F67" s="397"/>
      <c r="G67" s="398"/>
      <c r="H67" s="398"/>
      <c r="I67" s="398"/>
      <c r="J67" s="399"/>
      <c r="K67" s="400"/>
      <c r="L67" s="390"/>
      <c r="M67" s="51"/>
      <c r="N67" s="401"/>
      <c r="O67" s="401"/>
      <c r="P67" s="402"/>
      <c r="Q67" s="402"/>
      <c r="R67" s="396"/>
      <c r="S67" s="396"/>
      <c r="T67" s="396"/>
      <c r="U67" s="396"/>
      <c r="V67" s="396"/>
      <c r="W67" s="396"/>
      <c r="X67" s="396"/>
      <c r="Y67" s="396"/>
      <c r="Z67" s="396"/>
      <c r="AA67" s="396"/>
      <c r="AB67" s="383"/>
      <c r="AC67" s="383"/>
      <c r="AD67" s="384"/>
      <c r="AF67" s="50"/>
    </row>
    <row r="68" spans="1:32" ht="25.5" customHeight="1">
      <c r="A68" s="389">
        <v>6</v>
      </c>
      <c r="B68" s="390"/>
      <c r="C68" s="117"/>
      <c r="D68" s="304"/>
      <c r="E68" s="307"/>
      <c r="F68" s="391"/>
      <c r="G68" s="383"/>
      <c r="H68" s="383"/>
      <c r="I68" s="383"/>
      <c r="J68" s="383"/>
      <c r="K68" s="383"/>
      <c r="L68" s="383"/>
      <c r="M68" s="51"/>
      <c r="N68" s="392"/>
      <c r="O68" s="393"/>
      <c r="P68" s="394"/>
      <c r="Q68" s="395"/>
      <c r="R68" s="396"/>
      <c r="S68" s="396"/>
      <c r="T68" s="396"/>
      <c r="U68" s="396"/>
      <c r="V68" s="396"/>
      <c r="W68" s="396"/>
      <c r="X68" s="396"/>
      <c r="Y68" s="396"/>
      <c r="Z68" s="396"/>
      <c r="AA68" s="396"/>
      <c r="AB68" s="383"/>
      <c r="AC68" s="383"/>
      <c r="AD68" s="384"/>
      <c r="AF68" s="50"/>
    </row>
    <row r="69" spans="1:32" ht="25.5" customHeight="1">
      <c r="A69" s="389">
        <v>7</v>
      </c>
      <c r="B69" s="390"/>
      <c r="C69" s="117"/>
      <c r="D69" s="304"/>
      <c r="E69" s="307"/>
      <c r="F69" s="391"/>
      <c r="G69" s="383"/>
      <c r="H69" s="383"/>
      <c r="I69" s="383"/>
      <c r="J69" s="383"/>
      <c r="K69" s="383"/>
      <c r="L69" s="383"/>
      <c r="M69" s="51"/>
      <c r="N69" s="392"/>
      <c r="O69" s="393"/>
      <c r="P69" s="394"/>
      <c r="Q69" s="395"/>
      <c r="R69" s="396"/>
      <c r="S69" s="396"/>
      <c r="T69" s="396"/>
      <c r="U69" s="396"/>
      <c r="V69" s="396"/>
      <c r="W69" s="396"/>
      <c r="X69" s="396"/>
      <c r="Y69" s="396"/>
      <c r="Z69" s="396"/>
      <c r="AA69" s="396"/>
      <c r="AB69" s="383"/>
      <c r="AC69" s="383"/>
      <c r="AD69" s="384"/>
      <c r="AF69" s="50"/>
    </row>
    <row r="70" spans="1:32" ht="25.5" customHeight="1">
      <c r="A70" s="389">
        <v>8</v>
      </c>
      <c r="B70" s="390"/>
      <c r="C70" s="117"/>
      <c r="D70" s="304"/>
      <c r="E70" s="307"/>
      <c r="F70" s="391"/>
      <c r="G70" s="383"/>
      <c r="H70" s="383"/>
      <c r="I70" s="383"/>
      <c r="J70" s="383"/>
      <c r="K70" s="383"/>
      <c r="L70" s="383"/>
      <c r="M70" s="51"/>
      <c r="N70" s="392"/>
      <c r="O70" s="393"/>
      <c r="P70" s="394"/>
      <c r="Q70" s="395"/>
      <c r="R70" s="396"/>
      <c r="S70" s="396"/>
      <c r="T70" s="396"/>
      <c r="U70" s="396"/>
      <c r="V70" s="396"/>
      <c r="W70" s="396"/>
      <c r="X70" s="396"/>
      <c r="Y70" s="396"/>
      <c r="Z70" s="396"/>
      <c r="AA70" s="396"/>
      <c r="AB70" s="383"/>
      <c r="AC70" s="383"/>
      <c r="AD70" s="384"/>
      <c r="AF70" s="50"/>
    </row>
    <row r="71" spans="1:32" ht="26.25" customHeight="1" thickBot="1">
      <c r="A71" s="363" t="s">
        <v>562</v>
      </c>
      <c r="B71" s="363"/>
      <c r="C71" s="363"/>
      <c r="D71" s="363"/>
      <c r="E71" s="363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64" t="s">
        <v>113</v>
      </c>
      <c r="B72" s="365"/>
      <c r="C72" s="306" t="s">
        <v>2</v>
      </c>
      <c r="D72" s="306" t="s">
        <v>37</v>
      </c>
      <c r="E72" s="306" t="s">
        <v>3</v>
      </c>
      <c r="F72" s="365" t="s">
        <v>38</v>
      </c>
      <c r="G72" s="365"/>
      <c r="H72" s="365"/>
      <c r="I72" s="365"/>
      <c r="J72" s="365"/>
      <c r="K72" s="385" t="s">
        <v>58</v>
      </c>
      <c r="L72" s="386"/>
      <c r="M72" s="386"/>
      <c r="N72" s="386"/>
      <c r="O72" s="386"/>
      <c r="P72" s="386"/>
      <c r="Q72" s="386"/>
      <c r="R72" s="386"/>
      <c r="S72" s="387"/>
      <c r="T72" s="365" t="s">
        <v>49</v>
      </c>
      <c r="U72" s="365"/>
      <c r="V72" s="385" t="s">
        <v>50</v>
      </c>
      <c r="W72" s="387"/>
      <c r="X72" s="386" t="s">
        <v>51</v>
      </c>
      <c r="Y72" s="386"/>
      <c r="Z72" s="386"/>
      <c r="AA72" s="386"/>
      <c r="AB72" s="386"/>
      <c r="AC72" s="386"/>
      <c r="AD72" s="388"/>
      <c r="AF72" s="50"/>
    </row>
    <row r="73" spans="1:32" ht="33.75" customHeight="1">
      <c r="A73" s="357">
        <v>1</v>
      </c>
      <c r="B73" s="358"/>
      <c r="C73" s="305" t="s">
        <v>114</v>
      </c>
      <c r="D73" s="305"/>
      <c r="E73" s="65" t="s">
        <v>119</v>
      </c>
      <c r="F73" s="372" t="s">
        <v>118</v>
      </c>
      <c r="G73" s="373"/>
      <c r="H73" s="373"/>
      <c r="I73" s="373"/>
      <c r="J73" s="374"/>
      <c r="K73" s="375" t="s">
        <v>128</v>
      </c>
      <c r="L73" s="376"/>
      <c r="M73" s="376"/>
      <c r="N73" s="376"/>
      <c r="O73" s="376"/>
      <c r="P73" s="376"/>
      <c r="Q73" s="376"/>
      <c r="R73" s="376"/>
      <c r="S73" s="377"/>
      <c r="T73" s="378">
        <v>43675</v>
      </c>
      <c r="U73" s="379"/>
      <c r="V73" s="380"/>
      <c r="W73" s="380"/>
      <c r="X73" s="381"/>
      <c r="Y73" s="381"/>
      <c r="Z73" s="381"/>
      <c r="AA73" s="381"/>
      <c r="AB73" s="381"/>
      <c r="AC73" s="381"/>
      <c r="AD73" s="382"/>
      <c r="AF73" s="50"/>
    </row>
    <row r="74" spans="1:32" ht="30" customHeight="1">
      <c r="A74" s="350">
        <f>A73+1</f>
        <v>2</v>
      </c>
      <c r="B74" s="351"/>
      <c r="C74" s="304"/>
      <c r="D74" s="304"/>
      <c r="E74" s="32"/>
      <c r="F74" s="351"/>
      <c r="G74" s="351"/>
      <c r="H74" s="351"/>
      <c r="I74" s="351"/>
      <c r="J74" s="351"/>
      <c r="K74" s="366"/>
      <c r="L74" s="367"/>
      <c r="M74" s="367"/>
      <c r="N74" s="367"/>
      <c r="O74" s="367"/>
      <c r="P74" s="367"/>
      <c r="Q74" s="367"/>
      <c r="R74" s="367"/>
      <c r="S74" s="368"/>
      <c r="T74" s="369"/>
      <c r="U74" s="369"/>
      <c r="V74" s="369"/>
      <c r="W74" s="369"/>
      <c r="X74" s="370"/>
      <c r="Y74" s="370"/>
      <c r="Z74" s="370"/>
      <c r="AA74" s="370"/>
      <c r="AB74" s="370"/>
      <c r="AC74" s="370"/>
      <c r="AD74" s="371"/>
      <c r="AF74" s="50"/>
    </row>
    <row r="75" spans="1:32" ht="30" customHeight="1">
      <c r="A75" s="350">
        <f t="shared" ref="A75:A81" si="14">A74+1</f>
        <v>3</v>
      </c>
      <c r="B75" s="351"/>
      <c r="C75" s="304"/>
      <c r="D75" s="304"/>
      <c r="E75" s="32"/>
      <c r="F75" s="351"/>
      <c r="G75" s="351"/>
      <c r="H75" s="351"/>
      <c r="I75" s="351"/>
      <c r="J75" s="351"/>
      <c r="K75" s="366"/>
      <c r="L75" s="367"/>
      <c r="M75" s="367"/>
      <c r="N75" s="367"/>
      <c r="O75" s="367"/>
      <c r="P75" s="367"/>
      <c r="Q75" s="367"/>
      <c r="R75" s="367"/>
      <c r="S75" s="368"/>
      <c r="T75" s="369"/>
      <c r="U75" s="369"/>
      <c r="V75" s="369"/>
      <c r="W75" s="369"/>
      <c r="X75" s="370"/>
      <c r="Y75" s="370"/>
      <c r="Z75" s="370"/>
      <c r="AA75" s="370"/>
      <c r="AB75" s="370"/>
      <c r="AC75" s="370"/>
      <c r="AD75" s="371"/>
      <c r="AF75" s="50"/>
    </row>
    <row r="76" spans="1:32" ht="30" customHeight="1">
      <c r="A76" s="350">
        <f t="shared" si="14"/>
        <v>4</v>
      </c>
      <c r="B76" s="351"/>
      <c r="C76" s="304"/>
      <c r="D76" s="304"/>
      <c r="E76" s="32"/>
      <c r="F76" s="351"/>
      <c r="G76" s="351"/>
      <c r="H76" s="351"/>
      <c r="I76" s="351"/>
      <c r="J76" s="351"/>
      <c r="K76" s="366"/>
      <c r="L76" s="367"/>
      <c r="M76" s="367"/>
      <c r="N76" s="367"/>
      <c r="O76" s="367"/>
      <c r="P76" s="367"/>
      <c r="Q76" s="367"/>
      <c r="R76" s="367"/>
      <c r="S76" s="368"/>
      <c r="T76" s="369"/>
      <c r="U76" s="369"/>
      <c r="V76" s="369"/>
      <c r="W76" s="369"/>
      <c r="X76" s="370"/>
      <c r="Y76" s="370"/>
      <c r="Z76" s="370"/>
      <c r="AA76" s="370"/>
      <c r="AB76" s="370"/>
      <c r="AC76" s="370"/>
      <c r="AD76" s="371"/>
      <c r="AF76" s="50"/>
    </row>
    <row r="77" spans="1:32" ht="30" customHeight="1">
      <c r="A77" s="350">
        <f t="shared" si="14"/>
        <v>5</v>
      </c>
      <c r="B77" s="351"/>
      <c r="C77" s="304"/>
      <c r="D77" s="304"/>
      <c r="E77" s="32"/>
      <c r="F77" s="351"/>
      <c r="G77" s="351"/>
      <c r="H77" s="351"/>
      <c r="I77" s="351"/>
      <c r="J77" s="351"/>
      <c r="K77" s="366"/>
      <c r="L77" s="367"/>
      <c r="M77" s="367"/>
      <c r="N77" s="367"/>
      <c r="O77" s="367"/>
      <c r="P77" s="367"/>
      <c r="Q77" s="367"/>
      <c r="R77" s="367"/>
      <c r="S77" s="368"/>
      <c r="T77" s="369"/>
      <c r="U77" s="369"/>
      <c r="V77" s="369"/>
      <c r="W77" s="369"/>
      <c r="X77" s="370"/>
      <c r="Y77" s="370"/>
      <c r="Z77" s="370"/>
      <c r="AA77" s="370"/>
      <c r="AB77" s="370"/>
      <c r="AC77" s="370"/>
      <c r="AD77" s="371"/>
      <c r="AF77" s="50"/>
    </row>
    <row r="78" spans="1:32" ht="30" customHeight="1">
      <c r="A78" s="350">
        <f t="shared" si="14"/>
        <v>6</v>
      </c>
      <c r="B78" s="351"/>
      <c r="C78" s="304"/>
      <c r="D78" s="304"/>
      <c r="E78" s="32"/>
      <c r="F78" s="351"/>
      <c r="G78" s="351"/>
      <c r="H78" s="351"/>
      <c r="I78" s="351"/>
      <c r="J78" s="351"/>
      <c r="K78" s="366"/>
      <c r="L78" s="367"/>
      <c r="M78" s="367"/>
      <c r="N78" s="367"/>
      <c r="O78" s="367"/>
      <c r="P78" s="367"/>
      <c r="Q78" s="367"/>
      <c r="R78" s="367"/>
      <c r="S78" s="368"/>
      <c r="T78" s="369"/>
      <c r="U78" s="369"/>
      <c r="V78" s="369"/>
      <c r="W78" s="369"/>
      <c r="X78" s="370"/>
      <c r="Y78" s="370"/>
      <c r="Z78" s="370"/>
      <c r="AA78" s="370"/>
      <c r="AB78" s="370"/>
      <c r="AC78" s="370"/>
      <c r="AD78" s="371"/>
      <c r="AF78" s="50"/>
    </row>
    <row r="79" spans="1:32" ht="30" customHeight="1">
      <c r="A79" s="350">
        <f t="shared" si="14"/>
        <v>7</v>
      </c>
      <c r="B79" s="351"/>
      <c r="C79" s="304"/>
      <c r="D79" s="304"/>
      <c r="E79" s="32"/>
      <c r="F79" s="351"/>
      <c r="G79" s="351"/>
      <c r="H79" s="351"/>
      <c r="I79" s="351"/>
      <c r="J79" s="351"/>
      <c r="K79" s="366"/>
      <c r="L79" s="367"/>
      <c r="M79" s="367"/>
      <c r="N79" s="367"/>
      <c r="O79" s="367"/>
      <c r="P79" s="367"/>
      <c r="Q79" s="367"/>
      <c r="R79" s="367"/>
      <c r="S79" s="368"/>
      <c r="T79" s="369"/>
      <c r="U79" s="369"/>
      <c r="V79" s="369"/>
      <c r="W79" s="369"/>
      <c r="X79" s="370"/>
      <c r="Y79" s="370"/>
      <c r="Z79" s="370"/>
      <c r="AA79" s="370"/>
      <c r="AB79" s="370"/>
      <c r="AC79" s="370"/>
      <c r="AD79" s="371"/>
      <c r="AF79" s="50"/>
    </row>
    <row r="80" spans="1:32" ht="30" customHeight="1">
      <c r="A80" s="350">
        <f t="shared" si="14"/>
        <v>8</v>
      </c>
      <c r="B80" s="351"/>
      <c r="C80" s="304"/>
      <c r="D80" s="304"/>
      <c r="E80" s="32"/>
      <c r="F80" s="351"/>
      <c r="G80" s="351"/>
      <c r="H80" s="351"/>
      <c r="I80" s="351"/>
      <c r="J80" s="351"/>
      <c r="K80" s="366"/>
      <c r="L80" s="367"/>
      <c r="M80" s="367"/>
      <c r="N80" s="367"/>
      <c r="O80" s="367"/>
      <c r="P80" s="367"/>
      <c r="Q80" s="367"/>
      <c r="R80" s="367"/>
      <c r="S80" s="368"/>
      <c r="T80" s="369"/>
      <c r="U80" s="369"/>
      <c r="V80" s="369"/>
      <c r="W80" s="369"/>
      <c r="X80" s="370"/>
      <c r="Y80" s="370"/>
      <c r="Z80" s="370"/>
      <c r="AA80" s="370"/>
      <c r="AB80" s="370"/>
      <c r="AC80" s="370"/>
      <c r="AD80" s="371"/>
      <c r="AF80" s="50"/>
    </row>
    <row r="81" spans="1:32" ht="30" customHeight="1">
      <c r="A81" s="350">
        <f t="shared" si="14"/>
        <v>9</v>
      </c>
      <c r="B81" s="351"/>
      <c r="C81" s="304"/>
      <c r="D81" s="304"/>
      <c r="E81" s="32"/>
      <c r="F81" s="351"/>
      <c r="G81" s="351"/>
      <c r="H81" s="351"/>
      <c r="I81" s="351"/>
      <c r="J81" s="351"/>
      <c r="K81" s="366"/>
      <c r="L81" s="367"/>
      <c r="M81" s="367"/>
      <c r="N81" s="367"/>
      <c r="O81" s="367"/>
      <c r="P81" s="367"/>
      <c r="Q81" s="367"/>
      <c r="R81" s="367"/>
      <c r="S81" s="368"/>
      <c r="T81" s="369"/>
      <c r="U81" s="369"/>
      <c r="V81" s="369"/>
      <c r="W81" s="369"/>
      <c r="X81" s="370"/>
      <c r="Y81" s="370"/>
      <c r="Z81" s="370"/>
      <c r="AA81" s="370"/>
      <c r="AB81" s="370"/>
      <c r="AC81" s="370"/>
      <c r="AD81" s="371"/>
      <c r="AF81" s="50"/>
    </row>
    <row r="82" spans="1:32" ht="36" thickBot="1">
      <c r="A82" s="363" t="s">
        <v>563</v>
      </c>
      <c r="B82" s="363"/>
      <c r="C82" s="363"/>
      <c r="D82" s="363"/>
      <c r="E82" s="363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64" t="s">
        <v>113</v>
      </c>
      <c r="B83" s="365"/>
      <c r="C83" s="355" t="s">
        <v>52</v>
      </c>
      <c r="D83" s="355"/>
      <c r="E83" s="355" t="s">
        <v>53</v>
      </c>
      <c r="F83" s="355"/>
      <c r="G83" s="355"/>
      <c r="H83" s="355"/>
      <c r="I83" s="355"/>
      <c r="J83" s="355"/>
      <c r="K83" s="355" t="s">
        <v>54</v>
      </c>
      <c r="L83" s="355"/>
      <c r="M83" s="355"/>
      <c r="N83" s="355"/>
      <c r="O83" s="355"/>
      <c r="P83" s="355"/>
      <c r="Q83" s="355"/>
      <c r="R83" s="355"/>
      <c r="S83" s="355"/>
      <c r="T83" s="355" t="s">
        <v>55</v>
      </c>
      <c r="U83" s="355"/>
      <c r="V83" s="355" t="s">
        <v>56</v>
      </c>
      <c r="W83" s="355"/>
      <c r="X83" s="355"/>
      <c r="Y83" s="355" t="s">
        <v>51</v>
      </c>
      <c r="Z83" s="355"/>
      <c r="AA83" s="355"/>
      <c r="AB83" s="355"/>
      <c r="AC83" s="355"/>
      <c r="AD83" s="356"/>
      <c r="AF83" s="50"/>
    </row>
    <row r="84" spans="1:32" ht="30.75" customHeight="1">
      <c r="A84" s="357">
        <v>1</v>
      </c>
      <c r="B84" s="358"/>
      <c r="C84" s="359"/>
      <c r="D84" s="359"/>
      <c r="E84" s="359"/>
      <c r="F84" s="359"/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/>
      <c r="R84" s="359"/>
      <c r="S84" s="359"/>
      <c r="T84" s="359"/>
      <c r="U84" s="359"/>
      <c r="V84" s="360"/>
      <c r="W84" s="360"/>
      <c r="X84" s="360"/>
      <c r="Y84" s="361"/>
      <c r="Z84" s="361"/>
      <c r="AA84" s="361"/>
      <c r="AB84" s="361"/>
      <c r="AC84" s="361"/>
      <c r="AD84" s="362"/>
      <c r="AF84" s="50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0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3DEA-2906-46E1-AB7F-FC6959B50FEE}"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58" t="s">
        <v>564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8"/>
      <c r="B2" s="458"/>
      <c r="C2" s="458"/>
      <c r="D2" s="458"/>
      <c r="E2" s="458"/>
      <c r="F2" s="458"/>
      <c r="G2" s="458"/>
      <c r="H2" s="458"/>
      <c r="I2" s="458"/>
      <c r="J2" s="458"/>
      <c r="K2" s="458"/>
      <c r="L2" s="458"/>
      <c r="M2" s="458"/>
      <c r="N2" s="458"/>
      <c r="O2" s="45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9"/>
      <c r="B3" s="459"/>
      <c r="C3" s="459"/>
      <c r="D3" s="459"/>
      <c r="E3" s="459"/>
      <c r="F3" s="459"/>
      <c r="G3" s="45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0" t="s">
        <v>0</v>
      </c>
      <c r="B4" s="462" t="s">
        <v>1</v>
      </c>
      <c r="C4" s="462" t="s">
        <v>2</v>
      </c>
      <c r="D4" s="465" t="s">
        <v>3</v>
      </c>
      <c r="E4" s="467" t="s">
        <v>4</v>
      </c>
      <c r="F4" s="465" t="s">
        <v>5</v>
      </c>
      <c r="G4" s="462" t="s">
        <v>6</v>
      </c>
      <c r="H4" s="468" t="s">
        <v>7</v>
      </c>
      <c r="I4" s="448" t="s">
        <v>8</v>
      </c>
      <c r="J4" s="449"/>
      <c r="K4" s="449"/>
      <c r="L4" s="449"/>
      <c r="M4" s="449"/>
      <c r="N4" s="449"/>
      <c r="O4" s="450"/>
      <c r="P4" s="451" t="s">
        <v>9</v>
      </c>
      <c r="Q4" s="452"/>
      <c r="R4" s="453" t="s">
        <v>10</v>
      </c>
      <c r="S4" s="453"/>
      <c r="T4" s="453"/>
      <c r="U4" s="453"/>
      <c r="V4" s="453"/>
      <c r="W4" s="454" t="s">
        <v>11</v>
      </c>
      <c r="X4" s="453"/>
      <c r="Y4" s="453"/>
      <c r="Z4" s="453"/>
      <c r="AA4" s="455"/>
      <c r="AB4" s="456" t="s">
        <v>12</v>
      </c>
      <c r="AC4" s="429" t="s">
        <v>13</v>
      </c>
      <c r="AD4" s="429" t="s">
        <v>14</v>
      </c>
      <c r="AE4" s="54"/>
    </row>
    <row r="5" spans="1:32" ht="51" customHeight="1" thickBot="1">
      <c r="A5" s="461"/>
      <c r="B5" s="463"/>
      <c r="C5" s="464"/>
      <c r="D5" s="466"/>
      <c r="E5" s="466"/>
      <c r="F5" s="466"/>
      <c r="G5" s="463"/>
      <c r="H5" s="469"/>
      <c r="I5" s="55" t="s">
        <v>15</v>
      </c>
      <c r="J5" s="56" t="s">
        <v>16</v>
      </c>
      <c r="K5" s="316" t="s">
        <v>17</v>
      </c>
      <c r="L5" s="316" t="s">
        <v>18</v>
      </c>
      <c r="M5" s="316" t="s">
        <v>19</v>
      </c>
      <c r="N5" s="31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57"/>
      <c r="AC5" s="430"/>
      <c r="AD5" s="43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0.36944444444444446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126</v>
      </c>
      <c r="D7" s="52" t="s">
        <v>127</v>
      </c>
      <c r="E7" s="53" t="s">
        <v>125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0.36944444444444446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126</v>
      </c>
      <c r="D8" s="52" t="s">
        <v>119</v>
      </c>
      <c r="E8" s="53" t="s">
        <v>379</v>
      </c>
      <c r="F8" s="30" t="s">
        <v>138</v>
      </c>
      <c r="G8" s="33">
        <v>1</v>
      </c>
      <c r="H8" s="35">
        <v>24</v>
      </c>
      <c r="I8" s="7">
        <v>2000</v>
      </c>
      <c r="J8" s="14">
        <v>3138</v>
      </c>
      <c r="K8" s="15">
        <f>L8+3138</f>
        <v>3138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0.36944444444444446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123</v>
      </c>
      <c r="D9" s="52" t="s">
        <v>218</v>
      </c>
      <c r="E9" s="53" t="s">
        <v>521</v>
      </c>
      <c r="F9" s="30" t="s">
        <v>124</v>
      </c>
      <c r="G9" s="33">
        <v>1</v>
      </c>
      <c r="H9" s="35">
        <v>24</v>
      </c>
      <c r="I9" s="7">
        <v>2300</v>
      </c>
      <c r="J9" s="14">
        <v>3162</v>
      </c>
      <c r="K9" s="15">
        <f>L9+788</f>
        <v>3950</v>
      </c>
      <c r="L9" s="15">
        <f>1903+1259</f>
        <v>3162</v>
      </c>
      <c r="M9" s="15">
        <f t="shared" si="1"/>
        <v>3162</v>
      </c>
      <c r="N9" s="15">
        <v>0</v>
      </c>
      <c r="O9" s="58">
        <f t="shared" si="2"/>
        <v>0</v>
      </c>
      <c r="P9" s="39">
        <f t="shared" si="3"/>
        <v>17</v>
      </c>
      <c r="Q9" s="40">
        <f t="shared" si="4"/>
        <v>7</v>
      </c>
      <c r="R9" s="7"/>
      <c r="S9" s="6">
        <v>7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0.70833333333333337</v>
      </c>
      <c r="AD9" s="10">
        <f t="shared" si="7"/>
        <v>0.70833333333333337</v>
      </c>
      <c r="AE9" s="36">
        <f t="shared" si="8"/>
        <v>0.36944444444444446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131</v>
      </c>
      <c r="D10" s="52" t="s">
        <v>150</v>
      </c>
      <c r="E10" s="53" t="s">
        <v>152</v>
      </c>
      <c r="F10" s="30" t="s">
        <v>121</v>
      </c>
      <c r="G10" s="33">
        <v>2</v>
      </c>
      <c r="H10" s="35">
        <v>24</v>
      </c>
      <c r="I10" s="7">
        <v>130000</v>
      </c>
      <c r="J10" s="5">
        <v>9470</v>
      </c>
      <c r="K10" s="15">
        <f>L10+13288+10116+14610+5976+7143+12482+1676+11964+11004+13758+11480+4868+7902+3480+4200+8468+9396+15232+12324+14000+13762+12464</f>
        <v>229063</v>
      </c>
      <c r="L10" s="15">
        <f>1550*2+3185*2</f>
        <v>9470</v>
      </c>
      <c r="M10" s="15">
        <f t="shared" si="1"/>
        <v>9470</v>
      </c>
      <c r="N10" s="15">
        <v>0</v>
      </c>
      <c r="O10" s="58">
        <f t="shared" si="2"/>
        <v>0</v>
      </c>
      <c r="P10" s="39">
        <f t="shared" si="3"/>
        <v>18</v>
      </c>
      <c r="Q10" s="40">
        <f t="shared" si="4"/>
        <v>6</v>
      </c>
      <c r="R10" s="7"/>
      <c r="S10" s="6">
        <v>6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0.75</v>
      </c>
      <c r="AD10" s="10">
        <f>AC10*AB10*(1-O10)</f>
        <v>0.75</v>
      </c>
      <c r="AE10" s="36">
        <f t="shared" si="8"/>
        <v>0.36944444444444446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131</v>
      </c>
      <c r="D11" s="52" t="s">
        <v>117</v>
      </c>
      <c r="E11" s="53" t="s">
        <v>502</v>
      </c>
      <c r="F11" s="30" t="s">
        <v>280</v>
      </c>
      <c r="G11" s="33">
        <v>1</v>
      </c>
      <c r="H11" s="35">
        <v>24</v>
      </c>
      <c r="I11" s="7">
        <v>2500</v>
      </c>
      <c r="J11" s="5">
        <v>2645</v>
      </c>
      <c r="K11" s="15">
        <f>L11</f>
        <v>2645</v>
      </c>
      <c r="L11" s="15">
        <f>2645</f>
        <v>2645</v>
      </c>
      <c r="M11" s="15">
        <f t="shared" si="1"/>
        <v>2645</v>
      </c>
      <c r="N11" s="15">
        <v>0</v>
      </c>
      <c r="O11" s="58">
        <f t="shared" si="2"/>
        <v>0</v>
      </c>
      <c r="P11" s="39">
        <f t="shared" si="3"/>
        <v>14</v>
      </c>
      <c r="Q11" s="40">
        <f t="shared" si="4"/>
        <v>10</v>
      </c>
      <c r="R11" s="7"/>
      <c r="S11" s="6">
        <v>10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0.58333333333333337</v>
      </c>
      <c r="AD11" s="10">
        <f>AC11*AB11*(1-O11)</f>
        <v>0.58333333333333337</v>
      </c>
      <c r="AE11" s="36">
        <f t="shared" si="8"/>
        <v>0.36944444444444446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123</v>
      </c>
      <c r="D12" s="52" t="s">
        <v>117</v>
      </c>
      <c r="E12" s="53" t="s">
        <v>522</v>
      </c>
      <c r="F12" s="30" t="s">
        <v>121</v>
      </c>
      <c r="G12" s="33">
        <v>1</v>
      </c>
      <c r="H12" s="35">
        <v>24</v>
      </c>
      <c r="I12" s="7">
        <v>2300</v>
      </c>
      <c r="J12" s="14">
        <v>2715</v>
      </c>
      <c r="K12" s="15">
        <f>L12</f>
        <v>2715</v>
      </c>
      <c r="L12" s="15">
        <f>1836+879</f>
        <v>2715</v>
      </c>
      <c r="M12" s="15">
        <f t="shared" si="1"/>
        <v>2715</v>
      </c>
      <c r="N12" s="15">
        <v>0</v>
      </c>
      <c r="O12" s="58">
        <f t="shared" si="2"/>
        <v>0</v>
      </c>
      <c r="P12" s="39">
        <f t="shared" si="3"/>
        <v>16</v>
      </c>
      <c r="Q12" s="40">
        <f t="shared" si="4"/>
        <v>8</v>
      </c>
      <c r="R12" s="7"/>
      <c r="S12" s="6">
        <v>8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0.66666666666666663</v>
      </c>
      <c r="AD12" s="10">
        <f t="shared" ref="AD12:AD14" si="10">AC12*AB12*(1-O12)</f>
        <v>0.66666666666666663</v>
      </c>
      <c r="AE12" s="36">
        <f t="shared" si="8"/>
        <v>0.36944444444444446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117</v>
      </c>
      <c r="E13" s="53" t="s">
        <v>143</v>
      </c>
      <c r="F13" s="30" t="s">
        <v>138</v>
      </c>
      <c r="G13" s="33">
        <v>4</v>
      </c>
      <c r="H13" s="35">
        <v>24</v>
      </c>
      <c r="I13" s="7">
        <v>850000</v>
      </c>
      <c r="J13" s="14">
        <v>19264</v>
      </c>
      <c r="K13" s="15">
        <f>L13+20676+20704+882+19912+11748+21560+18812+17048+21840+19920+21784+15116+10164+22344+20496+22064+21048+11316+20640+15348+14500+19708+20564</f>
        <v>427458</v>
      </c>
      <c r="L13" s="15">
        <f>2394*4+2422*4</f>
        <v>19264</v>
      </c>
      <c r="M13" s="15">
        <f t="shared" si="1"/>
        <v>19264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10"/>
        <v>1</v>
      </c>
      <c r="AE13" s="36">
        <f t="shared" si="8"/>
        <v>0.36944444444444446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126</v>
      </c>
      <c r="D14" s="52" t="s">
        <v>454</v>
      </c>
      <c r="E14" s="53"/>
      <c r="F14" s="30" t="s">
        <v>138</v>
      </c>
      <c r="G14" s="33" t="s">
        <v>157</v>
      </c>
      <c r="H14" s="35">
        <v>24</v>
      </c>
      <c r="I14" s="7">
        <v>1050</v>
      </c>
      <c r="J14" s="5">
        <v>2132</v>
      </c>
      <c r="K14" s="15">
        <f>L14+2132</f>
        <v>2132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10"/>
        <v>0</v>
      </c>
      <c r="AE14" s="36">
        <f t="shared" si="8"/>
        <v>0.36944444444444446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126</v>
      </c>
      <c r="D15" s="52"/>
      <c r="E15" s="53" t="s">
        <v>531</v>
      </c>
      <c r="F15" s="12" t="s">
        <v>532</v>
      </c>
      <c r="G15" s="12">
        <v>4</v>
      </c>
      <c r="H15" s="13">
        <v>24</v>
      </c>
      <c r="I15" s="31">
        <v>50000</v>
      </c>
      <c r="J15" s="14">
        <v>21160</v>
      </c>
      <c r="K15" s="15">
        <f>L15+16532+27888</f>
        <v>65580</v>
      </c>
      <c r="L15" s="15">
        <f>2012*4+3278*4</f>
        <v>21160</v>
      </c>
      <c r="M15" s="15">
        <f t="shared" si="1"/>
        <v>21160</v>
      </c>
      <c r="N15" s="15">
        <v>0</v>
      </c>
      <c r="O15" s="58">
        <f t="shared" si="2"/>
        <v>0</v>
      </c>
      <c r="P15" s="39">
        <f t="shared" si="3"/>
        <v>20</v>
      </c>
      <c r="Q15" s="40">
        <f t="shared" si="4"/>
        <v>4</v>
      </c>
      <c r="R15" s="7"/>
      <c r="S15" s="6">
        <v>4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0.83333333333333337</v>
      </c>
      <c r="AD15" s="10">
        <f t="shared" si="7"/>
        <v>0.83333333333333337</v>
      </c>
      <c r="AE15" s="36">
        <f t="shared" si="8"/>
        <v>0.36944444444444446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490</v>
      </c>
      <c r="D16" s="52"/>
      <c r="E16" s="53" t="s">
        <v>493</v>
      </c>
      <c r="F16" s="30" t="s">
        <v>503</v>
      </c>
      <c r="G16" s="12">
        <v>2</v>
      </c>
      <c r="H16" s="13">
        <v>28</v>
      </c>
      <c r="I16" s="7">
        <v>1000</v>
      </c>
      <c r="J16" s="14">
        <v>1132</v>
      </c>
      <c r="K16" s="15">
        <f>L16+1132</f>
        <v>1132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0.36944444444444446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131</v>
      </c>
      <c r="D17" s="52" t="s">
        <v>141</v>
      </c>
      <c r="E17" s="53" t="s">
        <v>504</v>
      </c>
      <c r="F17" s="30" t="s">
        <v>505</v>
      </c>
      <c r="G17" s="33">
        <v>1</v>
      </c>
      <c r="H17" s="35">
        <v>24</v>
      </c>
      <c r="I17" s="7">
        <v>2500</v>
      </c>
      <c r="J17" s="5">
        <v>1967</v>
      </c>
      <c r="K17" s="15">
        <f>L17+2812+1967</f>
        <v>4779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0.36944444444444446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117</v>
      </c>
      <c r="E18" s="53" t="s">
        <v>533</v>
      </c>
      <c r="F18" s="30" t="s">
        <v>132</v>
      </c>
      <c r="G18" s="33">
        <v>1</v>
      </c>
      <c r="H18" s="35">
        <v>24</v>
      </c>
      <c r="I18" s="7">
        <v>150</v>
      </c>
      <c r="J18" s="5">
        <v>253</v>
      </c>
      <c r="K18" s="15">
        <f>L18+253</f>
        <v>253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>AC18*AB18*(1-O18)</f>
        <v>0</v>
      </c>
      <c r="AE18" s="36">
        <f t="shared" si="8"/>
        <v>0.36944444444444446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126</v>
      </c>
      <c r="D19" s="52" t="s">
        <v>202</v>
      </c>
      <c r="E19" s="53" t="s">
        <v>205</v>
      </c>
      <c r="F19" s="30" t="s">
        <v>138</v>
      </c>
      <c r="G19" s="33">
        <v>4</v>
      </c>
      <c r="H19" s="35">
        <v>24</v>
      </c>
      <c r="I19" s="7">
        <v>800000</v>
      </c>
      <c r="J19" s="14">
        <v>19760</v>
      </c>
      <c r="K19" s="15">
        <f>L19+12980+20160+21332+21348+21424+21388+19544+8924+20020+20460+20164+15216+19816+4440+14220+18092+19996</f>
        <v>319284</v>
      </c>
      <c r="L19" s="15">
        <f>2590*4+2350*4</f>
        <v>19760</v>
      </c>
      <c r="M19" s="15">
        <f t="shared" si="1"/>
        <v>19760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ref="AD19" si="11">AC19*AB19*(1-O19)</f>
        <v>1</v>
      </c>
      <c r="AE19" s="36">
        <f t="shared" si="8"/>
        <v>0.36944444444444446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144</v>
      </c>
      <c r="F20" s="12" t="s">
        <v>116</v>
      </c>
      <c r="G20" s="12">
        <v>3</v>
      </c>
      <c r="H20" s="35">
        <v>20</v>
      </c>
      <c r="I20" s="7">
        <v>200000</v>
      </c>
      <c r="J20" s="14">
        <v>34300</v>
      </c>
      <c r="K20" s="15">
        <f>L20+22050+34300</f>
        <v>56350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0.36944444444444446</v>
      </c>
      <c r="AF20" s="87">
        <f t="shared" si="9"/>
        <v>15</v>
      </c>
    </row>
    <row r="21" spans="1:32" ht="31.5" customHeight="1" thickBot="1">
      <c r="A21" s="431" t="s">
        <v>34</v>
      </c>
      <c r="B21" s="432"/>
      <c r="C21" s="432"/>
      <c r="D21" s="432"/>
      <c r="E21" s="432"/>
      <c r="F21" s="432"/>
      <c r="G21" s="432"/>
      <c r="H21" s="433"/>
      <c r="I21" s="22">
        <f t="shared" ref="I21:N21" si="12">SUM(I6:I20)</f>
        <v>2064800</v>
      </c>
      <c r="J21" s="19">
        <f t="shared" si="12"/>
        <v>123159</v>
      </c>
      <c r="K21" s="20">
        <f t="shared" si="12"/>
        <v>1130027</v>
      </c>
      <c r="L21" s="21">
        <f t="shared" si="12"/>
        <v>78176</v>
      </c>
      <c r="M21" s="20">
        <f t="shared" si="12"/>
        <v>78176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133</v>
      </c>
      <c r="Q21" s="43">
        <f t="shared" si="13"/>
        <v>227</v>
      </c>
      <c r="R21" s="23">
        <f t="shared" si="13"/>
        <v>24</v>
      </c>
      <c r="S21" s="24">
        <f t="shared" si="13"/>
        <v>35</v>
      </c>
      <c r="T21" s="24">
        <f t="shared" si="13"/>
        <v>0</v>
      </c>
      <c r="U21" s="24">
        <f t="shared" si="13"/>
        <v>0</v>
      </c>
      <c r="V21" s="25">
        <f t="shared" si="13"/>
        <v>24</v>
      </c>
      <c r="W21" s="26">
        <f t="shared" si="13"/>
        <v>144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0.46666666666666667</v>
      </c>
      <c r="AC21" s="4">
        <f>SUM(AC6:AC20)/15</f>
        <v>0.36944444444444446</v>
      </c>
      <c r="AD21" s="4">
        <f>SUM(AD6:AD20)/15</f>
        <v>0.36944444444444446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34" t="s">
        <v>45</v>
      </c>
      <c r="B48" s="434"/>
      <c r="C48" s="434"/>
      <c r="D48" s="434"/>
      <c r="E48" s="43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35" t="s">
        <v>565</v>
      </c>
      <c r="B49" s="436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7"/>
      <c r="N49" s="438" t="s">
        <v>571</v>
      </c>
      <c r="O49" s="439"/>
      <c r="P49" s="439"/>
      <c r="Q49" s="439"/>
      <c r="R49" s="439"/>
      <c r="S49" s="439"/>
      <c r="T49" s="439"/>
      <c r="U49" s="439"/>
      <c r="V49" s="439"/>
      <c r="W49" s="439"/>
      <c r="X49" s="439"/>
      <c r="Y49" s="439"/>
      <c r="Z49" s="439"/>
      <c r="AA49" s="439"/>
      <c r="AB49" s="439"/>
      <c r="AC49" s="439"/>
      <c r="AD49" s="440"/>
    </row>
    <row r="50" spans="1:32" ht="27" customHeight="1">
      <c r="A50" s="441" t="s">
        <v>2</v>
      </c>
      <c r="B50" s="442"/>
      <c r="C50" s="317" t="s">
        <v>46</v>
      </c>
      <c r="D50" s="317" t="s">
        <v>47</v>
      </c>
      <c r="E50" s="317" t="s">
        <v>108</v>
      </c>
      <c r="F50" s="442" t="s">
        <v>107</v>
      </c>
      <c r="G50" s="442"/>
      <c r="H50" s="442"/>
      <c r="I50" s="442"/>
      <c r="J50" s="442"/>
      <c r="K50" s="442"/>
      <c r="L50" s="442"/>
      <c r="M50" s="443"/>
      <c r="N50" s="67" t="s">
        <v>112</v>
      </c>
      <c r="O50" s="317" t="s">
        <v>46</v>
      </c>
      <c r="P50" s="444" t="s">
        <v>47</v>
      </c>
      <c r="Q50" s="445"/>
      <c r="R50" s="444" t="s">
        <v>38</v>
      </c>
      <c r="S50" s="446"/>
      <c r="T50" s="446"/>
      <c r="U50" s="445"/>
      <c r="V50" s="444" t="s">
        <v>48</v>
      </c>
      <c r="W50" s="446"/>
      <c r="X50" s="446"/>
      <c r="Y50" s="446"/>
      <c r="Z50" s="446"/>
      <c r="AA50" s="446"/>
      <c r="AB50" s="446"/>
      <c r="AC50" s="446"/>
      <c r="AD50" s="447"/>
    </row>
    <row r="51" spans="1:32" ht="27" customHeight="1">
      <c r="A51" s="412" t="s">
        <v>123</v>
      </c>
      <c r="B51" s="413"/>
      <c r="C51" s="319" t="s">
        <v>129</v>
      </c>
      <c r="D51" s="319" t="s">
        <v>547</v>
      </c>
      <c r="E51" s="319" t="s">
        <v>521</v>
      </c>
      <c r="F51" s="414" t="s">
        <v>566</v>
      </c>
      <c r="G51" s="415"/>
      <c r="H51" s="415"/>
      <c r="I51" s="415"/>
      <c r="J51" s="415"/>
      <c r="K51" s="415"/>
      <c r="L51" s="415"/>
      <c r="M51" s="416"/>
      <c r="N51" s="329" t="s">
        <v>123</v>
      </c>
      <c r="O51" s="328" t="s">
        <v>136</v>
      </c>
      <c r="P51" s="426" t="s">
        <v>117</v>
      </c>
      <c r="Q51" s="427"/>
      <c r="R51" s="426" t="s">
        <v>522</v>
      </c>
      <c r="S51" s="428"/>
      <c r="T51" s="428"/>
      <c r="U51" s="427"/>
      <c r="V51" s="396" t="s">
        <v>137</v>
      </c>
      <c r="W51" s="396"/>
      <c r="X51" s="396"/>
      <c r="Y51" s="396"/>
      <c r="Z51" s="396"/>
      <c r="AA51" s="396"/>
      <c r="AB51" s="396"/>
      <c r="AC51" s="396"/>
      <c r="AD51" s="417"/>
    </row>
    <row r="52" spans="1:32" ht="27" customHeight="1">
      <c r="A52" s="412" t="s">
        <v>123</v>
      </c>
      <c r="B52" s="413"/>
      <c r="C52" s="319" t="s">
        <v>136</v>
      </c>
      <c r="D52" s="319" t="s">
        <v>117</v>
      </c>
      <c r="E52" s="319" t="s">
        <v>522</v>
      </c>
      <c r="F52" s="414" t="s">
        <v>567</v>
      </c>
      <c r="G52" s="415"/>
      <c r="H52" s="415"/>
      <c r="I52" s="415"/>
      <c r="J52" s="415"/>
      <c r="K52" s="415"/>
      <c r="L52" s="415"/>
      <c r="M52" s="416"/>
      <c r="N52" s="318"/>
      <c r="O52" s="324"/>
      <c r="P52" s="426"/>
      <c r="Q52" s="427"/>
      <c r="R52" s="426"/>
      <c r="S52" s="428"/>
      <c r="T52" s="428"/>
      <c r="U52" s="427"/>
      <c r="V52" s="396"/>
      <c r="W52" s="396"/>
      <c r="X52" s="396"/>
      <c r="Y52" s="396"/>
      <c r="Z52" s="396"/>
      <c r="AA52" s="396"/>
      <c r="AB52" s="396"/>
      <c r="AC52" s="396"/>
      <c r="AD52" s="417"/>
    </row>
    <row r="53" spans="1:32" ht="27" customHeight="1">
      <c r="A53" s="412" t="s">
        <v>569</v>
      </c>
      <c r="B53" s="413"/>
      <c r="C53" s="319" t="s">
        <v>570</v>
      </c>
      <c r="D53" s="319"/>
      <c r="E53" s="319" t="s">
        <v>568</v>
      </c>
      <c r="F53" s="414" t="s">
        <v>208</v>
      </c>
      <c r="G53" s="415"/>
      <c r="H53" s="415"/>
      <c r="I53" s="415"/>
      <c r="J53" s="415"/>
      <c r="K53" s="415"/>
      <c r="L53" s="415"/>
      <c r="M53" s="416"/>
      <c r="N53" s="318"/>
      <c r="O53" s="324"/>
      <c r="P53" s="426"/>
      <c r="Q53" s="427"/>
      <c r="R53" s="426"/>
      <c r="S53" s="428"/>
      <c r="T53" s="428"/>
      <c r="U53" s="427"/>
      <c r="V53" s="396"/>
      <c r="W53" s="396"/>
      <c r="X53" s="396"/>
      <c r="Y53" s="396"/>
      <c r="Z53" s="396"/>
      <c r="AA53" s="396"/>
      <c r="AB53" s="396"/>
      <c r="AC53" s="396"/>
      <c r="AD53" s="417"/>
    </row>
    <row r="54" spans="1:32" ht="27" customHeight="1">
      <c r="A54" s="412"/>
      <c r="B54" s="413"/>
      <c r="C54" s="319"/>
      <c r="D54" s="319"/>
      <c r="E54" s="319"/>
      <c r="F54" s="414"/>
      <c r="G54" s="415"/>
      <c r="H54" s="415"/>
      <c r="I54" s="415"/>
      <c r="J54" s="415"/>
      <c r="K54" s="415"/>
      <c r="L54" s="415"/>
      <c r="M54" s="416"/>
      <c r="N54" s="318"/>
      <c r="O54" s="324"/>
      <c r="P54" s="426"/>
      <c r="Q54" s="427"/>
      <c r="R54" s="426"/>
      <c r="S54" s="428"/>
      <c r="T54" s="428"/>
      <c r="U54" s="427"/>
      <c r="V54" s="396"/>
      <c r="W54" s="396"/>
      <c r="X54" s="396"/>
      <c r="Y54" s="396"/>
      <c r="Z54" s="396"/>
      <c r="AA54" s="396"/>
      <c r="AB54" s="396"/>
      <c r="AC54" s="396"/>
      <c r="AD54" s="417"/>
    </row>
    <row r="55" spans="1:32" ht="27" customHeight="1">
      <c r="A55" s="412"/>
      <c r="B55" s="413"/>
      <c r="C55" s="319"/>
      <c r="D55" s="319"/>
      <c r="E55" s="319"/>
      <c r="F55" s="414"/>
      <c r="G55" s="415"/>
      <c r="H55" s="415"/>
      <c r="I55" s="415"/>
      <c r="J55" s="415"/>
      <c r="K55" s="415"/>
      <c r="L55" s="415"/>
      <c r="M55" s="416"/>
      <c r="N55" s="318"/>
      <c r="O55" s="324"/>
      <c r="P55" s="426"/>
      <c r="Q55" s="427"/>
      <c r="R55" s="426"/>
      <c r="S55" s="428"/>
      <c r="T55" s="428"/>
      <c r="U55" s="427"/>
      <c r="V55" s="396"/>
      <c r="W55" s="396"/>
      <c r="X55" s="396"/>
      <c r="Y55" s="396"/>
      <c r="Z55" s="396"/>
      <c r="AA55" s="396"/>
      <c r="AB55" s="396"/>
      <c r="AC55" s="396"/>
      <c r="AD55" s="417"/>
    </row>
    <row r="56" spans="1:32" ht="27" customHeight="1">
      <c r="A56" s="412"/>
      <c r="B56" s="413"/>
      <c r="C56" s="319"/>
      <c r="D56" s="319"/>
      <c r="E56" s="319"/>
      <c r="F56" s="414"/>
      <c r="G56" s="415"/>
      <c r="H56" s="415"/>
      <c r="I56" s="415"/>
      <c r="J56" s="415"/>
      <c r="K56" s="415"/>
      <c r="L56" s="415"/>
      <c r="M56" s="416"/>
      <c r="N56" s="318"/>
      <c r="O56" s="324"/>
      <c r="P56" s="426"/>
      <c r="Q56" s="427"/>
      <c r="R56" s="426"/>
      <c r="S56" s="428"/>
      <c r="T56" s="428"/>
      <c r="U56" s="427"/>
      <c r="V56" s="396"/>
      <c r="W56" s="396"/>
      <c r="X56" s="396"/>
      <c r="Y56" s="396"/>
      <c r="Z56" s="396"/>
      <c r="AA56" s="396"/>
      <c r="AB56" s="396"/>
      <c r="AC56" s="396"/>
      <c r="AD56" s="417"/>
    </row>
    <row r="57" spans="1:32" ht="27" customHeight="1">
      <c r="A57" s="412"/>
      <c r="B57" s="413"/>
      <c r="C57" s="319"/>
      <c r="D57" s="319"/>
      <c r="E57" s="319"/>
      <c r="F57" s="414"/>
      <c r="G57" s="415"/>
      <c r="H57" s="415"/>
      <c r="I57" s="415"/>
      <c r="J57" s="415"/>
      <c r="K57" s="415"/>
      <c r="L57" s="415"/>
      <c r="M57" s="416"/>
      <c r="N57" s="318"/>
      <c r="O57" s="324"/>
      <c r="P57" s="426"/>
      <c r="Q57" s="427"/>
      <c r="R57" s="413"/>
      <c r="S57" s="413"/>
      <c r="T57" s="413"/>
      <c r="U57" s="413"/>
      <c r="V57" s="396"/>
      <c r="W57" s="396"/>
      <c r="X57" s="396"/>
      <c r="Y57" s="396"/>
      <c r="Z57" s="396"/>
      <c r="AA57" s="396"/>
      <c r="AB57" s="396"/>
      <c r="AC57" s="396"/>
      <c r="AD57" s="417"/>
    </row>
    <row r="58" spans="1:32" ht="27" customHeight="1">
      <c r="A58" s="412"/>
      <c r="B58" s="413"/>
      <c r="C58" s="319"/>
      <c r="D58" s="319"/>
      <c r="E58" s="319"/>
      <c r="F58" s="414"/>
      <c r="G58" s="415"/>
      <c r="H58" s="415"/>
      <c r="I58" s="415"/>
      <c r="J58" s="415"/>
      <c r="K58" s="415"/>
      <c r="L58" s="415"/>
      <c r="M58" s="416"/>
      <c r="N58" s="318"/>
      <c r="O58" s="324"/>
      <c r="P58" s="426"/>
      <c r="Q58" s="427"/>
      <c r="R58" s="413"/>
      <c r="S58" s="413"/>
      <c r="T58" s="413"/>
      <c r="U58" s="413"/>
      <c r="V58" s="396"/>
      <c r="W58" s="396"/>
      <c r="X58" s="396"/>
      <c r="Y58" s="396"/>
      <c r="Z58" s="396"/>
      <c r="AA58" s="396"/>
      <c r="AB58" s="396"/>
      <c r="AC58" s="396"/>
      <c r="AD58" s="417"/>
    </row>
    <row r="59" spans="1:32" ht="27" customHeight="1">
      <c r="A59" s="412"/>
      <c r="B59" s="413"/>
      <c r="C59" s="319"/>
      <c r="D59" s="319"/>
      <c r="E59" s="319"/>
      <c r="F59" s="414"/>
      <c r="G59" s="415"/>
      <c r="H59" s="415"/>
      <c r="I59" s="415"/>
      <c r="J59" s="415"/>
      <c r="K59" s="415"/>
      <c r="L59" s="415"/>
      <c r="M59" s="416"/>
      <c r="N59" s="318"/>
      <c r="O59" s="324"/>
      <c r="P59" s="413"/>
      <c r="Q59" s="413"/>
      <c r="R59" s="413"/>
      <c r="S59" s="413"/>
      <c r="T59" s="413"/>
      <c r="U59" s="413"/>
      <c r="V59" s="396"/>
      <c r="W59" s="396"/>
      <c r="X59" s="396"/>
      <c r="Y59" s="396"/>
      <c r="Z59" s="396"/>
      <c r="AA59" s="396"/>
      <c r="AB59" s="396"/>
      <c r="AC59" s="396"/>
      <c r="AD59" s="417"/>
      <c r="AF59" s="87">
        <f>8*3000</f>
        <v>24000</v>
      </c>
    </row>
    <row r="60" spans="1:32" ht="27" customHeight="1" thickBot="1">
      <c r="A60" s="418"/>
      <c r="B60" s="419"/>
      <c r="C60" s="320"/>
      <c r="D60" s="321"/>
      <c r="E60" s="321"/>
      <c r="F60" s="420"/>
      <c r="G60" s="421"/>
      <c r="H60" s="421"/>
      <c r="I60" s="421"/>
      <c r="J60" s="421"/>
      <c r="K60" s="421"/>
      <c r="L60" s="421"/>
      <c r="M60" s="422"/>
      <c r="N60" s="124"/>
      <c r="O60" s="114"/>
      <c r="P60" s="423"/>
      <c r="Q60" s="423"/>
      <c r="R60" s="423"/>
      <c r="S60" s="423"/>
      <c r="T60" s="423"/>
      <c r="U60" s="423"/>
      <c r="V60" s="424"/>
      <c r="W60" s="424"/>
      <c r="X60" s="424"/>
      <c r="Y60" s="424"/>
      <c r="Z60" s="424"/>
      <c r="AA60" s="424"/>
      <c r="AB60" s="424"/>
      <c r="AC60" s="424"/>
      <c r="AD60" s="425"/>
      <c r="AF60" s="87">
        <f>16*3000</f>
        <v>48000</v>
      </c>
    </row>
    <row r="61" spans="1:32" ht="27.75" thickBot="1">
      <c r="A61" s="410" t="s">
        <v>572</v>
      </c>
      <c r="B61" s="410"/>
      <c r="C61" s="410"/>
      <c r="D61" s="410"/>
      <c r="E61" s="410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1" t="s">
        <v>113</v>
      </c>
      <c r="B62" s="406"/>
      <c r="C62" s="322" t="s">
        <v>2</v>
      </c>
      <c r="D62" s="322" t="s">
        <v>37</v>
      </c>
      <c r="E62" s="322" t="s">
        <v>3</v>
      </c>
      <c r="F62" s="406" t="s">
        <v>110</v>
      </c>
      <c r="G62" s="406"/>
      <c r="H62" s="406"/>
      <c r="I62" s="406"/>
      <c r="J62" s="406"/>
      <c r="K62" s="406" t="s">
        <v>39</v>
      </c>
      <c r="L62" s="406"/>
      <c r="M62" s="322" t="s">
        <v>40</v>
      </c>
      <c r="N62" s="406" t="s">
        <v>41</v>
      </c>
      <c r="O62" s="406"/>
      <c r="P62" s="403" t="s">
        <v>42</v>
      </c>
      <c r="Q62" s="405"/>
      <c r="R62" s="403" t="s">
        <v>43</v>
      </c>
      <c r="S62" s="404"/>
      <c r="T62" s="404"/>
      <c r="U62" s="404"/>
      <c r="V62" s="404"/>
      <c r="W62" s="404"/>
      <c r="X62" s="404"/>
      <c r="Y62" s="404"/>
      <c r="Z62" s="404"/>
      <c r="AA62" s="405"/>
      <c r="AB62" s="406" t="s">
        <v>44</v>
      </c>
      <c r="AC62" s="406"/>
      <c r="AD62" s="407"/>
      <c r="AF62" s="87">
        <f>SUM(AF59:AF61)</f>
        <v>96000</v>
      </c>
    </row>
    <row r="63" spans="1:32" ht="25.5" customHeight="1">
      <c r="A63" s="389">
        <v>1</v>
      </c>
      <c r="B63" s="390"/>
      <c r="C63" s="117"/>
      <c r="D63" s="326"/>
      <c r="E63" s="323"/>
      <c r="F63" s="391"/>
      <c r="G63" s="383"/>
      <c r="H63" s="383"/>
      <c r="I63" s="383"/>
      <c r="J63" s="383"/>
      <c r="K63" s="383"/>
      <c r="L63" s="383"/>
      <c r="M63" s="51"/>
      <c r="N63" s="401"/>
      <c r="O63" s="401"/>
      <c r="P63" s="402"/>
      <c r="Q63" s="402"/>
      <c r="R63" s="396"/>
      <c r="S63" s="396"/>
      <c r="T63" s="396"/>
      <c r="U63" s="396"/>
      <c r="V63" s="396"/>
      <c r="W63" s="396"/>
      <c r="X63" s="396"/>
      <c r="Y63" s="396"/>
      <c r="Z63" s="396"/>
      <c r="AA63" s="396"/>
      <c r="AB63" s="400"/>
      <c r="AC63" s="408"/>
      <c r="AD63" s="409"/>
      <c r="AF63" s="50"/>
    </row>
    <row r="64" spans="1:32" ht="25.5" customHeight="1">
      <c r="A64" s="389">
        <v>2</v>
      </c>
      <c r="B64" s="390"/>
      <c r="C64" s="117"/>
      <c r="D64" s="326"/>
      <c r="E64" s="323"/>
      <c r="F64" s="391"/>
      <c r="G64" s="383"/>
      <c r="H64" s="383"/>
      <c r="I64" s="383"/>
      <c r="J64" s="383"/>
      <c r="K64" s="383"/>
      <c r="L64" s="383"/>
      <c r="M64" s="51"/>
      <c r="N64" s="401"/>
      <c r="O64" s="401"/>
      <c r="P64" s="402"/>
      <c r="Q64" s="402"/>
      <c r="R64" s="396"/>
      <c r="S64" s="396"/>
      <c r="T64" s="396"/>
      <c r="U64" s="396"/>
      <c r="V64" s="396"/>
      <c r="W64" s="396"/>
      <c r="X64" s="396"/>
      <c r="Y64" s="396"/>
      <c r="Z64" s="396"/>
      <c r="AA64" s="396"/>
      <c r="AB64" s="383"/>
      <c r="AC64" s="383"/>
      <c r="AD64" s="384"/>
      <c r="AF64" s="50"/>
    </row>
    <row r="65" spans="1:32" ht="25.5" customHeight="1">
      <c r="A65" s="389">
        <v>3</v>
      </c>
      <c r="B65" s="390"/>
      <c r="C65" s="117"/>
      <c r="D65" s="326"/>
      <c r="E65" s="323"/>
      <c r="F65" s="397"/>
      <c r="G65" s="398"/>
      <c r="H65" s="398"/>
      <c r="I65" s="398"/>
      <c r="J65" s="399"/>
      <c r="K65" s="383"/>
      <c r="L65" s="383"/>
      <c r="M65" s="51"/>
      <c r="N65" s="401"/>
      <c r="O65" s="401"/>
      <c r="P65" s="402"/>
      <c r="Q65" s="402"/>
      <c r="R65" s="396"/>
      <c r="S65" s="396"/>
      <c r="T65" s="396"/>
      <c r="U65" s="396"/>
      <c r="V65" s="396"/>
      <c r="W65" s="396"/>
      <c r="X65" s="396"/>
      <c r="Y65" s="396"/>
      <c r="Z65" s="396"/>
      <c r="AA65" s="396"/>
      <c r="AB65" s="383"/>
      <c r="AC65" s="383"/>
      <c r="AD65" s="384"/>
      <c r="AF65" s="50"/>
    </row>
    <row r="66" spans="1:32" ht="25.5" customHeight="1">
      <c r="A66" s="389">
        <v>4</v>
      </c>
      <c r="B66" s="390"/>
      <c r="C66" s="117"/>
      <c r="D66" s="326"/>
      <c r="E66" s="323"/>
      <c r="F66" s="397"/>
      <c r="G66" s="398"/>
      <c r="H66" s="398"/>
      <c r="I66" s="398"/>
      <c r="J66" s="399"/>
      <c r="K66" s="383"/>
      <c r="L66" s="383"/>
      <c r="M66" s="51"/>
      <c r="N66" s="401"/>
      <c r="O66" s="401"/>
      <c r="P66" s="402"/>
      <c r="Q66" s="402"/>
      <c r="R66" s="396"/>
      <c r="S66" s="396"/>
      <c r="T66" s="396"/>
      <c r="U66" s="396"/>
      <c r="V66" s="396"/>
      <c r="W66" s="396"/>
      <c r="X66" s="396"/>
      <c r="Y66" s="396"/>
      <c r="Z66" s="396"/>
      <c r="AA66" s="396"/>
      <c r="AB66" s="383"/>
      <c r="AC66" s="383"/>
      <c r="AD66" s="384"/>
      <c r="AF66" s="50"/>
    </row>
    <row r="67" spans="1:32" ht="25.5" customHeight="1">
      <c r="A67" s="389">
        <v>5</v>
      </c>
      <c r="B67" s="390"/>
      <c r="C67" s="117"/>
      <c r="D67" s="326"/>
      <c r="E67" s="323"/>
      <c r="F67" s="397"/>
      <c r="G67" s="398"/>
      <c r="H67" s="398"/>
      <c r="I67" s="398"/>
      <c r="J67" s="399"/>
      <c r="K67" s="400"/>
      <c r="L67" s="390"/>
      <c r="M67" s="51"/>
      <c r="N67" s="401"/>
      <c r="O67" s="401"/>
      <c r="P67" s="402"/>
      <c r="Q67" s="402"/>
      <c r="R67" s="396"/>
      <c r="S67" s="396"/>
      <c r="T67" s="396"/>
      <c r="U67" s="396"/>
      <c r="V67" s="396"/>
      <c r="W67" s="396"/>
      <c r="X67" s="396"/>
      <c r="Y67" s="396"/>
      <c r="Z67" s="396"/>
      <c r="AA67" s="396"/>
      <c r="AB67" s="383"/>
      <c r="AC67" s="383"/>
      <c r="AD67" s="384"/>
      <c r="AF67" s="50"/>
    </row>
    <row r="68" spans="1:32" ht="25.5" customHeight="1">
      <c r="A68" s="389">
        <v>6</v>
      </c>
      <c r="B68" s="390"/>
      <c r="C68" s="117"/>
      <c r="D68" s="326"/>
      <c r="E68" s="323"/>
      <c r="F68" s="391"/>
      <c r="G68" s="383"/>
      <c r="H68" s="383"/>
      <c r="I68" s="383"/>
      <c r="J68" s="383"/>
      <c r="K68" s="383"/>
      <c r="L68" s="383"/>
      <c r="M68" s="51"/>
      <c r="N68" s="392"/>
      <c r="O68" s="393"/>
      <c r="P68" s="394"/>
      <c r="Q68" s="395"/>
      <c r="R68" s="396"/>
      <c r="S68" s="396"/>
      <c r="T68" s="396"/>
      <c r="U68" s="396"/>
      <c r="V68" s="396"/>
      <c r="W68" s="396"/>
      <c r="X68" s="396"/>
      <c r="Y68" s="396"/>
      <c r="Z68" s="396"/>
      <c r="AA68" s="396"/>
      <c r="AB68" s="383"/>
      <c r="AC68" s="383"/>
      <c r="AD68" s="384"/>
      <c r="AF68" s="50"/>
    </row>
    <row r="69" spans="1:32" ht="25.5" customHeight="1">
      <c r="A69" s="389">
        <v>7</v>
      </c>
      <c r="B69" s="390"/>
      <c r="C69" s="117"/>
      <c r="D69" s="326"/>
      <c r="E69" s="323"/>
      <c r="F69" s="391"/>
      <c r="G69" s="383"/>
      <c r="H69" s="383"/>
      <c r="I69" s="383"/>
      <c r="J69" s="383"/>
      <c r="K69" s="383"/>
      <c r="L69" s="383"/>
      <c r="M69" s="51"/>
      <c r="N69" s="392"/>
      <c r="O69" s="393"/>
      <c r="P69" s="394"/>
      <c r="Q69" s="395"/>
      <c r="R69" s="396"/>
      <c r="S69" s="396"/>
      <c r="T69" s="396"/>
      <c r="U69" s="396"/>
      <c r="V69" s="396"/>
      <c r="W69" s="396"/>
      <c r="X69" s="396"/>
      <c r="Y69" s="396"/>
      <c r="Z69" s="396"/>
      <c r="AA69" s="396"/>
      <c r="AB69" s="383"/>
      <c r="AC69" s="383"/>
      <c r="AD69" s="384"/>
      <c r="AF69" s="50"/>
    </row>
    <row r="70" spans="1:32" ht="25.5" customHeight="1">
      <c r="A70" s="389">
        <v>8</v>
      </c>
      <c r="B70" s="390"/>
      <c r="C70" s="117"/>
      <c r="D70" s="326"/>
      <c r="E70" s="323"/>
      <c r="F70" s="391"/>
      <c r="G70" s="383"/>
      <c r="H70" s="383"/>
      <c r="I70" s="383"/>
      <c r="J70" s="383"/>
      <c r="K70" s="383"/>
      <c r="L70" s="383"/>
      <c r="M70" s="51"/>
      <c r="N70" s="392"/>
      <c r="O70" s="393"/>
      <c r="P70" s="394"/>
      <c r="Q70" s="395"/>
      <c r="R70" s="396"/>
      <c r="S70" s="396"/>
      <c r="T70" s="396"/>
      <c r="U70" s="396"/>
      <c r="V70" s="396"/>
      <c r="W70" s="396"/>
      <c r="X70" s="396"/>
      <c r="Y70" s="396"/>
      <c r="Z70" s="396"/>
      <c r="AA70" s="396"/>
      <c r="AB70" s="383"/>
      <c r="AC70" s="383"/>
      <c r="AD70" s="384"/>
      <c r="AF70" s="50"/>
    </row>
    <row r="71" spans="1:32" ht="26.25" customHeight="1" thickBot="1">
      <c r="A71" s="363" t="s">
        <v>573</v>
      </c>
      <c r="B71" s="363"/>
      <c r="C71" s="363"/>
      <c r="D71" s="363"/>
      <c r="E71" s="363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64" t="s">
        <v>113</v>
      </c>
      <c r="B72" s="365"/>
      <c r="C72" s="325" t="s">
        <v>2</v>
      </c>
      <c r="D72" s="325" t="s">
        <v>37</v>
      </c>
      <c r="E72" s="325" t="s">
        <v>3</v>
      </c>
      <c r="F72" s="365" t="s">
        <v>38</v>
      </c>
      <c r="G72" s="365"/>
      <c r="H72" s="365"/>
      <c r="I72" s="365"/>
      <c r="J72" s="365"/>
      <c r="K72" s="385" t="s">
        <v>58</v>
      </c>
      <c r="L72" s="386"/>
      <c r="M72" s="386"/>
      <c r="N72" s="386"/>
      <c r="O72" s="386"/>
      <c r="P72" s="386"/>
      <c r="Q72" s="386"/>
      <c r="R72" s="386"/>
      <c r="S72" s="387"/>
      <c r="T72" s="365" t="s">
        <v>49</v>
      </c>
      <c r="U72" s="365"/>
      <c r="V72" s="385" t="s">
        <v>50</v>
      </c>
      <c r="W72" s="387"/>
      <c r="X72" s="386" t="s">
        <v>51</v>
      </c>
      <c r="Y72" s="386"/>
      <c r="Z72" s="386"/>
      <c r="AA72" s="386"/>
      <c r="AB72" s="386"/>
      <c r="AC72" s="386"/>
      <c r="AD72" s="388"/>
      <c r="AF72" s="50"/>
    </row>
    <row r="73" spans="1:32" ht="33.75" customHeight="1">
      <c r="A73" s="357">
        <v>1</v>
      </c>
      <c r="B73" s="358"/>
      <c r="C73" s="327" t="s">
        <v>114</v>
      </c>
      <c r="D73" s="327"/>
      <c r="E73" s="65" t="s">
        <v>119</v>
      </c>
      <c r="F73" s="372" t="s">
        <v>118</v>
      </c>
      <c r="G73" s="373"/>
      <c r="H73" s="373"/>
      <c r="I73" s="373"/>
      <c r="J73" s="374"/>
      <c r="K73" s="375" t="s">
        <v>128</v>
      </c>
      <c r="L73" s="376"/>
      <c r="M73" s="376"/>
      <c r="N73" s="376"/>
      <c r="O73" s="376"/>
      <c r="P73" s="376"/>
      <c r="Q73" s="376"/>
      <c r="R73" s="376"/>
      <c r="S73" s="377"/>
      <c r="T73" s="378">
        <v>43675</v>
      </c>
      <c r="U73" s="379"/>
      <c r="V73" s="380"/>
      <c r="W73" s="380"/>
      <c r="X73" s="381"/>
      <c r="Y73" s="381"/>
      <c r="Z73" s="381"/>
      <c r="AA73" s="381"/>
      <c r="AB73" s="381"/>
      <c r="AC73" s="381"/>
      <c r="AD73" s="382"/>
      <c r="AF73" s="50"/>
    </row>
    <row r="74" spans="1:32" ht="30" customHeight="1">
      <c r="A74" s="350">
        <f>A73+1</f>
        <v>2</v>
      </c>
      <c r="B74" s="351"/>
      <c r="C74" s="326"/>
      <c r="D74" s="326"/>
      <c r="E74" s="32"/>
      <c r="F74" s="351"/>
      <c r="G74" s="351"/>
      <c r="H74" s="351"/>
      <c r="I74" s="351"/>
      <c r="J74" s="351"/>
      <c r="K74" s="366"/>
      <c r="L74" s="367"/>
      <c r="M74" s="367"/>
      <c r="N74" s="367"/>
      <c r="O74" s="367"/>
      <c r="P74" s="367"/>
      <c r="Q74" s="367"/>
      <c r="R74" s="367"/>
      <c r="S74" s="368"/>
      <c r="T74" s="369"/>
      <c r="U74" s="369"/>
      <c r="V74" s="369"/>
      <c r="W74" s="369"/>
      <c r="X74" s="370"/>
      <c r="Y74" s="370"/>
      <c r="Z74" s="370"/>
      <c r="AA74" s="370"/>
      <c r="AB74" s="370"/>
      <c r="AC74" s="370"/>
      <c r="AD74" s="371"/>
      <c r="AF74" s="50"/>
    </row>
    <row r="75" spans="1:32" ht="30" customHeight="1">
      <c r="A75" s="350">
        <f t="shared" ref="A75:A81" si="14">A74+1</f>
        <v>3</v>
      </c>
      <c r="B75" s="351"/>
      <c r="C75" s="326"/>
      <c r="D75" s="326"/>
      <c r="E75" s="32"/>
      <c r="F75" s="351"/>
      <c r="G75" s="351"/>
      <c r="H75" s="351"/>
      <c r="I75" s="351"/>
      <c r="J75" s="351"/>
      <c r="K75" s="366"/>
      <c r="L75" s="367"/>
      <c r="M75" s="367"/>
      <c r="N75" s="367"/>
      <c r="O75" s="367"/>
      <c r="P75" s="367"/>
      <c r="Q75" s="367"/>
      <c r="R75" s="367"/>
      <c r="S75" s="368"/>
      <c r="T75" s="369"/>
      <c r="U75" s="369"/>
      <c r="V75" s="369"/>
      <c r="W75" s="369"/>
      <c r="X75" s="370"/>
      <c r="Y75" s="370"/>
      <c r="Z75" s="370"/>
      <c r="AA75" s="370"/>
      <c r="AB75" s="370"/>
      <c r="AC75" s="370"/>
      <c r="AD75" s="371"/>
      <c r="AF75" s="50"/>
    </row>
    <row r="76" spans="1:32" ht="30" customHeight="1">
      <c r="A76" s="350">
        <f t="shared" si="14"/>
        <v>4</v>
      </c>
      <c r="B76" s="351"/>
      <c r="C76" s="326"/>
      <c r="D76" s="326"/>
      <c r="E76" s="32"/>
      <c r="F76" s="351"/>
      <c r="G76" s="351"/>
      <c r="H76" s="351"/>
      <c r="I76" s="351"/>
      <c r="J76" s="351"/>
      <c r="K76" s="366"/>
      <c r="L76" s="367"/>
      <c r="M76" s="367"/>
      <c r="N76" s="367"/>
      <c r="O76" s="367"/>
      <c r="P76" s="367"/>
      <c r="Q76" s="367"/>
      <c r="R76" s="367"/>
      <c r="S76" s="368"/>
      <c r="T76" s="369"/>
      <c r="U76" s="369"/>
      <c r="V76" s="369"/>
      <c r="W76" s="369"/>
      <c r="X76" s="370"/>
      <c r="Y76" s="370"/>
      <c r="Z76" s="370"/>
      <c r="AA76" s="370"/>
      <c r="AB76" s="370"/>
      <c r="AC76" s="370"/>
      <c r="AD76" s="371"/>
      <c r="AF76" s="50"/>
    </row>
    <row r="77" spans="1:32" ht="30" customHeight="1">
      <c r="A77" s="350">
        <f t="shared" si="14"/>
        <v>5</v>
      </c>
      <c r="B77" s="351"/>
      <c r="C77" s="326"/>
      <c r="D77" s="326"/>
      <c r="E77" s="32"/>
      <c r="F77" s="351"/>
      <c r="G77" s="351"/>
      <c r="H77" s="351"/>
      <c r="I77" s="351"/>
      <c r="J77" s="351"/>
      <c r="K77" s="366"/>
      <c r="L77" s="367"/>
      <c r="M77" s="367"/>
      <c r="N77" s="367"/>
      <c r="O77" s="367"/>
      <c r="P77" s="367"/>
      <c r="Q77" s="367"/>
      <c r="R77" s="367"/>
      <c r="S77" s="368"/>
      <c r="T77" s="369"/>
      <c r="U77" s="369"/>
      <c r="V77" s="369"/>
      <c r="W77" s="369"/>
      <c r="X77" s="370"/>
      <c r="Y77" s="370"/>
      <c r="Z77" s="370"/>
      <c r="AA77" s="370"/>
      <c r="AB77" s="370"/>
      <c r="AC77" s="370"/>
      <c r="AD77" s="371"/>
      <c r="AF77" s="50"/>
    </row>
    <row r="78" spans="1:32" ht="30" customHeight="1">
      <c r="A78" s="350">
        <f t="shared" si="14"/>
        <v>6</v>
      </c>
      <c r="B78" s="351"/>
      <c r="C78" s="326"/>
      <c r="D78" s="326"/>
      <c r="E78" s="32"/>
      <c r="F78" s="351"/>
      <c r="G78" s="351"/>
      <c r="H78" s="351"/>
      <c r="I78" s="351"/>
      <c r="J78" s="351"/>
      <c r="K78" s="366"/>
      <c r="L78" s="367"/>
      <c r="M78" s="367"/>
      <c r="N78" s="367"/>
      <c r="O78" s="367"/>
      <c r="P78" s="367"/>
      <c r="Q78" s="367"/>
      <c r="R78" s="367"/>
      <c r="S78" s="368"/>
      <c r="T78" s="369"/>
      <c r="U78" s="369"/>
      <c r="V78" s="369"/>
      <c r="W78" s="369"/>
      <c r="X78" s="370"/>
      <c r="Y78" s="370"/>
      <c r="Z78" s="370"/>
      <c r="AA78" s="370"/>
      <c r="AB78" s="370"/>
      <c r="AC78" s="370"/>
      <c r="AD78" s="371"/>
      <c r="AF78" s="50"/>
    </row>
    <row r="79" spans="1:32" ht="30" customHeight="1">
      <c r="A79" s="350">
        <f t="shared" si="14"/>
        <v>7</v>
      </c>
      <c r="B79" s="351"/>
      <c r="C79" s="326"/>
      <c r="D79" s="326"/>
      <c r="E79" s="32"/>
      <c r="F79" s="351"/>
      <c r="G79" s="351"/>
      <c r="H79" s="351"/>
      <c r="I79" s="351"/>
      <c r="J79" s="351"/>
      <c r="K79" s="366"/>
      <c r="L79" s="367"/>
      <c r="M79" s="367"/>
      <c r="N79" s="367"/>
      <c r="O79" s="367"/>
      <c r="P79" s="367"/>
      <c r="Q79" s="367"/>
      <c r="R79" s="367"/>
      <c r="S79" s="368"/>
      <c r="T79" s="369"/>
      <c r="U79" s="369"/>
      <c r="V79" s="369"/>
      <c r="W79" s="369"/>
      <c r="X79" s="370"/>
      <c r="Y79" s="370"/>
      <c r="Z79" s="370"/>
      <c r="AA79" s="370"/>
      <c r="AB79" s="370"/>
      <c r="AC79" s="370"/>
      <c r="AD79" s="371"/>
      <c r="AF79" s="50"/>
    </row>
    <row r="80" spans="1:32" ht="30" customHeight="1">
      <c r="A80" s="350">
        <f t="shared" si="14"/>
        <v>8</v>
      </c>
      <c r="B80" s="351"/>
      <c r="C80" s="326"/>
      <c r="D80" s="326"/>
      <c r="E80" s="32"/>
      <c r="F80" s="351"/>
      <c r="G80" s="351"/>
      <c r="H80" s="351"/>
      <c r="I80" s="351"/>
      <c r="J80" s="351"/>
      <c r="K80" s="366"/>
      <c r="L80" s="367"/>
      <c r="M80" s="367"/>
      <c r="N80" s="367"/>
      <c r="O80" s="367"/>
      <c r="P80" s="367"/>
      <c r="Q80" s="367"/>
      <c r="R80" s="367"/>
      <c r="S80" s="368"/>
      <c r="T80" s="369"/>
      <c r="U80" s="369"/>
      <c r="V80" s="369"/>
      <c r="W80" s="369"/>
      <c r="X80" s="370"/>
      <c r="Y80" s="370"/>
      <c r="Z80" s="370"/>
      <c r="AA80" s="370"/>
      <c r="AB80" s="370"/>
      <c r="AC80" s="370"/>
      <c r="AD80" s="371"/>
      <c r="AF80" s="50"/>
    </row>
    <row r="81" spans="1:32" ht="30" customHeight="1">
      <c r="A81" s="350">
        <f t="shared" si="14"/>
        <v>9</v>
      </c>
      <c r="B81" s="351"/>
      <c r="C81" s="326"/>
      <c r="D81" s="326"/>
      <c r="E81" s="32"/>
      <c r="F81" s="351"/>
      <c r="G81" s="351"/>
      <c r="H81" s="351"/>
      <c r="I81" s="351"/>
      <c r="J81" s="351"/>
      <c r="K81" s="366"/>
      <c r="L81" s="367"/>
      <c r="M81" s="367"/>
      <c r="N81" s="367"/>
      <c r="O81" s="367"/>
      <c r="P81" s="367"/>
      <c r="Q81" s="367"/>
      <c r="R81" s="367"/>
      <c r="S81" s="368"/>
      <c r="T81" s="369"/>
      <c r="U81" s="369"/>
      <c r="V81" s="369"/>
      <c r="W81" s="369"/>
      <c r="X81" s="370"/>
      <c r="Y81" s="370"/>
      <c r="Z81" s="370"/>
      <c r="AA81" s="370"/>
      <c r="AB81" s="370"/>
      <c r="AC81" s="370"/>
      <c r="AD81" s="371"/>
      <c r="AF81" s="50"/>
    </row>
    <row r="82" spans="1:32" ht="36" thickBot="1">
      <c r="A82" s="363" t="s">
        <v>574</v>
      </c>
      <c r="B82" s="363"/>
      <c r="C82" s="363"/>
      <c r="D82" s="363"/>
      <c r="E82" s="363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64" t="s">
        <v>113</v>
      </c>
      <c r="B83" s="365"/>
      <c r="C83" s="355" t="s">
        <v>52</v>
      </c>
      <c r="D83" s="355"/>
      <c r="E83" s="355" t="s">
        <v>53</v>
      </c>
      <c r="F83" s="355"/>
      <c r="G83" s="355"/>
      <c r="H83" s="355"/>
      <c r="I83" s="355"/>
      <c r="J83" s="355"/>
      <c r="K83" s="355" t="s">
        <v>54</v>
      </c>
      <c r="L83" s="355"/>
      <c r="M83" s="355"/>
      <c r="N83" s="355"/>
      <c r="O83" s="355"/>
      <c r="P83" s="355"/>
      <c r="Q83" s="355"/>
      <c r="R83" s="355"/>
      <c r="S83" s="355"/>
      <c r="T83" s="355" t="s">
        <v>55</v>
      </c>
      <c r="U83" s="355"/>
      <c r="V83" s="355" t="s">
        <v>56</v>
      </c>
      <c r="W83" s="355"/>
      <c r="X83" s="355"/>
      <c r="Y83" s="355" t="s">
        <v>51</v>
      </c>
      <c r="Z83" s="355"/>
      <c r="AA83" s="355"/>
      <c r="AB83" s="355"/>
      <c r="AC83" s="355"/>
      <c r="AD83" s="356"/>
      <c r="AF83" s="50"/>
    </row>
    <row r="84" spans="1:32" ht="30.75" customHeight="1">
      <c r="A84" s="357">
        <v>1</v>
      </c>
      <c r="B84" s="358"/>
      <c r="C84" s="359"/>
      <c r="D84" s="359"/>
      <c r="E84" s="359"/>
      <c r="F84" s="359"/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/>
      <c r="R84" s="359"/>
      <c r="S84" s="359"/>
      <c r="T84" s="359"/>
      <c r="U84" s="359"/>
      <c r="V84" s="360"/>
      <c r="W84" s="360"/>
      <c r="X84" s="360"/>
      <c r="Y84" s="361"/>
      <c r="Z84" s="361"/>
      <c r="AA84" s="361"/>
      <c r="AB84" s="361"/>
      <c r="AC84" s="361"/>
      <c r="AD84" s="362"/>
      <c r="AF84" s="50"/>
    </row>
    <row r="85" spans="1:32" ht="30.75" customHeight="1">
      <c r="A85" s="350">
        <v>2</v>
      </c>
      <c r="B85" s="351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3"/>
      <c r="U85" s="353"/>
      <c r="V85" s="354"/>
      <c r="W85" s="354"/>
      <c r="X85" s="354"/>
      <c r="Y85" s="343"/>
      <c r="Z85" s="343"/>
      <c r="AA85" s="343"/>
      <c r="AB85" s="343"/>
      <c r="AC85" s="343"/>
      <c r="AD85" s="344"/>
      <c r="AF85" s="50"/>
    </row>
    <row r="86" spans="1:32" ht="30.75" customHeight="1" thickBot="1">
      <c r="A86" s="345">
        <v>3</v>
      </c>
      <c r="B86" s="346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8"/>
      <c r="Z86" s="348"/>
      <c r="AA86" s="348"/>
      <c r="AB86" s="348"/>
      <c r="AC86" s="348"/>
      <c r="AD86" s="349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8CBE-F46D-4263-9DA6-47CEDC1E588C}">
  <dimension ref="A1:AF87"/>
  <sheetViews>
    <sheetView tabSelected="1" zoomScale="72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58" t="s">
        <v>575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8"/>
      <c r="B2" s="458"/>
      <c r="C2" s="458"/>
      <c r="D2" s="458"/>
      <c r="E2" s="458"/>
      <c r="F2" s="458"/>
      <c r="G2" s="458"/>
      <c r="H2" s="458"/>
      <c r="I2" s="458"/>
      <c r="J2" s="458"/>
      <c r="K2" s="458"/>
      <c r="L2" s="458"/>
      <c r="M2" s="458"/>
      <c r="N2" s="458"/>
      <c r="O2" s="45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9"/>
      <c r="B3" s="459"/>
      <c r="C3" s="459"/>
      <c r="D3" s="459"/>
      <c r="E3" s="459"/>
      <c r="F3" s="459"/>
      <c r="G3" s="45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0" t="s">
        <v>0</v>
      </c>
      <c r="B4" s="462" t="s">
        <v>1</v>
      </c>
      <c r="C4" s="462" t="s">
        <v>2</v>
      </c>
      <c r="D4" s="465" t="s">
        <v>3</v>
      </c>
      <c r="E4" s="467" t="s">
        <v>4</v>
      </c>
      <c r="F4" s="465" t="s">
        <v>5</v>
      </c>
      <c r="G4" s="462" t="s">
        <v>6</v>
      </c>
      <c r="H4" s="468" t="s">
        <v>7</v>
      </c>
      <c r="I4" s="448" t="s">
        <v>8</v>
      </c>
      <c r="J4" s="449"/>
      <c r="K4" s="449"/>
      <c r="L4" s="449"/>
      <c r="M4" s="449"/>
      <c r="N4" s="449"/>
      <c r="O4" s="450"/>
      <c r="P4" s="451" t="s">
        <v>9</v>
      </c>
      <c r="Q4" s="452"/>
      <c r="R4" s="453" t="s">
        <v>10</v>
      </c>
      <c r="S4" s="453"/>
      <c r="T4" s="453"/>
      <c r="U4" s="453"/>
      <c r="V4" s="453"/>
      <c r="W4" s="454" t="s">
        <v>11</v>
      </c>
      <c r="X4" s="453"/>
      <c r="Y4" s="453"/>
      <c r="Z4" s="453"/>
      <c r="AA4" s="455"/>
      <c r="AB4" s="456" t="s">
        <v>12</v>
      </c>
      <c r="AC4" s="429" t="s">
        <v>13</v>
      </c>
      <c r="AD4" s="429" t="s">
        <v>14</v>
      </c>
      <c r="AE4" s="54"/>
    </row>
    <row r="5" spans="1:32" ht="51" customHeight="1" thickBot="1">
      <c r="A5" s="461"/>
      <c r="B5" s="463"/>
      <c r="C5" s="464"/>
      <c r="D5" s="466"/>
      <c r="E5" s="466"/>
      <c r="F5" s="466"/>
      <c r="G5" s="463"/>
      <c r="H5" s="469"/>
      <c r="I5" s="55" t="s">
        <v>15</v>
      </c>
      <c r="J5" s="56" t="s">
        <v>16</v>
      </c>
      <c r="K5" s="330" t="s">
        <v>17</v>
      </c>
      <c r="L5" s="330" t="s">
        <v>18</v>
      </c>
      <c r="M5" s="330" t="s">
        <v>19</v>
      </c>
      <c r="N5" s="33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57"/>
      <c r="AC5" s="430"/>
      <c r="AD5" s="43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>$AD$22</f>
        <v>0.31944444444444448</v>
      </c>
      <c r="AF6" s="87">
        <f t="shared" ref="AF6:AF21" si="8">A6</f>
        <v>1</v>
      </c>
    </row>
    <row r="7" spans="1:32" ht="27" customHeight="1">
      <c r="A7" s="101">
        <v>2</v>
      </c>
      <c r="B7" s="11" t="s">
        <v>57</v>
      </c>
      <c r="C7" s="34" t="s">
        <v>126</v>
      </c>
      <c r="D7" s="52" t="s">
        <v>127</v>
      </c>
      <c r="E7" s="53" t="s">
        <v>125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>$AD$22</f>
        <v>0.31944444444444448</v>
      </c>
      <c r="AF7" s="87">
        <f t="shared" si="8"/>
        <v>2</v>
      </c>
    </row>
    <row r="8" spans="1:32" ht="27" customHeight="1">
      <c r="A8" s="102">
        <v>3</v>
      </c>
      <c r="B8" s="11" t="s">
        <v>57</v>
      </c>
      <c r="C8" s="11" t="s">
        <v>126</v>
      </c>
      <c r="D8" s="52" t="s">
        <v>119</v>
      </c>
      <c r="E8" s="53" t="s">
        <v>379</v>
      </c>
      <c r="F8" s="30" t="s">
        <v>138</v>
      </c>
      <c r="G8" s="33">
        <v>1</v>
      </c>
      <c r="H8" s="35">
        <v>24</v>
      </c>
      <c r="I8" s="7">
        <v>2000</v>
      </c>
      <c r="J8" s="14">
        <v>3138</v>
      </c>
      <c r="K8" s="15">
        <f>L8+3138</f>
        <v>3138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>$AD$22</f>
        <v>0.31944444444444448</v>
      </c>
      <c r="AF8" s="87">
        <f t="shared" si="8"/>
        <v>3</v>
      </c>
    </row>
    <row r="9" spans="1:32" ht="27" customHeight="1">
      <c r="A9" s="103">
        <v>4</v>
      </c>
      <c r="B9" s="11" t="s">
        <v>57</v>
      </c>
      <c r="C9" s="11" t="s">
        <v>123</v>
      </c>
      <c r="D9" s="52" t="s">
        <v>218</v>
      </c>
      <c r="E9" s="53" t="s">
        <v>521</v>
      </c>
      <c r="F9" s="30" t="s">
        <v>124</v>
      </c>
      <c r="G9" s="33">
        <v>1</v>
      </c>
      <c r="H9" s="35">
        <v>24</v>
      </c>
      <c r="I9" s="7">
        <v>2300</v>
      </c>
      <c r="J9" s="14">
        <v>4351</v>
      </c>
      <c r="K9" s="15">
        <f>L9+788+3162</f>
        <v>8301</v>
      </c>
      <c r="L9" s="15">
        <f>2016+2335</f>
        <v>4351</v>
      </c>
      <c r="M9" s="15">
        <f t="shared" si="1"/>
        <v>4351</v>
      </c>
      <c r="N9" s="15">
        <v>0</v>
      </c>
      <c r="O9" s="58">
        <f t="shared" si="2"/>
        <v>0</v>
      </c>
      <c r="P9" s="39">
        <f t="shared" si="3"/>
        <v>23</v>
      </c>
      <c r="Q9" s="40">
        <f t="shared" si="4"/>
        <v>1</v>
      </c>
      <c r="R9" s="7"/>
      <c r="S9" s="6">
        <v>1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0.95833333333333337</v>
      </c>
      <c r="AD9" s="10">
        <f t="shared" si="7"/>
        <v>0.95833333333333337</v>
      </c>
      <c r="AE9" s="36">
        <f>$AD$22</f>
        <v>0.31944444444444448</v>
      </c>
      <c r="AF9" s="87">
        <f t="shared" si="8"/>
        <v>4</v>
      </c>
    </row>
    <row r="10" spans="1:32" ht="27" customHeight="1">
      <c r="A10" s="103">
        <v>5</v>
      </c>
      <c r="B10" s="11" t="s">
        <v>57</v>
      </c>
      <c r="C10" s="34" t="s">
        <v>123</v>
      </c>
      <c r="D10" s="52" t="s">
        <v>218</v>
      </c>
      <c r="E10" s="53" t="s">
        <v>576</v>
      </c>
      <c r="F10" s="30" t="s">
        <v>124</v>
      </c>
      <c r="G10" s="33">
        <v>1</v>
      </c>
      <c r="H10" s="35">
        <v>24</v>
      </c>
      <c r="I10" s="7">
        <v>1000</v>
      </c>
      <c r="J10" s="5">
        <v>1151</v>
      </c>
      <c r="K10" s="15">
        <f>L10</f>
        <v>1151</v>
      </c>
      <c r="L10" s="15">
        <v>1151</v>
      </c>
      <c r="M10" s="15">
        <f t="shared" si="1"/>
        <v>1151</v>
      </c>
      <c r="N10" s="15">
        <v>0</v>
      </c>
      <c r="O10" s="58">
        <f t="shared" si="2"/>
        <v>0</v>
      </c>
      <c r="P10" s="39">
        <f t="shared" si="3"/>
        <v>6</v>
      </c>
      <c r="Q10" s="40">
        <f t="shared" si="4"/>
        <v>18</v>
      </c>
      <c r="R10" s="7"/>
      <c r="S10" s="6"/>
      <c r="T10" s="16"/>
      <c r="U10" s="16"/>
      <c r="V10" s="17"/>
      <c r="W10" s="5">
        <v>18</v>
      </c>
      <c r="X10" s="16"/>
      <c r="Y10" s="16"/>
      <c r="Z10" s="16"/>
      <c r="AA10" s="18"/>
      <c r="AB10" s="8">
        <f t="shared" si="5"/>
        <v>1</v>
      </c>
      <c r="AC10" s="9">
        <f t="shared" si="6"/>
        <v>0.25</v>
      </c>
      <c r="AD10" s="10">
        <f>AC10*AB10*(1-O10)</f>
        <v>0.25</v>
      </c>
      <c r="AE10" s="36">
        <f>$AD$22</f>
        <v>0.31944444444444448</v>
      </c>
      <c r="AF10" s="87">
        <f t="shared" si="8"/>
        <v>5</v>
      </c>
    </row>
    <row r="11" spans="1:32" ht="27" customHeight="1">
      <c r="A11" s="103">
        <v>6</v>
      </c>
      <c r="B11" s="11" t="s">
        <v>57</v>
      </c>
      <c r="C11" s="34" t="s">
        <v>131</v>
      </c>
      <c r="D11" s="52" t="s">
        <v>117</v>
      </c>
      <c r="E11" s="53" t="s">
        <v>502</v>
      </c>
      <c r="F11" s="30" t="s">
        <v>280</v>
      </c>
      <c r="G11" s="33">
        <v>1</v>
      </c>
      <c r="H11" s="35">
        <v>24</v>
      </c>
      <c r="I11" s="7">
        <v>2500</v>
      </c>
      <c r="J11" s="5">
        <v>1872</v>
      </c>
      <c r="K11" s="15">
        <f>L11+2645</f>
        <v>4517</v>
      </c>
      <c r="L11" s="15">
        <v>1872</v>
      </c>
      <c r="M11" s="15">
        <f t="shared" si="1"/>
        <v>1872</v>
      </c>
      <c r="N11" s="15">
        <v>0</v>
      </c>
      <c r="O11" s="58">
        <f t="shared" si="2"/>
        <v>0</v>
      </c>
      <c r="P11" s="39">
        <f t="shared" si="3"/>
        <v>8</v>
      </c>
      <c r="Q11" s="40">
        <f t="shared" si="4"/>
        <v>16</v>
      </c>
      <c r="R11" s="7"/>
      <c r="S11" s="6"/>
      <c r="T11" s="16"/>
      <c r="U11" s="16"/>
      <c r="V11" s="17"/>
      <c r="W11" s="5">
        <v>16</v>
      </c>
      <c r="X11" s="16"/>
      <c r="Y11" s="16"/>
      <c r="Z11" s="16"/>
      <c r="AA11" s="18"/>
      <c r="AB11" s="8">
        <f t="shared" si="5"/>
        <v>1</v>
      </c>
      <c r="AC11" s="9">
        <f t="shared" si="6"/>
        <v>0.33333333333333331</v>
      </c>
      <c r="AD11" s="10">
        <f>AC11*AB11*(1-O11)</f>
        <v>0.33333333333333331</v>
      </c>
      <c r="AE11" s="36">
        <f>$AD$22</f>
        <v>0.31944444444444448</v>
      </c>
      <c r="AF11" s="87">
        <f t="shared" si="8"/>
        <v>6</v>
      </c>
    </row>
    <row r="12" spans="1:32" ht="27" customHeight="1">
      <c r="A12" s="103">
        <v>6</v>
      </c>
      <c r="B12" s="11" t="s">
        <v>57</v>
      </c>
      <c r="C12" s="34" t="s">
        <v>123</v>
      </c>
      <c r="D12" s="52" t="s">
        <v>577</v>
      </c>
      <c r="E12" s="53" t="s">
        <v>578</v>
      </c>
      <c r="F12" s="30" t="s">
        <v>579</v>
      </c>
      <c r="G12" s="33">
        <v>10</v>
      </c>
      <c r="H12" s="35">
        <v>24</v>
      </c>
      <c r="I12" s="7">
        <v>35000</v>
      </c>
      <c r="J12" s="5">
        <v>21090</v>
      </c>
      <c r="K12" s="15">
        <f>L12</f>
        <v>21090</v>
      </c>
      <c r="L12" s="15">
        <f>2109*10</f>
        <v>21090</v>
      </c>
      <c r="M12" s="15">
        <f t="shared" ref="M12" si="9">L12-N12</f>
        <v>21090</v>
      </c>
      <c r="N12" s="15">
        <v>0</v>
      </c>
      <c r="O12" s="58">
        <f t="shared" ref="O12" si="10">IF(L12=0,"0",N12/L12)</f>
        <v>0</v>
      </c>
      <c r="P12" s="39">
        <f t="shared" ref="P12" si="11">IF(L12=0,"0",(24-Q12))</f>
        <v>12</v>
      </c>
      <c r="Q12" s="40">
        <f t="shared" ref="Q12" si="12">SUM(R12:AA12)</f>
        <v>12</v>
      </c>
      <c r="R12" s="7"/>
      <c r="S12" s="6"/>
      <c r="T12" s="16">
        <v>12</v>
      </c>
      <c r="U12" s="16"/>
      <c r="V12" s="17"/>
      <c r="W12" s="5"/>
      <c r="X12" s="16"/>
      <c r="Y12" s="16"/>
      <c r="Z12" s="16"/>
      <c r="AA12" s="18"/>
      <c r="AB12" s="8">
        <f t="shared" ref="AB12" si="13">IF(J12=0,"0",(L12/J12))</f>
        <v>1</v>
      </c>
      <c r="AC12" s="9">
        <f t="shared" ref="AC12" si="14">IF(P12=0,"0",(P12/24))</f>
        <v>0.5</v>
      </c>
      <c r="AD12" s="10">
        <f>AC12*AB12*(1-O12)</f>
        <v>0.5</v>
      </c>
      <c r="AE12" s="36">
        <f>$AD$22</f>
        <v>0.31944444444444448</v>
      </c>
      <c r="AF12" s="87">
        <f t="shared" ref="AF12" si="15">A12</f>
        <v>6</v>
      </c>
    </row>
    <row r="13" spans="1:32" ht="27" customHeight="1">
      <c r="A13" s="103">
        <v>7</v>
      </c>
      <c r="B13" s="11" t="s">
        <v>57</v>
      </c>
      <c r="C13" s="11" t="s">
        <v>123</v>
      </c>
      <c r="D13" s="52" t="s">
        <v>117</v>
      </c>
      <c r="E13" s="53" t="s">
        <v>522</v>
      </c>
      <c r="F13" s="30" t="s">
        <v>121</v>
      </c>
      <c r="G13" s="33">
        <v>1</v>
      </c>
      <c r="H13" s="35">
        <v>24</v>
      </c>
      <c r="I13" s="7">
        <v>2300</v>
      </c>
      <c r="J13" s="14">
        <v>2101</v>
      </c>
      <c r="K13" s="15">
        <f>L13+2715</f>
        <v>4816</v>
      </c>
      <c r="L13" s="15">
        <f>876+1225</f>
        <v>2101</v>
      </c>
      <c r="M13" s="15">
        <f t="shared" si="1"/>
        <v>2101</v>
      </c>
      <c r="N13" s="15">
        <v>0</v>
      </c>
      <c r="O13" s="58">
        <f t="shared" si="2"/>
        <v>0</v>
      </c>
      <c r="P13" s="39">
        <f t="shared" si="3"/>
        <v>11</v>
      </c>
      <c r="Q13" s="40">
        <f t="shared" si="4"/>
        <v>13</v>
      </c>
      <c r="R13" s="7"/>
      <c r="S13" s="6">
        <v>13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0.45833333333333331</v>
      </c>
      <c r="AD13" s="10">
        <f t="shared" ref="AD13:AD15" si="16">AC13*AB13*(1-O13)</f>
        <v>0.45833333333333331</v>
      </c>
      <c r="AE13" s="36">
        <f>$AD$22</f>
        <v>0.31944444444444448</v>
      </c>
      <c r="AF13" s="87">
        <f t="shared" si="8"/>
        <v>7</v>
      </c>
    </row>
    <row r="14" spans="1:32" ht="27" customHeight="1">
      <c r="A14" s="103">
        <v>8</v>
      </c>
      <c r="B14" s="11" t="s">
        <v>57</v>
      </c>
      <c r="C14" s="11" t="s">
        <v>126</v>
      </c>
      <c r="D14" s="52" t="s">
        <v>117</v>
      </c>
      <c r="E14" s="53" t="s">
        <v>143</v>
      </c>
      <c r="F14" s="30" t="s">
        <v>138</v>
      </c>
      <c r="G14" s="33">
        <v>4</v>
      </c>
      <c r="H14" s="35">
        <v>24</v>
      </c>
      <c r="I14" s="7">
        <v>850000</v>
      </c>
      <c r="J14" s="14">
        <v>19416</v>
      </c>
      <c r="K14" s="15">
        <f>L14+20676+20704+882+19912+11748+21560+18812+17048+21840+19920+21784+15116+10164+22344+20496+22064+21048+11316+20640+15348+14500+19708+20564+19264</f>
        <v>446874</v>
      </c>
      <c r="L14" s="15">
        <f>2527*4+2327*4</f>
        <v>19416</v>
      </c>
      <c r="M14" s="15">
        <f t="shared" si="1"/>
        <v>19416</v>
      </c>
      <c r="N14" s="15">
        <v>0</v>
      </c>
      <c r="O14" s="58">
        <f t="shared" si="2"/>
        <v>0</v>
      </c>
      <c r="P14" s="39">
        <f t="shared" si="3"/>
        <v>24</v>
      </c>
      <c r="Q14" s="40">
        <f t="shared" si="4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5"/>
        <v>1</v>
      </c>
      <c r="AC14" s="9">
        <f t="shared" si="6"/>
        <v>1</v>
      </c>
      <c r="AD14" s="10">
        <f t="shared" si="16"/>
        <v>1</v>
      </c>
      <c r="AE14" s="36">
        <f>$AD$22</f>
        <v>0.31944444444444448</v>
      </c>
      <c r="AF14" s="87">
        <f t="shared" si="8"/>
        <v>8</v>
      </c>
    </row>
    <row r="15" spans="1:32" ht="27" customHeight="1">
      <c r="A15" s="118">
        <v>9</v>
      </c>
      <c r="B15" s="11" t="s">
        <v>57</v>
      </c>
      <c r="C15" s="34" t="s">
        <v>126</v>
      </c>
      <c r="D15" s="52" t="s">
        <v>454</v>
      </c>
      <c r="E15" s="53"/>
      <c r="F15" s="30" t="s">
        <v>138</v>
      </c>
      <c r="G15" s="33" t="s">
        <v>157</v>
      </c>
      <c r="H15" s="35">
        <v>24</v>
      </c>
      <c r="I15" s="7">
        <v>1050</v>
      </c>
      <c r="J15" s="5">
        <v>2132</v>
      </c>
      <c r="K15" s="15">
        <f>L15+2132</f>
        <v>2132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16"/>
        <v>0</v>
      </c>
      <c r="AE15" s="36">
        <f>$AD$22</f>
        <v>0.31944444444444448</v>
      </c>
      <c r="AF15" s="87">
        <f t="shared" si="8"/>
        <v>9</v>
      </c>
    </row>
    <row r="16" spans="1:32" ht="27" customHeight="1">
      <c r="A16" s="102">
        <v>10</v>
      </c>
      <c r="B16" s="11" t="s">
        <v>57</v>
      </c>
      <c r="C16" s="34" t="s">
        <v>126</v>
      </c>
      <c r="D16" s="52"/>
      <c r="E16" s="53" t="s">
        <v>531</v>
      </c>
      <c r="F16" s="12" t="s">
        <v>532</v>
      </c>
      <c r="G16" s="12">
        <v>4</v>
      </c>
      <c r="H16" s="13">
        <v>24</v>
      </c>
      <c r="I16" s="31">
        <v>50000</v>
      </c>
      <c r="J16" s="14">
        <v>21160</v>
      </c>
      <c r="K16" s="15">
        <f>L16+16532+27888+21160</f>
        <v>65580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>
        <v>24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>$AD$22</f>
        <v>0.31944444444444448</v>
      </c>
      <c r="AF16" s="87">
        <f t="shared" si="8"/>
        <v>10</v>
      </c>
    </row>
    <row r="17" spans="1:32" ht="30" customHeight="1">
      <c r="A17" s="102">
        <v>11</v>
      </c>
      <c r="B17" s="11" t="s">
        <v>57</v>
      </c>
      <c r="C17" s="34" t="s">
        <v>123</v>
      </c>
      <c r="D17" s="52" t="s">
        <v>335</v>
      </c>
      <c r="E17" s="53" t="s">
        <v>580</v>
      </c>
      <c r="F17" s="30" t="s">
        <v>140</v>
      </c>
      <c r="G17" s="12">
        <v>1</v>
      </c>
      <c r="H17" s="13">
        <v>28</v>
      </c>
      <c r="I17" s="7">
        <v>1000</v>
      </c>
      <c r="J17" s="14">
        <v>1049</v>
      </c>
      <c r="K17" s="15">
        <f>L17</f>
        <v>1049</v>
      </c>
      <c r="L17" s="15">
        <v>1049</v>
      </c>
      <c r="M17" s="15">
        <f t="shared" si="1"/>
        <v>1049</v>
      </c>
      <c r="N17" s="15">
        <v>0</v>
      </c>
      <c r="O17" s="58">
        <f t="shared" si="2"/>
        <v>0</v>
      </c>
      <c r="P17" s="39">
        <f t="shared" si="3"/>
        <v>7</v>
      </c>
      <c r="Q17" s="40">
        <f t="shared" si="4"/>
        <v>17</v>
      </c>
      <c r="R17" s="7"/>
      <c r="S17" s="6">
        <v>2</v>
      </c>
      <c r="T17" s="16"/>
      <c r="U17" s="16"/>
      <c r="V17" s="17"/>
      <c r="W17" s="5">
        <v>15</v>
      </c>
      <c r="X17" s="16"/>
      <c r="Y17" s="16"/>
      <c r="Z17" s="16"/>
      <c r="AA17" s="18"/>
      <c r="AB17" s="8">
        <f t="shared" si="5"/>
        <v>1</v>
      </c>
      <c r="AC17" s="9">
        <f t="shared" si="6"/>
        <v>0.29166666666666669</v>
      </c>
      <c r="AD17" s="10">
        <f t="shared" si="7"/>
        <v>0.29166666666666669</v>
      </c>
      <c r="AE17" s="36">
        <f>$AD$22</f>
        <v>0.31944444444444448</v>
      </c>
      <c r="AF17" s="87">
        <f t="shared" si="8"/>
        <v>11</v>
      </c>
    </row>
    <row r="18" spans="1:32" ht="27" customHeight="1">
      <c r="A18" s="102">
        <v>12</v>
      </c>
      <c r="B18" s="11" t="s">
        <v>57</v>
      </c>
      <c r="C18" s="34" t="s">
        <v>131</v>
      </c>
      <c r="D18" s="52" t="s">
        <v>141</v>
      </c>
      <c r="E18" s="53" t="s">
        <v>504</v>
      </c>
      <c r="F18" s="30" t="s">
        <v>505</v>
      </c>
      <c r="G18" s="33">
        <v>1</v>
      </c>
      <c r="H18" s="35">
        <v>24</v>
      </c>
      <c r="I18" s="7">
        <v>2500</v>
      </c>
      <c r="J18" s="5">
        <v>1967</v>
      </c>
      <c r="K18" s="15">
        <f>L18+2812+1967</f>
        <v>4779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>$AD$22</f>
        <v>0.31944444444444448</v>
      </c>
      <c r="AF18" s="87">
        <f t="shared" si="8"/>
        <v>12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117</v>
      </c>
      <c r="E19" s="53" t="s">
        <v>533</v>
      </c>
      <c r="F19" s="30" t="s">
        <v>132</v>
      </c>
      <c r="G19" s="33">
        <v>1</v>
      </c>
      <c r="H19" s="35">
        <v>24</v>
      </c>
      <c r="I19" s="7">
        <v>150</v>
      </c>
      <c r="J19" s="5">
        <v>253</v>
      </c>
      <c r="K19" s="15">
        <f>L19+253</f>
        <v>253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5"/>
        <v>0</v>
      </c>
      <c r="AC19" s="9">
        <f t="shared" si="6"/>
        <v>0</v>
      </c>
      <c r="AD19" s="10">
        <f>AC19*AB19*(1-O19)</f>
        <v>0</v>
      </c>
      <c r="AE19" s="36">
        <f>$AD$22</f>
        <v>0.31944444444444448</v>
      </c>
      <c r="AF19" s="87">
        <f t="shared" si="8"/>
        <v>13</v>
      </c>
    </row>
    <row r="20" spans="1:32" ht="27" customHeight="1">
      <c r="A20" s="103">
        <v>14</v>
      </c>
      <c r="B20" s="11" t="s">
        <v>57</v>
      </c>
      <c r="C20" s="11" t="s">
        <v>126</v>
      </c>
      <c r="D20" s="52" t="s">
        <v>202</v>
      </c>
      <c r="E20" s="53" t="s">
        <v>205</v>
      </c>
      <c r="F20" s="30" t="s">
        <v>138</v>
      </c>
      <c r="G20" s="33">
        <v>4</v>
      </c>
      <c r="H20" s="35">
        <v>24</v>
      </c>
      <c r="I20" s="7">
        <v>800000</v>
      </c>
      <c r="J20" s="14">
        <v>18952</v>
      </c>
      <c r="K20" s="15">
        <f>L20+12980+20160+21332+21348+21424+21388+19544+8924+20020+20460+20164+15216+19816+4440+14220+18092+19996+19760</f>
        <v>338236</v>
      </c>
      <c r="L20" s="15">
        <f>2369*4+2369*4</f>
        <v>18952</v>
      </c>
      <c r="M20" s="15">
        <f t="shared" si="1"/>
        <v>18952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 t="shared" ref="AD20" si="17">AC20*AB20*(1-O20)</f>
        <v>1</v>
      </c>
      <c r="AE20" s="36">
        <f>$AD$22</f>
        <v>0.31944444444444448</v>
      </c>
      <c r="AF20" s="87">
        <f t="shared" si="8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144</v>
      </c>
      <c r="F21" s="12" t="s">
        <v>116</v>
      </c>
      <c r="G21" s="12">
        <v>3</v>
      </c>
      <c r="H21" s="35">
        <v>20</v>
      </c>
      <c r="I21" s="7">
        <v>200000</v>
      </c>
      <c r="J21" s="14">
        <v>34300</v>
      </c>
      <c r="K21" s="15">
        <f>L21+22050+34300</f>
        <v>56350</v>
      </c>
      <c r="L21" s="15"/>
      <c r="M21" s="15">
        <f t="shared" si="1"/>
        <v>0</v>
      </c>
      <c r="N21" s="15">
        <v>0</v>
      </c>
      <c r="O21" s="58" t="str">
        <f t="shared" si="2"/>
        <v>0</v>
      </c>
      <c r="P21" s="39" t="str">
        <f t="shared" si="3"/>
        <v>0</v>
      </c>
      <c r="Q21" s="40">
        <f t="shared" si="4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5"/>
        <v>0</v>
      </c>
      <c r="AC21" s="9">
        <f t="shared" si="6"/>
        <v>0</v>
      </c>
      <c r="AD21" s="10">
        <f t="shared" si="7"/>
        <v>0</v>
      </c>
      <c r="AE21" s="36">
        <f>$AD$22</f>
        <v>0.31944444444444448</v>
      </c>
      <c r="AF21" s="87">
        <f t="shared" si="8"/>
        <v>15</v>
      </c>
    </row>
    <row r="22" spans="1:32" ht="31.5" customHeight="1" thickBot="1">
      <c r="A22" s="431" t="s">
        <v>34</v>
      </c>
      <c r="B22" s="432"/>
      <c r="C22" s="432"/>
      <c r="D22" s="432"/>
      <c r="E22" s="432"/>
      <c r="F22" s="432"/>
      <c r="G22" s="432"/>
      <c r="H22" s="433"/>
      <c r="I22" s="22">
        <f t="shared" ref="I22:N22" si="18">SUM(I6:I21)</f>
        <v>1970800</v>
      </c>
      <c r="J22" s="19">
        <f t="shared" si="18"/>
        <v>134993</v>
      </c>
      <c r="K22" s="20">
        <f t="shared" si="18"/>
        <v>969814</v>
      </c>
      <c r="L22" s="21">
        <f t="shared" si="18"/>
        <v>69982</v>
      </c>
      <c r="M22" s="20">
        <f t="shared" si="18"/>
        <v>69982</v>
      </c>
      <c r="N22" s="21">
        <f t="shared" si="18"/>
        <v>0</v>
      </c>
      <c r="O22" s="41">
        <f t="shared" si="2"/>
        <v>0</v>
      </c>
      <c r="P22" s="42">
        <f t="shared" ref="P22:AA22" si="19">SUM(P6:P21)</f>
        <v>115</v>
      </c>
      <c r="Q22" s="43">
        <f t="shared" si="19"/>
        <v>269</v>
      </c>
      <c r="R22" s="23">
        <f t="shared" si="19"/>
        <v>24</v>
      </c>
      <c r="S22" s="24">
        <f t="shared" si="19"/>
        <v>40</v>
      </c>
      <c r="T22" s="24">
        <f t="shared" si="19"/>
        <v>12</v>
      </c>
      <c r="U22" s="24">
        <f t="shared" si="19"/>
        <v>0</v>
      </c>
      <c r="V22" s="25">
        <f t="shared" si="19"/>
        <v>24</v>
      </c>
      <c r="W22" s="26">
        <f t="shared" si="19"/>
        <v>145</v>
      </c>
      <c r="X22" s="27">
        <f t="shared" si="19"/>
        <v>0</v>
      </c>
      <c r="Y22" s="27">
        <f t="shared" si="19"/>
        <v>0</v>
      </c>
      <c r="Z22" s="27">
        <f t="shared" si="19"/>
        <v>0</v>
      </c>
      <c r="AA22" s="27">
        <f t="shared" si="19"/>
        <v>24</v>
      </c>
      <c r="AB22" s="28">
        <f>SUM(AB6:AB21)/15</f>
        <v>0.53333333333333333</v>
      </c>
      <c r="AC22" s="4">
        <f>SUM(AC6:AC21)/15</f>
        <v>0.31944444444444448</v>
      </c>
      <c r="AD22" s="4">
        <f>SUM(AD6:AD21)/15</f>
        <v>0.31944444444444448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34" t="s">
        <v>45</v>
      </c>
      <c r="B49" s="434"/>
      <c r="C49" s="434"/>
      <c r="D49" s="434"/>
      <c r="E49" s="434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35" t="s">
        <v>581</v>
      </c>
      <c r="B50" s="436"/>
      <c r="C50" s="436"/>
      <c r="D50" s="436"/>
      <c r="E50" s="436"/>
      <c r="F50" s="436"/>
      <c r="G50" s="436"/>
      <c r="H50" s="436"/>
      <c r="I50" s="436"/>
      <c r="J50" s="436"/>
      <c r="K50" s="436"/>
      <c r="L50" s="436"/>
      <c r="M50" s="437"/>
      <c r="N50" s="438" t="s">
        <v>180</v>
      </c>
      <c r="O50" s="439"/>
      <c r="P50" s="439"/>
      <c r="Q50" s="439"/>
      <c r="R50" s="439"/>
      <c r="S50" s="439"/>
      <c r="T50" s="439"/>
      <c r="U50" s="439"/>
      <c r="V50" s="439"/>
      <c r="W50" s="439"/>
      <c r="X50" s="439"/>
      <c r="Y50" s="439"/>
      <c r="Z50" s="439"/>
      <c r="AA50" s="439"/>
      <c r="AB50" s="439"/>
      <c r="AC50" s="439"/>
      <c r="AD50" s="440"/>
    </row>
    <row r="51" spans="1:32" ht="27" customHeight="1">
      <c r="A51" s="441" t="s">
        <v>2</v>
      </c>
      <c r="B51" s="442"/>
      <c r="C51" s="331" t="s">
        <v>46</v>
      </c>
      <c r="D51" s="331" t="s">
        <v>47</v>
      </c>
      <c r="E51" s="331" t="s">
        <v>108</v>
      </c>
      <c r="F51" s="442" t="s">
        <v>107</v>
      </c>
      <c r="G51" s="442"/>
      <c r="H51" s="442"/>
      <c r="I51" s="442"/>
      <c r="J51" s="442"/>
      <c r="K51" s="442"/>
      <c r="L51" s="442"/>
      <c r="M51" s="443"/>
      <c r="N51" s="67" t="s">
        <v>112</v>
      </c>
      <c r="O51" s="331" t="s">
        <v>46</v>
      </c>
      <c r="P51" s="444" t="s">
        <v>47</v>
      </c>
      <c r="Q51" s="445"/>
      <c r="R51" s="444" t="s">
        <v>38</v>
      </c>
      <c r="S51" s="446"/>
      <c r="T51" s="446"/>
      <c r="U51" s="445"/>
      <c r="V51" s="444" t="s">
        <v>48</v>
      </c>
      <c r="W51" s="446"/>
      <c r="X51" s="446"/>
      <c r="Y51" s="446"/>
      <c r="Z51" s="446"/>
      <c r="AA51" s="446"/>
      <c r="AB51" s="446"/>
      <c r="AC51" s="446"/>
      <c r="AD51" s="447"/>
    </row>
    <row r="52" spans="1:32" ht="27" customHeight="1">
      <c r="A52" s="412" t="s">
        <v>123</v>
      </c>
      <c r="B52" s="413"/>
      <c r="C52" s="333" t="s">
        <v>129</v>
      </c>
      <c r="D52" s="333" t="s">
        <v>218</v>
      </c>
      <c r="E52" s="333" t="s">
        <v>521</v>
      </c>
      <c r="F52" s="414" t="s">
        <v>236</v>
      </c>
      <c r="G52" s="415"/>
      <c r="H52" s="415"/>
      <c r="I52" s="415"/>
      <c r="J52" s="415"/>
      <c r="K52" s="415"/>
      <c r="L52" s="415"/>
      <c r="M52" s="416"/>
      <c r="N52" s="332" t="s">
        <v>123</v>
      </c>
      <c r="O52" s="338" t="s">
        <v>310</v>
      </c>
      <c r="P52" s="426" t="s">
        <v>202</v>
      </c>
      <c r="Q52" s="427"/>
      <c r="R52" s="426" t="s">
        <v>583</v>
      </c>
      <c r="S52" s="428"/>
      <c r="T52" s="428"/>
      <c r="U52" s="427"/>
      <c r="V52" s="396" t="s">
        <v>343</v>
      </c>
      <c r="W52" s="396"/>
      <c r="X52" s="396"/>
      <c r="Y52" s="396"/>
      <c r="Z52" s="396"/>
      <c r="AA52" s="396"/>
      <c r="AB52" s="396"/>
      <c r="AC52" s="396"/>
      <c r="AD52" s="417"/>
    </row>
    <row r="53" spans="1:32" ht="27" customHeight="1">
      <c r="A53" s="412" t="s">
        <v>123</v>
      </c>
      <c r="B53" s="413"/>
      <c r="C53" s="333" t="s">
        <v>136</v>
      </c>
      <c r="D53" s="333" t="s">
        <v>117</v>
      </c>
      <c r="E53" s="333" t="s">
        <v>522</v>
      </c>
      <c r="F53" s="414" t="s">
        <v>582</v>
      </c>
      <c r="G53" s="415"/>
      <c r="H53" s="415"/>
      <c r="I53" s="415"/>
      <c r="J53" s="415"/>
      <c r="K53" s="415"/>
      <c r="L53" s="415"/>
      <c r="M53" s="416"/>
      <c r="N53" s="332" t="s">
        <v>126</v>
      </c>
      <c r="O53" s="338" t="s">
        <v>139</v>
      </c>
      <c r="P53" s="426" t="s">
        <v>202</v>
      </c>
      <c r="Q53" s="427"/>
      <c r="R53" s="426" t="s">
        <v>584</v>
      </c>
      <c r="S53" s="428"/>
      <c r="T53" s="428"/>
      <c r="U53" s="427"/>
      <c r="V53" s="396" t="s">
        <v>120</v>
      </c>
      <c r="W53" s="396"/>
      <c r="X53" s="396"/>
      <c r="Y53" s="396"/>
      <c r="Z53" s="396"/>
      <c r="AA53" s="396"/>
      <c r="AB53" s="396"/>
      <c r="AC53" s="396"/>
      <c r="AD53" s="417"/>
    </row>
    <row r="54" spans="1:32" ht="27" customHeight="1">
      <c r="A54" s="412" t="s">
        <v>123</v>
      </c>
      <c r="B54" s="413"/>
      <c r="C54" s="333" t="s">
        <v>139</v>
      </c>
      <c r="D54" s="333" t="s">
        <v>218</v>
      </c>
      <c r="E54" s="333" t="s">
        <v>576</v>
      </c>
      <c r="F54" s="414" t="s">
        <v>343</v>
      </c>
      <c r="G54" s="415"/>
      <c r="H54" s="415"/>
      <c r="I54" s="415"/>
      <c r="J54" s="415"/>
      <c r="K54" s="415"/>
      <c r="L54" s="415"/>
      <c r="M54" s="416"/>
      <c r="N54" s="332" t="s">
        <v>126</v>
      </c>
      <c r="O54" s="338" t="s">
        <v>136</v>
      </c>
      <c r="P54" s="426" t="s">
        <v>341</v>
      </c>
      <c r="Q54" s="427"/>
      <c r="R54" s="426" t="s">
        <v>585</v>
      </c>
      <c r="S54" s="428"/>
      <c r="T54" s="428"/>
      <c r="U54" s="427"/>
      <c r="V54" s="396" t="s">
        <v>120</v>
      </c>
      <c r="W54" s="396"/>
      <c r="X54" s="396"/>
      <c r="Y54" s="396"/>
      <c r="Z54" s="396"/>
      <c r="AA54" s="396"/>
      <c r="AB54" s="396"/>
      <c r="AC54" s="396"/>
      <c r="AD54" s="417"/>
    </row>
    <row r="55" spans="1:32" ht="27" customHeight="1">
      <c r="A55" s="412" t="s">
        <v>123</v>
      </c>
      <c r="B55" s="413"/>
      <c r="C55" s="333" t="s">
        <v>258</v>
      </c>
      <c r="D55" s="333" t="s">
        <v>335</v>
      </c>
      <c r="E55" s="333" t="s">
        <v>580</v>
      </c>
      <c r="F55" s="414" t="s">
        <v>120</v>
      </c>
      <c r="G55" s="415"/>
      <c r="H55" s="415"/>
      <c r="I55" s="415"/>
      <c r="J55" s="415"/>
      <c r="K55" s="415"/>
      <c r="L55" s="415"/>
      <c r="M55" s="416"/>
      <c r="N55" s="332"/>
      <c r="O55" s="338"/>
      <c r="P55" s="426"/>
      <c r="Q55" s="427"/>
      <c r="R55" s="426"/>
      <c r="S55" s="428"/>
      <c r="T55" s="428"/>
      <c r="U55" s="427"/>
      <c r="V55" s="396"/>
      <c r="W55" s="396"/>
      <c r="X55" s="396"/>
      <c r="Y55" s="396"/>
      <c r="Z55" s="396"/>
      <c r="AA55" s="396"/>
      <c r="AB55" s="396"/>
      <c r="AC55" s="396"/>
      <c r="AD55" s="417"/>
    </row>
    <row r="56" spans="1:32" ht="27" customHeight="1">
      <c r="A56" s="412" t="s">
        <v>123</v>
      </c>
      <c r="B56" s="413"/>
      <c r="C56" s="333" t="s">
        <v>130</v>
      </c>
      <c r="D56" s="333" t="s">
        <v>577</v>
      </c>
      <c r="E56" s="333" t="s">
        <v>578</v>
      </c>
      <c r="F56" s="414" t="s">
        <v>120</v>
      </c>
      <c r="G56" s="415"/>
      <c r="H56" s="415"/>
      <c r="I56" s="415"/>
      <c r="J56" s="415"/>
      <c r="K56" s="415"/>
      <c r="L56" s="415"/>
      <c r="M56" s="416"/>
      <c r="N56" s="332"/>
      <c r="O56" s="338"/>
      <c r="P56" s="426"/>
      <c r="Q56" s="427"/>
      <c r="R56" s="426"/>
      <c r="S56" s="428"/>
      <c r="T56" s="428"/>
      <c r="U56" s="427"/>
      <c r="V56" s="396"/>
      <c r="W56" s="396"/>
      <c r="X56" s="396"/>
      <c r="Y56" s="396"/>
      <c r="Z56" s="396"/>
      <c r="AA56" s="396"/>
      <c r="AB56" s="396"/>
      <c r="AC56" s="396"/>
      <c r="AD56" s="417"/>
    </row>
    <row r="57" spans="1:32" ht="27" customHeight="1">
      <c r="A57" s="412"/>
      <c r="B57" s="413"/>
      <c r="C57" s="333"/>
      <c r="D57" s="333"/>
      <c r="E57" s="333"/>
      <c r="F57" s="414"/>
      <c r="G57" s="415"/>
      <c r="H57" s="415"/>
      <c r="I57" s="415"/>
      <c r="J57" s="415"/>
      <c r="K57" s="415"/>
      <c r="L57" s="415"/>
      <c r="M57" s="416"/>
      <c r="N57" s="332"/>
      <c r="O57" s="338"/>
      <c r="P57" s="426"/>
      <c r="Q57" s="427"/>
      <c r="R57" s="426"/>
      <c r="S57" s="428"/>
      <c r="T57" s="428"/>
      <c r="U57" s="427"/>
      <c r="V57" s="396"/>
      <c r="W57" s="396"/>
      <c r="X57" s="396"/>
      <c r="Y57" s="396"/>
      <c r="Z57" s="396"/>
      <c r="AA57" s="396"/>
      <c r="AB57" s="396"/>
      <c r="AC57" s="396"/>
      <c r="AD57" s="417"/>
    </row>
    <row r="58" spans="1:32" ht="27" customHeight="1">
      <c r="A58" s="412"/>
      <c r="B58" s="413"/>
      <c r="C58" s="333"/>
      <c r="D58" s="333"/>
      <c r="E58" s="333"/>
      <c r="F58" s="414"/>
      <c r="G58" s="415"/>
      <c r="H58" s="415"/>
      <c r="I58" s="415"/>
      <c r="J58" s="415"/>
      <c r="K58" s="415"/>
      <c r="L58" s="415"/>
      <c r="M58" s="416"/>
      <c r="N58" s="332"/>
      <c r="O58" s="338"/>
      <c r="P58" s="426"/>
      <c r="Q58" s="427"/>
      <c r="R58" s="413"/>
      <c r="S58" s="413"/>
      <c r="T58" s="413"/>
      <c r="U58" s="413"/>
      <c r="V58" s="396"/>
      <c r="W58" s="396"/>
      <c r="X58" s="396"/>
      <c r="Y58" s="396"/>
      <c r="Z58" s="396"/>
      <c r="AA58" s="396"/>
      <c r="AB58" s="396"/>
      <c r="AC58" s="396"/>
      <c r="AD58" s="417"/>
    </row>
    <row r="59" spans="1:32" ht="27" customHeight="1">
      <c r="A59" s="412"/>
      <c r="B59" s="413"/>
      <c r="C59" s="333"/>
      <c r="D59" s="333"/>
      <c r="E59" s="333"/>
      <c r="F59" s="414"/>
      <c r="G59" s="415"/>
      <c r="H59" s="415"/>
      <c r="I59" s="415"/>
      <c r="J59" s="415"/>
      <c r="K59" s="415"/>
      <c r="L59" s="415"/>
      <c r="M59" s="416"/>
      <c r="N59" s="332"/>
      <c r="O59" s="338"/>
      <c r="P59" s="426"/>
      <c r="Q59" s="427"/>
      <c r="R59" s="413"/>
      <c r="S59" s="413"/>
      <c r="T59" s="413"/>
      <c r="U59" s="413"/>
      <c r="V59" s="396"/>
      <c r="W59" s="396"/>
      <c r="X59" s="396"/>
      <c r="Y59" s="396"/>
      <c r="Z59" s="396"/>
      <c r="AA59" s="396"/>
      <c r="AB59" s="396"/>
      <c r="AC59" s="396"/>
      <c r="AD59" s="417"/>
    </row>
    <row r="60" spans="1:32" ht="27" customHeight="1">
      <c r="A60" s="412"/>
      <c r="B60" s="413"/>
      <c r="C60" s="333"/>
      <c r="D60" s="333"/>
      <c r="E60" s="333"/>
      <c r="F60" s="414"/>
      <c r="G60" s="415"/>
      <c r="H60" s="415"/>
      <c r="I60" s="415"/>
      <c r="J60" s="415"/>
      <c r="K60" s="415"/>
      <c r="L60" s="415"/>
      <c r="M60" s="416"/>
      <c r="N60" s="332"/>
      <c r="O60" s="338"/>
      <c r="P60" s="413"/>
      <c r="Q60" s="413"/>
      <c r="R60" s="413"/>
      <c r="S60" s="413"/>
      <c r="T60" s="413"/>
      <c r="U60" s="413"/>
      <c r="V60" s="396"/>
      <c r="W60" s="396"/>
      <c r="X60" s="396"/>
      <c r="Y60" s="396"/>
      <c r="Z60" s="396"/>
      <c r="AA60" s="396"/>
      <c r="AB60" s="396"/>
      <c r="AC60" s="396"/>
      <c r="AD60" s="417"/>
      <c r="AF60" s="87">
        <f>8*3000</f>
        <v>24000</v>
      </c>
    </row>
    <row r="61" spans="1:32" ht="27" customHeight="1" thickBot="1">
      <c r="A61" s="418"/>
      <c r="B61" s="419"/>
      <c r="C61" s="334"/>
      <c r="D61" s="335"/>
      <c r="E61" s="335"/>
      <c r="F61" s="420"/>
      <c r="G61" s="421"/>
      <c r="H61" s="421"/>
      <c r="I61" s="421"/>
      <c r="J61" s="421"/>
      <c r="K61" s="421"/>
      <c r="L61" s="421"/>
      <c r="M61" s="422"/>
      <c r="N61" s="124"/>
      <c r="O61" s="114"/>
      <c r="P61" s="423"/>
      <c r="Q61" s="423"/>
      <c r="R61" s="423"/>
      <c r="S61" s="423"/>
      <c r="T61" s="423"/>
      <c r="U61" s="423"/>
      <c r="V61" s="424"/>
      <c r="W61" s="424"/>
      <c r="X61" s="424"/>
      <c r="Y61" s="424"/>
      <c r="Z61" s="424"/>
      <c r="AA61" s="424"/>
      <c r="AB61" s="424"/>
      <c r="AC61" s="424"/>
      <c r="AD61" s="425"/>
      <c r="AF61" s="87">
        <f>16*3000</f>
        <v>48000</v>
      </c>
    </row>
    <row r="62" spans="1:32" ht="27.75" thickBot="1">
      <c r="A62" s="410" t="s">
        <v>586</v>
      </c>
      <c r="B62" s="410"/>
      <c r="C62" s="410"/>
      <c r="D62" s="410"/>
      <c r="E62" s="41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11" t="s">
        <v>113</v>
      </c>
      <c r="B63" s="406"/>
      <c r="C63" s="336" t="s">
        <v>2</v>
      </c>
      <c r="D63" s="336" t="s">
        <v>37</v>
      </c>
      <c r="E63" s="336" t="s">
        <v>3</v>
      </c>
      <c r="F63" s="406" t="s">
        <v>110</v>
      </c>
      <c r="G63" s="406"/>
      <c r="H63" s="406"/>
      <c r="I63" s="406"/>
      <c r="J63" s="406"/>
      <c r="K63" s="406" t="s">
        <v>39</v>
      </c>
      <c r="L63" s="406"/>
      <c r="M63" s="336" t="s">
        <v>40</v>
      </c>
      <c r="N63" s="406" t="s">
        <v>41</v>
      </c>
      <c r="O63" s="406"/>
      <c r="P63" s="403" t="s">
        <v>42</v>
      </c>
      <c r="Q63" s="405"/>
      <c r="R63" s="403" t="s">
        <v>43</v>
      </c>
      <c r="S63" s="404"/>
      <c r="T63" s="404"/>
      <c r="U63" s="404"/>
      <c r="V63" s="404"/>
      <c r="W63" s="404"/>
      <c r="X63" s="404"/>
      <c r="Y63" s="404"/>
      <c r="Z63" s="404"/>
      <c r="AA63" s="405"/>
      <c r="AB63" s="406" t="s">
        <v>44</v>
      </c>
      <c r="AC63" s="406"/>
      <c r="AD63" s="407"/>
      <c r="AF63" s="87">
        <f>SUM(AF60:AF62)</f>
        <v>96000</v>
      </c>
    </row>
    <row r="64" spans="1:32" ht="25.5" customHeight="1">
      <c r="A64" s="389">
        <v>1</v>
      </c>
      <c r="B64" s="390"/>
      <c r="C64" s="117" t="s">
        <v>123</v>
      </c>
      <c r="D64" s="340"/>
      <c r="E64" s="337" t="s">
        <v>218</v>
      </c>
      <c r="F64" s="391" t="s">
        <v>576</v>
      </c>
      <c r="G64" s="383"/>
      <c r="H64" s="383"/>
      <c r="I64" s="383"/>
      <c r="J64" s="383"/>
      <c r="K64" s="383" t="s">
        <v>124</v>
      </c>
      <c r="L64" s="383"/>
      <c r="M64" s="51" t="s">
        <v>222</v>
      </c>
      <c r="N64" s="401" t="s">
        <v>139</v>
      </c>
      <c r="O64" s="401"/>
      <c r="P64" s="402">
        <v>50</v>
      </c>
      <c r="Q64" s="402"/>
      <c r="R64" s="396"/>
      <c r="S64" s="396"/>
      <c r="T64" s="396"/>
      <c r="U64" s="396"/>
      <c r="V64" s="396"/>
      <c r="W64" s="396"/>
      <c r="X64" s="396"/>
      <c r="Y64" s="396"/>
      <c r="Z64" s="396"/>
      <c r="AA64" s="396"/>
      <c r="AB64" s="400"/>
      <c r="AC64" s="408"/>
      <c r="AD64" s="409"/>
      <c r="AF64" s="50"/>
    </row>
    <row r="65" spans="1:32" ht="25.5" customHeight="1">
      <c r="A65" s="389">
        <v>2</v>
      </c>
      <c r="B65" s="390"/>
      <c r="C65" s="117" t="s">
        <v>257</v>
      </c>
      <c r="D65" s="340"/>
      <c r="E65" s="337" t="s">
        <v>141</v>
      </c>
      <c r="F65" s="391" t="s">
        <v>587</v>
      </c>
      <c r="G65" s="383"/>
      <c r="H65" s="383"/>
      <c r="I65" s="383"/>
      <c r="J65" s="383"/>
      <c r="K65" s="383" t="s">
        <v>322</v>
      </c>
      <c r="L65" s="383"/>
      <c r="M65" s="51" t="s">
        <v>222</v>
      </c>
      <c r="N65" s="401" t="s">
        <v>237</v>
      </c>
      <c r="O65" s="401"/>
      <c r="P65" s="402">
        <v>50</v>
      </c>
      <c r="Q65" s="402"/>
      <c r="R65" s="396"/>
      <c r="S65" s="396"/>
      <c r="T65" s="396"/>
      <c r="U65" s="396"/>
      <c r="V65" s="396"/>
      <c r="W65" s="396"/>
      <c r="X65" s="396"/>
      <c r="Y65" s="396"/>
      <c r="Z65" s="396"/>
      <c r="AA65" s="396"/>
      <c r="AB65" s="383"/>
      <c r="AC65" s="383"/>
      <c r="AD65" s="384"/>
      <c r="AF65" s="50"/>
    </row>
    <row r="66" spans="1:32" ht="25.5" customHeight="1">
      <c r="A66" s="389">
        <v>3</v>
      </c>
      <c r="B66" s="390"/>
      <c r="C66" s="117" t="s">
        <v>123</v>
      </c>
      <c r="D66" s="340"/>
      <c r="E66" s="337" t="s">
        <v>117</v>
      </c>
      <c r="F66" s="397" t="s">
        <v>559</v>
      </c>
      <c r="G66" s="398"/>
      <c r="H66" s="398"/>
      <c r="I66" s="398"/>
      <c r="J66" s="399"/>
      <c r="K66" s="383" t="s">
        <v>555</v>
      </c>
      <c r="L66" s="383"/>
      <c r="M66" s="51" t="s">
        <v>222</v>
      </c>
      <c r="N66" s="401" t="s">
        <v>173</v>
      </c>
      <c r="O66" s="401"/>
      <c r="P66" s="402">
        <v>50</v>
      </c>
      <c r="Q66" s="402"/>
      <c r="R66" s="396"/>
      <c r="S66" s="396"/>
      <c r="T66" s="396"/>
      <c r="U66" s="396"/>
      <c r="V66" s="396"/>
      <c r="W66" s="396"/>
      <c r="X66" s="396"/>
      <c r="Y66" s="396"/>
      <c r="Z66" s="396"/>
      <c r="AA66" s="396"/>
      <c r="AB66" s="383"/>
      <c r="AC66" s="383"/>
      <c r="AD66" s="384"/>
      <c r="AF66" s="50"/>
    </row>
    <row r="67" spans="1:32" ht="25.5" customHeight="1">
      <c r="A67" s="389">
        <v>4</v>
      </c>
      <c r="B67" s="390"/>
      <c r="C67" s="117" t="s">
        <v>114</v>
      </c>
      <c r="D67" s="340"/>
      <c r="E67" s="337" t="s">
        <v>202</v>
      </c>
      <c r="F67" s="397" t="s">
        <v>588</v>
      </c>
      <c r="G67" s="398"/>
      <c r="H67" s="398"/>
      <c r="I67" s="398"/>
      <c r="J67" s="399"/>
      <c r="K67" s="383">
        <v>7301</v>
      </c>
      <c r="L67" s="383"/>
      <c r="M67" s="51" t="s">
        <v>222</v>
      </c>
      <c r="N67" s="401" t="s">
        <v>173</v>
      </c>
      <c r="O67" s="401"/>
      <c r="P67" s="402">
        <v>200</v>
      </c>
      <c r="Q67" s="402"/>
      <c r="R67" s="396"/>
      <c r="S67" s="396"/>
      <c r="T67" s="396"/>
      <c r="U67" s="396"/>
      <c r="V67" s="396"/>
      <c r="W67" s="396"/>
      <c r="X67" s="396"/>
      <c r="Y67" s="396"/>
      <c r="Z67" s="396"/>
      <c r="AA67" s="396"/>
      <c r="AB67" s="383"/>
      <c r="AC67" s="383"/>
      <c r="AD67" s="384"/>
      <c r="AF67" s="50"/>
    </row>
    <row r="68" spans="1:32" ht="25.5" customHeight="1">
      <c r="A68" s="389">
        <v>5</v>
      </c>
      <c r="B68" s="390"/>
      <c r="C68" s="117"/>
      <c r="D68" s="340"/>
      <c r="E68" s="337"/>
      <c r="F68" s="397"/>
      <c r="G68" s="398"/>
      <c r="H68" s="398"/>
      <c r="I68" s="398"/>
      <c r="J68" s="399"/>
      <c r="K68" s="400"/>
      <c r="L68" s="390"/>
      <c r="M68" s="51"/>
      <c r="N68" s="401"/>
      <c r="O68" s="401"/>
      <c r="P68" s="402"/>
      <c r="Q68" s="402"/>
      <c r="R68" s="396"/>
      <c r="S68" s="396"/>
      <c r="T68" s="396"/>
      <c r="U68" s="396"/>
      <c r="V68" s="396"/>
      <c r="W68" s="396"/>
      <c r="X68" s="396"/>
      <c r="Y68" s="396"/>
      <c r="Z68" s="396"/>
      <c r="AA68" s="396"/>
      <c r="AB68" s="383"/>
      <c r="AC68" s="383"/>
      <c r="AD68" s="384"/>
      <c r="AF68" s="50"/>
    </row>
    <row r="69" spans="1:32" ht="25.5" customHeight="1">
      <c r="A69" s="389">
        <v>6</v>
      </c>
      <c r="B69" s="390"/>
      <c r="C69" s="117"/>
      <c r="D69" s="340"/>
      <c r="E69" s="337"/>
      <c r="F69" s="391"/>
      <c r="G69" s="383"/>
      <c r="H69" s="383"/>
      <c r="I69" s="383"/>
      <c r="J69" s="383"/>
      <c r="K69" s="383"/>
      <c r="L69" s="383"/>
      <c r="M69" s="51"/>
      <c r="N69" s="392"/>
      <c r="O69" s="393"/>
      <c r="P69" s="394"/>
      <c r="Q69" s="395"/>
      <c r="R69" s="396"/>
      <c r="S69" s="396"/>
      <c r="T69" s="396"/>
      <c r="U69" s="396"/>
      <c r="V69" s="396"/>
      <c r="W69" s="396"/>
      <c r="X69" s="396"/>
      <c r="Y69" s="396"/>
      <c r="Z69" s="396"/>
      <c r="AA69" s="396"/>
      <c r="AB69" s="383"/>
      <c r="AC69" s="383"/>
      <c r="AD69" s="384"/>
      <c r="AF69" s="50"/>
    </row>
    <row r="70" spans="1:32" ht="25.5" customHeight="1">
      <c r="A70" s="389">
        <v>7</v>
      </c>
      <c r="B70" s="390"/>
      <c r="C70" s="117"/>
      <c r="D70" s="340"/>
      <c r="E70" s="337"/>
      <c r="F70" s="391"/>
      <c r="G70" s="383"/>
      <c r="H70" s="383"/>
      <c r="I70" s="383"/>
      <c r="J70" s="383"/>
      <c r="K70" s="383"/>
      <c r="L70" s="383"/>
      <c r="M70" s="51"/>
      <c r="N70" s="392"/>
      <c r="O70" s="393"/>
      <c r="P70" s="394"/>
      <c r="Q70" s="395"/>
      <c r="R70" s="396"/>
      <c r="S70" s="396"/>
      <c r="T70" s="396"/>
      <c r="U70" s="396"/>
      <c r="V70" s="396"/>
      <c r="W70" s="396"/>
      <c r="X70" s="396"/>
      <c r="Y70" s="396"/>
      <c r="Z70" s="396"/>
      <c r="AA70" s="396"/>
      <c r="AB70" s="383"/>
      <c r="AC70" s="383"/>
      <c r="AD70" s="384"/>
      <c r="AF70" s="50"/>
    </row>
    <row r="71" spans="1:32" ht="25.5" customHeight="1">
      <c r="A71" s="389">
        <v>8</v>
      </c>
      <c r="B71" s="390"/>
      <c r="C71" s="117"/>
      <c r="D71" s="340"/>
      <c r="E71" s="337"/>
      <c r="F71" s="391"/>
      <c r="G71" s="383"/>
      <c r="H71" s="383"/>
      <c r="I71" s="383"/>
      <c r="J71" s="383"/>
      <c r="K71" s="383"/>
      <c r="L71" s="383"/>
      <c r="M71" s="51"/>
      <c r="N71" s="392"/>
      <c r="O71" s="393"/>
      <c r="P71" s="394"/>
      <c r="Q71" s="395"/>
      <c r="R71" s="396"/>
      <c r="S71" s="396"/>
      <c r="T71" s="396"/>
      <c r="U71" s="396"/>
      <c r="V71" s="396"/>
      <c r="W71" s="396"/>
      <c r="X71" s="396"/>
      <c r="Y71" s="396"/>
      <c r="Z71" s="396"/>
      <c r="AA71" s="396"/>
      <c r="AB71" s="383"/>
      <c r="AC71" s="383"/>
      <c r="AD71" s="384"/>
      <c r="AF71" s="50"/>
    </row>
    <row r="72" spans="1:32" ht="26.25" customHeight="1" thickBot="1">
      <c r="A72" s="363" t="s">
        <v>589</v>
      </c>
      <c r="B72" s="363"/>
      <c r="C72" s="363"/>
      <c r="D72" s="363"/>
      <c r="E72" s="363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364" t="s">
        <v>113</v>
      </c>
      <c r="B73" s="365"/>
      <c r="C73" s="339" t="s">
        <v>2</v>
      </c>
      <c r="D73" s="339" t="s">
        <v>37</v>
      </c>
      <c r="E73" s="339" t="s">
        <v>3</v>
      </c>
      <c r="F73" s="365" t="s">
        <v>38</v>
      </c>
      <c r="G73" s="365"/>
      <c r="H73" s="365"/>
      <c r="I73" s="365"/>
      <c r="J73" s="365"/>
      <c r="K73" s="385" t="s">
        <v>58</v>
      </c>
      <c r="L73" s="386"/>
      <c r="M73" s="386"/>
      <c r="N73" s="386"/>
      <c r="O73" s="386"/>
      <c r="P73" s="386"/>
      <c r="Q73" s="386"/>
      <c r="R73" s="386"/>
      <c r="S73" s="387"/>
      <c r="T73" s="365" t="s">
        <v>49</v>
      </c>
      <c r="U73" s="365"/>
      <c r="V73" s="385" t="s">
        <v>50</v>
      </c>
      <c r="W73" s="387"/>
      <c r="X73" s="386" t="s">
        <v>51</v>
      </c>
      <c r="Y73" s="386"/>
      <c r="Z73" s="386"/>
      <c r="AA73" s="386"/>
      <c r="AB73" s="386"/>
      <c r="AC73" s="386"/>
      <c r="AD73" s="388"/>
      <c r="AF73" s="50"/>
    </row>
    <row r="74" spans="1:32" ht="33.75" customHeight="1">
      <c r="A74" s="357">
        <v>1</v>
      </c>
      <c r="B74" s="358"/>
      <c r="C74" s="341" t="s">
        <v>114</v>
      </c>
      <c r="D74" s="341"/>
      <c r="E74" s="65" t="s">
        <v>119</v>
      </c>
      <c r="F74" s="372" t="s">
        <v>118</v>
      </c>
      <c r="G74" s="373"/>
      <c r="H74" s="373"/>
      <c r="I74" s="373"/>
      <c r="J74" s="374"/>
      <c r="K74" s="375" t="s">
        <v>128</v>
      </c>
      <c r="L74" s="376"/>
      <c r="M74" s="376"/>
      <c r="N74" s="376"/>
      <c r="O74" s="376"/>
      <c r="P74" s="376"/>
      <c r="Q74" s="376"/>
      <c r="R74" s="376"/>
      <c r="S74" s="377"/>
      <c r="T74" s="378">
        <v>43675</v>
      </c>
      <c r="U74" s="379"/>
      <c r="V74" s="380"/>
      <c r="W74" s="380"/>
      <c r="X74" s="381"/>
      <c r="Y74" s="381"/>
      <c r="Z74" s="381"/>
      <c r="AA74" s="381"/>
      <c r="AB74" s="381"/>
      <c r="AC74" s="381"/>
      <c r="AD74" s="382"/>
      <c r="AF74" s="50"/>
    </row>
    <row r="75" spans="1:32" ht="30" customHeight="1">
      <c r="A75" s="350">
        <f>A74+1</f>
        <v>2</v>
      </c>
      <c r="B75" s="351"/>
      <c r="C75" s="340"/>
      <c r="D75" s="340"/>
      <c r="E75" s="32"/>
      <c r="F75" s="351"/>
      <c r="G75" s="351"/>
      <c r="H75" s="351"/>
      <c r="I75" s="351"/>
      <c r="J75" s="351"/>
      <c r="K75" s="366"/>
      <c r="L75" s="367"/>
      <c r="M75" s="367"/>
      <c r="N75" s="367"/>
      <c r="O75" s="367"/>
      <c r="P75" s="367"/>
      <c r="Q75" s="367"/>
      <c r="R75" s="367"/>
      <c r="S75" s="368"/>
      <c r="T75" s="369"/>
      <c r="U75" s="369"/>
      <c r="V75" s="369"/>
      <c r="W75" s="369"/>
      <c r="X75" s="370"/>
      <c r="Y75" s="370"/>
      <c r="Z75" s="370"/>
      <c r="AA75" s="370"/>
      <c r="AB75" s="370"/>
      <c r="AC75" s="370"/>
      <c r="AD75" s="371"/>
      <c r="AF75" s="50"/>
    </row>
    <row r="76" spans="1:32" ht="30" customHeight="1">
      <c r="A76" s="350">
        <f t="shared" ref="A76:A82" si="20">A75+1</f>
        <v>3</v>
      </c>
      <c r="B76" s="351"/>
      <c r="C76" s="340"/>
      <c r="D76" s="340"/>
      <c r="E76" s="32"/>
      <c r="F76" s="351"/>
      <c r="G76" s="351"/>
      <c r="H76" s="351"/>
      <c r="I76" s="351"/>
      <c r="J76" s="351"/>
      <c r="K76" s="366"/>
      <c r="L76" s="367"/>
      <c r="M76" s="367"/>
      <c r="N76" s="367"/>
      <c r="O76" s="367"/>
      <c r="P76" s="367"/>
      <c r="Q76" s="367"/>
      <c r="R76" s="367"/>
      <c r="S76" s="368"/>
      <c r="T76" s="369"/>
      <c r="U76" s="369"/>
      <c r="V76" s="369"/>
      <c r="W76" s="369"/>
      <c r="X76" s="370"/>
      <c r="Y76" s="370"/>
      <c r="Z76" s="370"/>
      <c r="AA76" s="370"/>
      <c r="AB76" s="370"/>
      <c r="AC76" s="370"/>
      <c r="AD76" s="371"/>
      <c r="AF76" s="50"/>
    </row>
    <row r="77" spans="1:32" ht="30" customHeight="1">
      <c r="A77" s="350">
        <f t="shared" si="20"/>
        <v>4</v>
      </c>
      <c r="B77" s="351"/>
      <c r="C77" s="340"/>
      <c r="D77" s="340"/>
      <c r="E77" s="32"/>
      <c r="F77" s="351"/>
      <c r="G77" s="351"/>
      <c r="H77" s="351"/>
      <c r="I77" s="351"/>
      <c r="J77" s="351"/>
      <c r="K77" s="366"/>
      <c r="L77" s="367"/>
      <c r="M77" s="367"/>
      <c r="N77" s="367"/>
      <c r="O77" s="367"/>
      <c r="P77" s="367"/>
      <c r="Q77" s="367"/>
      <c r="R77" s="367"/>
      <c r="S77" s="368"/>
      <c r="T77" s="369"/>
      <c r="U77" s="369"/>
      <c r="V77" s="369"/>
      <c r="W77" s="369"/>
      <c r="X77" s="370"/>
      <c r="Y77" s="370"/>
      <c r="Z77" s="370"/>
      <c r="AA77" s="370"/>
      <c r="AB77" s="370"/>
      <c r="AC77" s="370"/>
      <c r="AD77" s="371"/>
      <c r="AF77" s="50"/>
    </row>
    <row r="78" spans="1:32" ht="30" customHeight="1">
      <c r="A78" s="350">
        <f t="shared" si="20"/>
        <v>5</v>
      </c>
      <c r="B78" s="351"/>
      <c r="C78" s="340"/>
      <c r="D78" s="340"/>
      <c r="E78" s="32"/>
      <c r="F78" s="351"/>
      <c r="G78" s="351"/>
      <c r="H78" s="351"/>
      <c r="I78" s="351"/>
      <c r="J78" s="351"/>
      <c r="K78" s="366"/>
      <c r="L78" s="367"/>
      <c r="M78" s="367"/>
      <c r="N78" s="367"/>
      <c r="O78" s="367"/>
      <c r="P78" s="367"/>
      <c r="Q78" s="367"/>
      <c r="R78" s="367"/>
      <c r="S78" s="368"/>
      <c r="T78" s="369"/>
      <c r="U78" s="369"/>
      <c r="V78" s="369"/>
      <c r="W78" s="369"/>
      <c r="X78" s="370"/>
      <c r="Y78" s="370"/>
      <c r="Z78" s="370"/>
      <c r="AA78" s="370"/>
      <c r="AB78" s="370"/>
      <c r="AC78" s="370"/>
      <c r="AD78" s="371"/>
      <c r="AF78" s="50"/>
    </row>
    <row r="79" spans="1:32" ht="30" customHeight="1">
      <c r="A79" s="350">
        <f t="shared" si="20"/>
        <v>6</v>
      </c>
      <c r="B79" s="351"/>
      <c r="C79" s="340"/>
      <c r="D79" s="340"/>
      <c r="E79" s="32"/>
      <c r="F79" s="351"/>
      <c r="G79" s="351"/>
      <c r="H79" s="351"/>
      <c r="I79" s="351"/>
      <c r="J79" s="351"/>
      <c r="K79" s="366"/>
      <c r="L79" s="367"/>
      <c r="M79" s="367"/>
      <c r="N79" s="367"/>
      <c r="O79" s="367"/>
      <c r="P79" s="367"/>
      <c r="Q79" s="367"/>
      <c r="R79" s="367"/>
      <c r="S79" s="368"/>
      <c r="T79" s="369"/>
      <c r="U79" s="369"/>
      <c r="V79" s="369"/>
      <c r="W79" s="369"/>
      <c r="X79" s="370"/>
      <c r="Y79" s="370"/>
      <c r="Z79" s="370"/>
      <c r="AA79" s="370"/>
      <c r="AB79" s="370"/>
      <c r="AC79" s="370"/>
      <c r="AD79" s="371"/>
      <c r="AF79" s="50"/>
    </row>
    <row r="80" spans="1:32" ht="30" customHeight="1">
      <c r="A80" s="350">
        <f t="shared" si="20"/>
        <v>7</v>
      </c>
      <c r="B80" s="351"/>
      <c r="C80" s="340"/>
      <c r="D80" s="340"/>
      <c r="E80" s="32"/>
      <c r="F80" s="351"/>
      <c r="G80" s="351"/>
      <c r="H80" s="351"/>
      <c r="I80" s="351"/>
      <c r="J80" s="351"/>
      <c r="K80" s="366"/>
      <c r="L80" s="367"/>
      <c r="M80" s="367"/>
      <c r="N80" s="367"/>
      <c r="O80" s="367"/>
      <c r="P80" s="367"/>
      <c r="Q80" s="367"/>
      <c r="R80" s="367"/>
      <c r="S80" s="368"/>
      <c r="T80" s="369"/>
      <c r="U80" s="369"/>
      <c r="V80" s="369"/>
      <c r="W80" s="369"/>
      <c r="X80" s="370"/>
      <c r="Y80" s="370"/>
      <c r="Z80" s="370"/>
      <c r="AA80" s="370"/>
      <c r="AB80" s="370"/>
      <c r="AC80" s="370"/>
      <c r="AD80" s="371"/>
      <c r="AF80" s="50"/>
    </row>
    <row r="81" spans="1:32" ht="30" customHeight="1">
      <c r="A81" s="350">
        <f t="shared" si="20"/>
        <v>8</v>
      </c>
      <c r="B81" s="351"/>
      <c r="C81" s="340"/>
      <c r="D81" s="340"/>
      <c r="E81" s="32"/>
      <c r="F81" s="351"/>
      <c r="G81" s="351"/>
      <c r="H81" s="351"/>
      <c r="I81" s="351"/>
      <c r="J81" s="351"/>
      <c r="K81" s="366"/>
      <c r="L81" s="367"/>
      <c r="M81" s="367"/>
      <c r="N81" s="367"/>
      <c r="O81" s="367"/>
      <c r="P81" s="367"/>
      <c r="Q81" s="367"/>
      <c r="R81" s="367"/>
      <c r="S81" s="368"/>
      <c r="T81" s="369"/>
      <c r="U81" s="369"/>
      <c r="V81" s="369"/>
      <c r="W81" s="369"/>
      <c r="X81" s="370"/>
      <c r="Y81" s="370"/>
      <c r="Z81" s="370"/>
      <c r="AA81" s="370"/>
      <c r="AB81" s="370"/>
      <c r="AC81" s="370"/>
      <c r="AD81" s="371"/>
      <c r="AF81" s="50"/>
    </row>
    <row r="82" spans="1:32" ht="30" customHeight="1">
      <c r="A82" s="350">
        <f t="shared" si="20"/>
        <v>9</v>
      </c>
      <c r="B82" s="351"/>
      <c r="C82" s="340"/>
      <c r="D82" s="340"/>
      <c r="E82" s="32"/>
      <c r="F82" s="351"/>
      <c r="G82" s="351"/>
      <c r="H82" s="351"/>
      <c r="I82" s="351"/>
      <c r="J82" s="351"/>
      <c r="K82" s="366"/>
      <c r="L82" s="367"/>
      <c r="M82" s="367"/>
      <c r="N82" s="367"/>
      <c r="O82" s="367"/>
      <c r="P82" s="367"/>
      <c r="Q82" s="367"/>
      <c r="R82" s="367"/>
      <c r="S82" s="368"/>
      <c r="T82" s="369"/>
      <c r="U82" s="369"/>
      <c r="V82" s="369"/>
      <c r="W82" s="369"/>
      <c r="X82" s="370"/>
      <c r="Y82" s="370"/>
      <c r="Z82" s="370"/>
      <c r="AA82" s="370"/>
      <c r="AB82" s="370"/>
      <c r="AC82" s="370"/>
      <c r="AD82" s="371"/>
      <c r="AF82" s="50"/>
    </row>
    <row r="83" spans="1:32" ht="36" thickBot="1">
      <c r="A83" s="363" t="s">
        <v>590</v>
      </c>
      <c r="B83" s="363"/>
      <c r="C83" s="363"/>
      <c r="D83" s="363"/>
      <c r="E83" s="363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64" t="s">
        <v>113</v>
      </c>
      <c r="B84" s="365"/>
      <c r="C84" s="355" t="s">
        <v>52</v>
      </c>
      <c r="D84" s="355"/>
      <c r="E84" s="355" t="s">
        <v>53</v>
      </c>
      <c r="F84" s="355"/>
      <c r="G84" s="355"/>
      <c r="H84" s="355"/>
      <c r="I84" s="355"/>
      <c r="J84" s="355"/>
      <c r="K84" s="355" t="s">
        <v>54</v>
      </c>
      <c r="L84" s="355"/>
      <c r="M84" s="355"/>
      <c r="N84" s="355"/>
      <c r="O84" s="355"/>
      <c r="P84" s="355"/>
      <c r="Q84" s="355"/>
      <c r="R84" s="355"/>
      <c r="S84" s="355"/>
      <c r="T84" s="355" t="s">
        <v>55</v>
      </c>
      <c r="U84" s="355"/>
      <c r="V84" s="355" t="s">
        <v>56</v>
      </c>
      <c r="W84" s="355"/>
      <c r="X84" s="355"/>
      <c r="Y84" s="355" t="s">
        <v>51</v>
      </c>
      <c r="Z84" s="355"/>
      <c r="AA84" s="355"/>
      <c r="AB84" s="355"/>
      <c r="AC84" s="355"/>
      <c r="AD84" s="356"/>
      <c r="AF84" s="50"/>
    </row>
    <row r="85" spans="1:32" ht="30.75" customHeight="1">
      <c r="A85" s="357">
        <v>1</v>
      </c>
      <c r="B85" s="358"/>
      <c r="C85" s="359"/>
      <c r="D85" s="359"/>
      <c r="E85" s="359"/>
      <c r="F85" s="359"/>
      <c r="G85" s="359"/>
      <c r="H85" s="359"/>
      <c r="I85" s="359"/>
      <c r="J85" s="359"/>
      <c r="K85" s="359"/>
      <c r="L85" s="359"/>
      <c r="M85" s="359"/>
      <c r="N85" s="359"/>
      <c r="O85" s="359"/>
      <c r="P85" s="359"/>
      <c r="Q85" s="359"/>
      <c r="R85" s="359"/>
      <c r="S85" s="359"/>
      <c r="T85" s="359"/>
      <c r="U85" s="359"/>
      <c r="V85" s="360"/>
      <c r="W85" s="360"/>
      <c r="X85" s="360"/>
      <c r="Y85" s="361"/>
      <c r="Z85" s="361"/>
      <c r="AA85" s="361"/>
      <c r="AB85" s="361"/>
      <c r="AC85" s="361"/>
      <c r="AD85" s="362"/>
      <c r="AF85" s="50"/>
    </row>
    <row r="86" spans="1:32" ht="30.75" customHeight="1">
      <c r="A86" s="350">
        <v>2</v>
      </c>
      <c r="B86" s="351"/>
      <c r="C86" s="352"/>
      <c r="D86" s="352"/>
      <c r="E86" s="352"/>
      <c r="F86" s="352"/>
      <c r="G86" s="352"/>
      <c r="H86" s="352"/>
      <c r="I86" s="352"/>
      <c r="J86" s="352"/>
      <c r="K86" s="352"/>
      <c r="L86" s="352"/>
      <c r="M86" s="352"/>
      <c r="N86" s="352"/>
      <c r="O86" s="352"/>
      <c r="P86" s="352"/>
      <c r="Q86" s="352"/>
      <c r="R86" s="352"/>
      <c r="S86" s="352"/>
      <c r="T86" s="353"/>
      <c r="U86" s="353"/>
      <c r="V86" s="354"/>
      <c r="W86" s="354"/>
      <c r="X86" s="354"/>
      <c r="Y86" s="343"/>
      <c r="Z86" s="343"/>
      <c r="AA86" s="343"/>
      <c r="AB86" s="343"/>
      <c r="AC86" s="343"/>
      <c r="AD86" s="344"/>
      <c r="AF86" s="50"/>
    </row>
    <row r="87" spans="1:32" ht="30.75" customHeight="1" thickBot="1">
      <c r="A87" s="345">
        <v>3</v>
      </c>
      <c r="B87" s="346"/>
      <c r="C87" s="347"/>
      <c r="D87" s="347"/>
      <c r="E87" s="347"/>
      <c r="F87" s="347"/>
      <c r="G87" s="347"/>
      <c r="H87" s="347"/>
      <c r="I87" s="347"/>
      <c r="J87" s="347"/>
      <c r="K87" s="347"/>
      <c r="L87" s="347"/>
      <c r="M87" s="347"/>
      <c r="N87" s="347"/>
      <c r="O87" s="347"/>
      <c r="P87" s="347"/>
      <c r="Q87" s="347"/>
      <c r="R87" s="347"/>
      <c r="S87" s="347"/>
      <c r="T87" s="347"/>
      <c r="U87" s="347"/>
      <c r="V87" s="347"/>
      <c r="W87" s="347"/>
      <c r="X87" s="347"/>
      <c r="Y87" s="348"/>
      <c r="Z87" s="348"/>
      <c r="AA87" s="348"/>
      <c r="AB87" s="348"/>
      <c r="AC87" s="348"/>
      <c r="AD87" s="349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21</vt:i4>
      </vt:variant>
      <vt:variant>
        <vt:lpstr>이름 지정된 범위</vt:lpstr>
      </vt:variant>
      <vt:variant>
        <vt:i4>40</vt:i4>
      </vt:variant>
    </vt:vector>
  </HeadingPairs>
  <TitlesOfParts>
    <vt:vector size="61" baseType="lpstr">
      <vt:lpstr>총괄</vt:lpstr>
      <vt:lpstr>02</vt:lpstr>
      <vt:lpstr>03</vt:lpstr>
      <vt:lpstr>06</vt:lpstr>
      <vt:lpstr>07</vt:lpstr>
      <vt:lpstr>08</vt:lpstr>
      <vt:lpstr>09</vt:lpstr>
      <vt:lpstr>10</vt:lpstr>
      <vt:lpstr>13</vt:lpstr>
      <vt:lpstr>14</vt:lpstr>
      <vt:lpstr>15</vt:lpstr>
      <vt:lpstr>16</vt:lpstr>
      <vt:lpstr>17</vt:lpstr>
      <vt:lpstr>20</vt:lpstr>
      <vt:lpstr>21</vt:lpstr>
      <vt:lpstr>22</vt:lpstr>
      <vt:lpstr>23</vt:lpstr>
      <vt:lpstr>28</vt:lpstr>
      <vt:lpstr>29</vt:lpstr>
      <vt:lpstr>30</vt:lpstr>
      <vt:lpstr>31</vt:lpstr>
      <vt:lpstr>'02'!Print_Area</vt:lpstr>
      <vt:lpstr>'03'!Print_Area</vt:lpstr>
      <vt:lpstr>'06'!Print_Area</vt:lpstr>
      <vt:lpstr>'07'!Print_Area</vt:lpstr>
      <vt:lpstr>'08'!Print_Area</vt:lpstr>
      <vt:lpstr>'09'!Print_Area</vt:lpstr>
      <vt:lpstr>'10'!Print_Area</vt:lpstr>
      <vt:lpstr>'13'!Print_Area</vt:lpstr>
      <vt:lpstr>'14'!Print_Area</vt:lpstr>
      <vt:lpstr>'15'!Print_Area</vt:lpstr>
      <vt:lpstr>'16'!Print_Area</vt:lpstr>
      <vt:lpstr>'17'!Print_Area</vt:lpstr>
      <vt:lpstr>'20'!Print_Area</vt:lpstr>
      <vt:lpstr>'21'!Print_Area</vt:lpstr>
      <vt:lpstr>'22'!Print_Area</vt:lpstr>
      <vt:lpstr>'23'!Print_Area</vt:lpstr>
      <vt:lpstr>'28'!Print_Area</vt:lpstr>
      <vt:lpstr>'29'!Print_Area</vt:lpstr>
      <vt:lpstr>'30'!Print_Area</vt:lpstr>
      <vt:lpstr>'31'!Print_Area</vt:lpstr>
      <vt:lpstr>'02'!ㅁ1</vt:lpstr>
      <vt:lpstr>'03'!ㅁ1</vt:lpstr>
      <vt:lpstr>'06'!ㅁ1</vt:lpstr>
      <vt:lpstr>'07'!ㅁ1</vt:lpstr>
      <vt:lpstr>'08'!ㅁ1</vt:lpstr>
      <vt:lpstr>'09'!ㅁ1</vt:lpstr>
      <vt:lpstr>'10'!ㅁ1</vt:lpstr>
      <vt:lpstr>'13'!ㅁ1</vt:lpstr>
      <vt:lpstr>'14'!ㅁ1</vt:lpstr>
      <vt:lpstr>'15'!ㅁ1</vt:lpstr>
      <vt:lpstr>'16'!ㅁ1</vt:lpstr>
      <vt:lpstr>'17'!ㅁ1</vt:lpstr>
      <vt:lpstr>'20'!ㅁ1</vt:lpstr>
      <vt:lpstr>'21'!ㅁ1</vt:lpstr>
      <vt:lpstr>'22'!ㅁ1</vt:lpstr>
      <vt:lpstr>'23'!ㅁ1</vt:lpstr>
      <vt:lpstr>'28'!ㅁ1</vt:lpstr>
      <vt:lpstr>'29'!ㅁ1</vt:lpstr>
      <vt:lpstr>'30'!ㅁ1</vt:lpstr>
      <vt:lpstr>'31'!ㅁ1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2019-10-24T15:57:38Z</cp:lastPrinted>
  <dcterms:created xsi:type="dcterms:W3CDTF">2014-05-16T00:06:55Z</dcterms:created>
  <dcterms:modified xsi:type="dcterms:W3CDTF">2020-02-01T01:15:17Z</dcterms:modified>
</cp:coreProperties>
</file>